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persons/person.xml" ContentType="application/vnd.ms-excel.person+xml"/>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26"/>
  <workbookPr/>
  <mc:AlternateContent xmlns:mc="http://schemas.openxmlformats.org/markup-compatibility/2006">
    <mc:Choice Requires="x15">
      <x15ac:absPath xmlns:x15ac="http://schemas.microsoft.com/office/spreadsheetml/2010/11/ac" url="/Users/fye/Library/CloudStorage/GoogleDrive-fye@287272.company/My Drive/00 287272 Shared Drive/00 Projects/087 CRCC/02 Reports/"/>
    </mc:Choice>
  </mc:AlternateContent>
  <xr:revisionPtr revIDLastSave="0" documentId="13_ncr:1_{ADD4F347-356E-914B-A8D7-75C1370D9BA2}" xr6:coauthVersionLast="47" xr6:coauthVersionMax="47" xr10:uidLastSave="{00000000-0000-0000-0000-000000000000}"/>
  <bookViews>
    <workbookView xWindow="0" yWindow="780" windowWidth="34200" windowHeight="21460" firstSheet="0" activeTab="0" xr2:uid="{00000000-000D-0000-FFFF-FFFF00000000}"/>
  </bookViews>
  <sheets>
    <sheet name="00 Summary" sheetId="6" r:id="rId1"/>
    <sheet name="01 Major Assumptions" sheetId="7" r:id="rId2"/>
    <sheet name="02 Oil Price Analysis" sheetId="8" r:id="rId3"/>
    <sheet name="03 CAPEX &amp; Depreciation" sheetId="9" r:id="rId4"/>
    <sheet name="04 Operating Model" sheetId="10" r:id="rId5"/>
    <sheet name="05 Opex" sheetId="11" r:id="rId6"/>
    <sheet name="06 Debt &amp; WC" sheetId="12" r:id="rId7"/>
    <sheet name="07 Equity &amp; Dividend" sheetId="13" r:id="rId8"/>
    <sheet name="08 Certification &amp; Premium" sheetId="14" r:id="rId9"/>
    <sheet name="09 Sensitivity Analysis" sheetId="15" r:id="rId10"/>
    <sheet name="10 RM Sourcing &amp; Landed Cost" sheetId="16" r:id="rId11"/>
    <sheet name="11 NRV Costing" sheetId="17" r:id="rId12"/>
    <sheet name="12 Site, Civil &amp; Utilities" sheetId="18" r:id="rId13"/>
    <sheet name="13 Factory Permits 105 &amp; 106" sheetId="19" r:id="rId14"/>
    <sheet name="14 Market Study" sheetId="20" r:id="rId1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7" i="12" l="1"/>
  <c r="BO107" i="9"/>
  <c r="BN107" i="9"/>
  <c r="BM107" i="9"/>
  <c r="BL107" i="9"/>
  <c r="BK107" i="9"/>
  <c r="BJ107" i="9"/>
  <c r="BI107" i="9"/>
  <c r="BH107" i="9"/>
  <c r="BG107" i="9"/>
  <c r="BF107" i="9"/>
  <c r="BE107" i="9"/>
  <c r="BD107" i="9"/>
  <c r="BC107" i="9"/>
  <c r="BB107" i="9"/>
  <c r="BA107" i="9"/>
  <c r="AZ107" i="9"/>
  <c r="AY107" i="9"/>
  <c r="AX107" i="9"/>
  <c r="AW107" i="9"/>
  <c r="AV107" i="9"/>
  <c r="AU107" i="9"/>
  <c r="AT107" i="9"/>
  <c r="AS107" i="9"/>
  <c r="AR107" i="9"/>
  <c r="AQ107" i="9"/>
  <c r="AP107" i="9"/>
  <c r="AO107" i="9"/>
  <c r="AN107" i="9"/>
  <c r="AM107" i="9"/>
  <c r="AL107" i="9"/>
  <c r="AK107" i="9"/>
  <c r="AJ107" i="9"/>
  <c r="AI107" i="9"/>
  <c r="AH107" i="9"/>
  <c r="AG107" i="9"/>
  <c r="AF107" i="9"/>
  <c r="AE107" i="9"/>
  <c r="AD107" i="9"/>
  <c r="AC107" i="9"/>
  <c r="AB107" i="9"/>
  <c r="Z107" i="9"/>
  <c r="Y107" i="9"/>
  <c r="X107" i="9"/>
  <c r="W107" i="9"/>
  <c r="V107" i="9"/>
  <c r="U107" i="9"/>
  <c r="T107" i="9"/>
  <c r="S107" i="9"/>
  <c r="R107" i="9"/>
  <c r="Q107" i="9"/>
  <c r="P107" i="9"/>
  <c r="O107" i="9"/>
  <c r="N107" i="9"/>
  <c r="M107" i="9"/>
  <c r="L107" i="9"/>
  <c r="K107" i="9"/>
  <c r="J107" i="9"/>
  <c r="I107" i="9"/>
  <c r="H107" i="9"/>
  <c r="G107" i="9"/>
  <c r="BO101" i="9"/>
  <c r="BN101" i="9"/>
  <c r="BM101" i="9"/>
  <c r="BL101" i="9"/>
  <c r="BK101" i="9"/>
  <c r="BJ101" i="9"/>
  <c r="BI101" i="9"/>
  <c r="BH101" i="9"/>
  <c r="BG101" i="9"/>
  <c r="BF101" i="9"/>
  <c r="BE101" i="9"/>
  <c r="BD101" i="9"/>
  <c r="BC101" i="9"/>
  <c r="BB101" i="9"/>
  <c r="BA101" i="9"/>
  <c r="AZ101" i="9"/>
  <c r="AY101" i="9"/>
  <c r="AX101" i="9"/>
  <c r="AW101" i="9"/>
  <c r="AV101" i="9"/>
  <c r="AU101" i="9"/>
  <c r="AT101" i="9"/>
  <c r="AS101" i="9"/>
  <c r="AR101" i="9"/>
  <c r="AQ101" i="9"/>
  <c r="AP101" i="9"/>
  <c r="AO101" i="9"/>
  <c r="AN101" i="9"/>
  <c r="AM101" i="9"/>
  <c r="AL101" i="9"/>
  <c r="AK101" i="9"/>
  <c r="AJ101" i="9"/>
  <c r="AI101" i="9"/>
  <c r="AH101" i="9"/>
  <c r="AG101" i="9"/>
  <c r="AF101" i="9"/>
  <c r="AE101" i="9"/>
  <c r="AD101" i="9"/>
  <c r="AC101" i="9"/>
  <c r="AB101" i="9"/>
  <c r="Z101" i="9"/>
  <c r="Y101" i="9"/>
  <c r="X101" i="9"/>
  <c r="W101" i="9"/>
  <c r="V101" i="9"/>
  <c r="U101" i="9"/>
  <c r="T101" i="9"/>
  <c r="S101" i="9"/>
  <c r="R101" i="9"/>
  <c r="Q101" i="9"/>
  <c r="P101" i="9"/>
  <c r="O101" i="9"/>
  <c r="N101" i="9"/>
  <c r="M101" i="9"/>
  <c r="L101" i="9"/>
  <c r="K101" i="9"/>
  <c r="J101" i="9"/>
  <c r="I101" i="9"/>
  <c r="H101" i="9"/>
  <c r="G101" i="9"/>
  <c r="BO93" i="9"/>
  <c r="BN93" i="9"/>
  <c r="BM93" i="9"/>
  <c r="BL93" i="9"/>
  <c r="BK93" i="9"/>
  <c r="BJ93" i="9"/>
  <c r="BI93" i="9"/>
  <c r="BH93" i="9"/>
  <c r="BG93" i="9"/>
  <c r="BF93" i="9"/>
  <c r="BE93" i="9"/>
  <c r="BD93" i="9"/>
  <c r="BC93" i="9"/>
  <c r="BB93" i="9"/>
  <c r="BA93" i="9"/>
  <c r="AZ93" i="9"/>
  <c r="AY93" i="9"/>
  <c r="AX93" i="9"/>
  <c r="AW93" i="9"/>
  <c r="AV93" i="9"/>
  <c r="AU93" i="9"/>
  <c r="AT93" i="9"/>
  <c r="AS93" i="9"/>
  <c r="AR93" i="9"/>
  <c r="AQ93" i="9"/>
  <c r="AP93" i="9"/>
  <c r="AO93" i="9"/>
  <c r="AN93" i="9"/>
  <c r="AM93" i="9"/>
  <c r="AL93" i="9"/>
  <c r="AK93" i="9"/>
  <c r="AJ93" i="9"/>
  <c r="AI93" i="9"/>
  <c r="AH93" i="9"/>
  <c r="AG93" i="9"/>
  <c r="AF93" i="9"/>
  <c r="AE93" i="9"/>
  <c r="AD93" i="9"/>
  <c r="AC93" i="9"/>
  <c r="AB93" i="9"/>
  <c r="R93" i="9"/>
  <c r="Q93" i="9"/>
  <c r="P93" i="9"/>
  <c r="O93" i="9"/>
  <c r="N93" i="9"/>
  <c r="M93" i="9"/>
  <c r="L93" i="9"/>
  <c r="K93" i="9"/>
  <c r="J93" i="9"/>
  <c r="I93" i="9"/>
  <c r="H93" i="9"/>
  <c r="G93" i="9"/>
  <c r="E90" i="9"/>
  <c r="E89" i="9"/>
  <c r="E88" i="9"/>
  <c r="E45" i="9"/>
  <c r="BO11" i="9"/>
  <c r="BN11" i="9"/>
  <c r="BM11" i="9"/>
  <c r="BL11" i="9"/>
  <c r="BK11" i="9"/>
  <c r="BJ11" i="9"/>
  <c r="BI11" i="9"/>
  <c r="BH11" i="9"/>
  <c r="BG11" i="9"/>
  <c r="BF11" i="9"/>
  <c r="BE11" i="9"/>
  <c r="BD11" i="9"/>
  <c r="BC11" i="9"/>
  <c r="BB11" i="9"/>
  <c r="BA11" i="9"/>
  <c r="AZ11" i="9"/>
  <c r="AY11" i="9"/>
  <c r="AX11" i="9"/>
  <c r="AW11" i="9"/>
  <c r="AV11" i="9"/>
  <c r="AU11" i="9"/>
  <c r="AT11" i="9"/>
  <c r="AS11" i="9"/>
  <c r="AR11" i="9"/>
  <c r="AQ11" i="9"/>
  <c r="AP11" i="9"/>
  <c r="AO11" i="9"/>
  <c r="AN11" i="9"/>
  <c r="AM11" i="9"/>
  <c r="AL11" i="9"/>
  <c r="AK11" i="9"/>
  <c r="AJ11" i="9"/>
  <c r="AI11" i="9"/>
  <c r="AH11" i="9"/>
  <c r="AG11" i="9"/>
  <c r="AF11" i="9"/>
  <c r="AE11" i="9"/>
  <c r="AD11" i="9"/>
  <c r="AC11" i="9"/>
  <c r="AB11" i="9"/>
  <c r="AA11" i="9"/>
  <c r="Z11" i="9"/>
  <c r="Y11" i="9"/>
  <c r="X11" i="9"/>
  <c r="W11" i="9"/>
  <c r="V11" i="9"/>
  <c r="U11" i="9"/>
  <c r="T11" i="9"/>
  <c r="S11" i="9"/>
  <c r="R11" i="9"/>
  <c r="Q11" i="9"/>
  <c r="P11" i="9"/>
  <c r="O11" i="9"/>
  <c r="N11" i="9"/>
  <c r="M11" i="9"/>
  <c r="L11" i="9"/>
  <c r="K11" i="9"/>
  <c r="J11" i="9"/>
  <c r="I11" i="9"/>
  <c r="H11" i="9"/>
  <c r="G11" i="9"/>
  <c r="F10" i="9"/>
  <c r="F9" i="9"/>
  <c r="F8" i="9"/>
  <c r="D145" i="7"/>
  <c r="F313" i="9"/>
  <c r="E306" i="9"/>
  <c r="E308" i="9" s="1"/>
  <c r="E55" i="9"/>
  <c r="E57" i="9" s="1"/>
  <c r="E74" i="9"/>
  <c r="E290" i="9"/>
  <c r="E287" i="9"/>
  <c r="E285" i="9"/>
  <c r="E284" i="9"/>
  <c r="E286" i="9" s="1"/>
  <c r="E288" i="9" s="1"/>
  <c r="E274" i="9"/>
  <c r="G274" i="9" s="1"/>
  <c r="E255" i="9"/>
  <c r="E250" i="9"/>
  <c r="E249" i="9"/>
  <c r="E252" i="9" s="1"/>
  <c r="E248" i="9"/>
  <c r="E251" i="9" s="1"/>
  <c r="D190" i="18"/>
  <c r="D191" i="18" s="1"/>
  <c r="D23" i="10"/>
  <c r="D22" i="10"/>
  <c r="D21" i="10"/>
  <c r="D20" i="10"/>
  <c r="D19" i="10"/>
  <c r="D18" i="10"/>
  <c r="D17" i="10"/>
  <c r="D16" i="10"/>
  <c r="D15" i="10"/>
  <c r="D14" i="10"/>
  <c r="D13" i="10"/>
  <c r="D12" i="10"/>
  <c r="D11" i="10"/>
  <c r="D10" i="10"/>
  <c r="D9" i="10"/>
  <c r="D8" i="10"/>
  <c r="C168" i="20"/>
  <c r="D168" i="20" s="1"/>
  <c r="D167" i="20"/>
  <c r="C166" i="20"/>
  <c r="D166" i="20" s="1"/>
  <c r="B156" i="20"/>
  <c r="B155" i="20"/>
  <c r="B154" i="20"/>
  <c r="B153" i="20"/>
  <c r="B152" i="20"/>
  <c r="B151" i="20"/>
  <c r="H148" i="15"/>
  <c r="H147" i="15"/>
  <c r="H146" i="15"/>
  <c r="C136" i="15"/>
  <c r="C135" i="15"/>
  <c r="C134" i="15"/>
  <c r="F132" i="15"/>
  <c r="F131" i="15"/>
  <c r="F130" i="15"/>
  <c r="F129" i="15"/>
  <c r="F128" i="15"/>
  <c r="F127" i="15"/>
  <c r="F126" i="15"/>
  <c r="C114" i="15"/>
  <c r="C112" i="15"/>
  <c r="C110" i="15"/>
  <c r="H116" i="20"/>
  <c r="F115" i="20"/>
  <c r="F120" i="20" s="1"/>
  <c r="C125" i="20" s="1"/>
  <c r="G120" i="20"/>
  <c r="E120" i="20"/>
  <c r="I119" i="20"/>
  <c r="C156" i="20" s="1"/>
  <c r="D156" i="20" s="1"/>
  <c r="E156" i="20" s="1"/>
  <c r="I118" i="20"/>
  <c r="C155" i="20" s="1"/>
  <c r="D155" i="20" s="1"/>
  <c r="E155" i="20" s="1"/>
  <c r="I117" i="20"/>
  <c r="C154" i="20" s="1"/>
  <c r="D154" i="20" s="1"/>
  <c r="E154" i="20" s="1"/>
  <c r="D115" i="20"/>
  <c r="I114" i="20"/>
  <c r="C151" i="20" s="1"/>
  <c r="D69" i="20"/>
  <c r="D71" i="20" s="1"/>
  <c r="D73" i="20" s="1"/>
  <c r="D85" i="20"/>
  <c r="C61" i="20"/>
  <c r="E53" i="20"/>
  <c r="E54" i="20" s="1"/>
  <c r="G52" i="20"/>
  <c r="F52" i="20"/>
  <c r="G51" i="20"/>
  <c r="F51" i="20"/>
  <c r="G50" i="20"/>
  <c r="F50" i="20"/>
  <c r="G49" i="20"/>
  <c r="F49" i="20"/>
  <c r="G48" i="20"/>
  <c r="F48" i="20"/>
  <c r="G47" i="20"/>
  <c r="F47" i="20"/>
  <c r="F53" i="20" s="1"/>
  <c r="D145" i="18"/>
  <c r="D146" i="18" s="1"/>
  <c r="D148" i="18" s="1"/>
  <c r="D221" i="7" s="1"/>
  <c r="D105" i="18"/>
  <c r="D95" i="18"/>
  <c r="D97" i="18" s="1"/>
  <c r="D87" i="18"/>
  <c r="E77" i="18"/>
  <c r="G77" i="18" s="1"/>
  <c r="E76" i="18"/>
  <c r="G76" i="18" s="1"/>
  <c r="E75" i="18"/>
  <c r="G75" i="18" s="1"/>
  <c r="E74" i="18"/>
  <c r="G74" i="18" s="1"/>
  <c r="E73" i="18"/>
  <c r="G73" i="18" s="1"/>
  <c r="E72" i="18"/>
  <c r="G72" i="18" s="1"/>
  <c r="E71" i="18"/>
  <c r="G71" i="18" s="1"/>
  <c r="E70" i="18"/>
  <c r="G70" i="18" s="1"/>
  <c r="E69" i="18"/>
  <c r="G69" i="18" s="1"/>
  <c r="C67" i="18"/>
  <c r="E67" i="18" s="1"/>
  <c r="G67" i="18" s="1"/>
  <c r="E66" i="18"/>
  <c r="G66" i="18" s="1"/>
  <c r="E65" i="18"/>
  <c r="G65" i="18" s="1"/>
  <c r="C64" i="18"/>
  <c r="E64" i="18" s="1"/>
  <c r="D36" i="18"/>
  <c r="E272" i="9" s="1"/>
  <c r="G272" i="9" s="1"/>
  <c r="D35" i="18"/>
  <c r="D34" i="18"/>
  <c r="D33" i="18"/>
  <c r="D32" i="18"/>
  <c r="D31" i="18"/>
  <c r="D30" i="18"/>
  <c r="D29" i="18"/>
  <c r="D28" i="18"/>
  <c r="D27" i="18"/>
  <c r="D26" i="18"/>
  <c r="D25" i="18"/>
  <c r="E270" i="9" s="1"/>
  <c r="G270" i="9" s="1"/>
  <c r="D23" i="18"/>
  <c r="D20" i="18"/>
  <c r="D18" i="18"/>
  <c r="D12" i="18"/>
  <c r="D9" i="18"/>
  <c r="D6" i="18"/>
  <c r="D7" i="18" s="1"/>
  <c r="BO96" i="9"/>
  <c r="BN96" i="9"/>
  <c r="BM96" i="9"/>
  <c r="BL96" i="9"/>
  <c r="BK96" i="9"/>
  <c r="BJ96" i="9"/>
  <c r="BI96" i="9"/>
  <c r="BH96" i="9"/>
  <c r="BG96" i="9"/>
  <c r="BF96" i="9"/>
  <c r="BE96" i="9"/>
  <c r="BD96" i="9"/>
  <c r="BC96" i="9"/>
  <c r="BB96" i="9"/>
  <c r="BA96" i="9"/>
  <c r="AZ96" i="9"/>
  <c r="AY96" i="9"/>
  <c r="AX96" i="9"/>
  <c r="AW96" i="9"/>
  <c r="AV96" i="9"/>
  <c r="AU96" i="9"/>
  <c r="AT96" i="9"/>
  <c r="AS96" i="9"/>
  <c r="AR96" i="9"/>
  <c r="AQ96" i="9"/>
  <c r="AP96" i="9"/>
  <c r="AO96" i="9"/>
  <c r="AN96" i="9"/>
  <c r="AM96" i="9"/>
  <c r="AL96" i="9"/>
  <c r="AK96" i="9"/>
  <c r="AJ96" i="9"/>
  <c r="AI96" i="9"/>
  <c r="AH96" i="9"/>
  <c r="AG96" i="9"/>
  <c r="AF96" i="9"/>
  <c r="AE96" i="9"/>
  <c r="AD96" i="9"/>
  <c r="AC96" i="9"/>
  <c r="AB96" i="9"/>
  <c r="AA96" i="9"/>
  <c r="Z96" i="9"/>
  <c r="Y96" i="9"/>
  <c r="X96" i="9"/>
  <c r="W96" i="9"/>
  <c r="V96" i="9"/>
  <c r="U96" i="9"/>
  <c r="T96" i="9"/>
  <c r="S96" i="9"/>
  <c r="R96" i="9"/>
  <c r="Q96" i="9"/>
  <c r="P96" i="9"/>
  <c r="O96" i="9"/>
  <c r="N96" i="9"/>
  <c r="M96" i="9"/>
  <c r="L96" i="9"/>
  <c r="K96" i="9"/>
  <c r="J96" i="9"/>
  <c r="I96" i="9"/>
  <c r="H96" i="9"/>
  <c r="G96" i="9"/>
  <c r="E97" i="9"/>
  <c r="E96" i="9"/>
  <c r="E95" i="9"/>
  <c r="E94" i="9"/>
  <c r="BO100" i="10"/>
  <c r="BN100" i="10"/>
  <c r="BM100" i="10"/>
  <c r="BL100" i="10"/>
  <c r="BK100" i="10"/>
  <c r="BJ100" i="10"/>
  <c r="BI100" i="10"/>
  <c r="BH100" i="10"/>
  <c r="BG100" i="10"/>
  <c r="BF100" i="10"/>
  <c r="BE100" i="10"/>
  <c r="BD100" i="10"/>
  <c r="BC100" i="10"/>
  <c r="BB100" i="10"/>
  <c r="BA100" i="10"/>
  <c r="AZ100" i="10"/>
  <c r="AY100" i="10"/>
  <c r="AX100" i="10"/>
  <c r="AW100" i="10"/>
  <c r="AV100" i="10"/>
  <c r="AU100" i="10"/>
  <c r="AT100" i="10"/>
  <c r="AS100" i="10"/>
  <c r="AR100" i="10"/>
  <c r="AQ100" i="10"/>
  <c r="AP100" i="10"/>
  <c r="AO100" i="10"/>
  <c r="AN100" i="10"/>
  <c r="AM100" i="10"/>
  <c r="AL100" i="10"/>
  <c r="AK100" i="10"/>
  <c r="AJ100" i="10"/>
  <c r="AI100" i="10"/>
  <c r="AH100" i="10"/>
  <c r="AG100" i="10"/>
  <c r="AF100" i="10"/>
  <c r="AE100" i="10"/>
  <c r="AD100" i="10"/>
  <c r="AC100" i="10"/>
  <c r="AB100" i="10"/>
  <c r="AA100" i="10"/>
  <c r="Z100" i="10"/>
  <c r="Y100" i="10"/>
  <c r="X100" i="10"/>
  <c r="W100" i="10"/>
  <c r="V100" i="10"/>
  <c r="U100" i="10"/>
  <c r="T100" i="10"/>
  <c r="S100" i="10"/>
  <c r="R100" i="10"/>
  <c r="Q100" i="10"/>
  <c r="P100" i="10"/>
  <c r="O100" i="10"/>
  <c r="N100" i="10"/>
  <c r="M100" i="10"/>
  <c r="L100" i="10"/>
  <c r="K100" i="10"/>
  <c r="J100" i="10"/>
  <c r="I100" i="10"/>
  <c r="H100" i="10"/>
  <c r="BO84" i="10"/>
  <c r="BN84" i="10"/>
  <c r="BM84" i="10"/>
  <c r="BL84" i="10"/>
  <c r="BK84" i="10"/>
  <c r="BJ84" i="10"/>
  <c r="BI84" i="10"/>
  <c r="BH84" i="10"/>
  <c r="BG84" i="10"/>
  <c r="BF84" i="10"/>
  <c r="BE84" i="10"/>
  <c r="BD84" i="10"/>
  <c r="BC84" i="10"/>
  <c r="BB84" i="10"/>
  <c r="BA84" i="10"/>
  <c r="AZ84" i="10"/>
  <c r="AY84" i="10"/>
  <c r="AX84" i="10"/>
  <c r="AW84" i="10"/>
  <c r="AV84" i="10"/>
  <c r="AU84" i="10"/>
  <c r="AT84" i="10"/>
  <c r="AS84" i="10"/>
  <c r="AR84" i="10"/>
  <c r="AQ84" i="10"/>
  <c r="AP84" i="10"/>
  <c r="AO84" i="10"/>
  <c r="AN84" i="10"/>
  <c r="AM84" i="10"/>
  <c r="AL84" i="10"/>
  <c r="AK84" i="10"/>
  <c r="AJ84" i="10"/>
  <c r="AI84" i="10"/>
  <c r="AH84" i="10"/>
  <c r="AG84" i="10"/>
  <c r="AF84" i="10"/>
  <c r="AE84" i="10"/>
  <c r="AD84" i="10"/>
  <c r="AC84" i="10"/>
  <c r="AB84" i="10"/>
  <c r="AA84" i="10"/>
  <c r="Z84" i="10"/>
  <c r="Y84" i="10"/>
  <c r="X84" i="10"/>
  <c r="W84" i="10"/>
  <c r="V84" i="10"/>
  <c r="U84" i="10"/>
  <c r="T84" i="10"/>
  <c r="S84" i="10"/>
  <c r="R84" i="10"/>
  <c r="Q84" i="10"/>
  <c r="P84" i="10"/>
  <c r="O84" i="10"/>
  <c r="N84" i="10"/>
  <c r="M84" i="10"/>
  <c r="L84" i="10"/>
  <c r="K84" i="10"/>
  <c r="J84" i="10"/>
  <c r="I84" i="10"/>
  <c r="H84" i="10"/>
  <c r="BO58" i="10"/>
  <c r="BN58" i="10"/>
  <c r="BM58" i="10"/>
  <c r="BL58" i="10"/>
  <c r="BK58" i="10"/>
  <c r="BJ58" i="10"/>
  <c r="BI58" i="10"/>
  <c r="BH58" i="10"/>
  <c r="BG58" i="10"/>
  <c r="BF58" i="10"/>
  <c r="BE58" i="10"/>
  <c r="BD58" i="10"/>
  <c r="BC58" i="10"/>
  <c r="BB58" i="10"/>
  <c r="BA58" i="10"/>
  <c r="AZ58" i="10"/>
  <c r="AY58" i="10"/>
  <c r="AX58" i="10"/>
  <c r="AW58" i="10"/>
  <c r="AV58" i="10"/>
  <c r="AU58" i="10"/>
  <c r="AT58" i="10"/>
  <c r="AS58" i="10"/>
  <c r="AR58" i="10"/>
  <c r="AQ58" i="10"/>
  <c r="AP58" i="10"/>
  <c r="AO58" i="10"/>
  <c r="AN58" i="10"/>
  <c r="AM58" i="10"/>
  <c r="AL58" i="10"/>
  <c r="AK58" i="10"/>
  <c r="AJ58" i="10"/>
  <c r="AI58" i="10"/>
  <c r="AH58" i="10"/>
  <c r="AG58" i="10"/>
  <c r="AF58" i="10"/>
  <c r="AE58" i="10"/>
  <c r="AD58" i="10"/>
  <c r="AC58" i="10"/>
  <c r="AB58" i="10"/>
  <c r="AA58" i="10"/>
  <c r="Z58" i="10"/>
  <c r="Y58" i="10"/>
  <c r="X58" i="10"/>
  <c r="W58" i="10"/>
  <c r="V58" i="10"/>
  <c r="U58" i="10"/>
  <c r="T58" i="10"/>
  <c r="S58" i="10"/>
  <c r="R58" i="10"/>
  <c r="Q58" i="10"/>
  <c r="P58" i="10"/>
  <c r="O58" i="10"/>
  <c r="N58" i="10"/>
  <c r="M58" i="10"/>
  <c r="L58" i="10"/>
  <c r="K58" i="10"/>
  <c r="J58" i="10"/>
  <c r="I58" i="10"/>
  <c r="H58" i="10"/>
  <c r="G100" i="10"/>
  <c r="G84" i="10"/>
  <c r="G58" i="10"/>
  <c r="F24" i="16"/>
  <c r="D29" i="16" s="1"/>
  <c r="E24" i="16"/>
  <c r="D34" i="16" s="1"/>
  <c r="D24" i="16"/>
  <c r="D25" i="16" s="1"/>
  <c r="O23" i="16"/>
  <c r="N23" i="16"/>
  <c r="I23" i="16"/>
  <c r="O22" i="16"/>
  <c r="N22" i="16"/>
  <c r="I22" i="16"/>
  <c r="O21" i="16"/>
  <c r="N21" i="16"/>
  <c r="I21" i="16"/>
  <c r="O20" i="16"/>
  <c r="N20" i="16"/>
  <c r="I20" i="16"/>
  <c r="O19" i="16"/>
  <c r="N19" i="16"/>
  <c r="I19" i="16"/>
  <c r="O18" i="16"/>
  <c r="N18" i="16"/>
  <c r="I18" i="16"/>
  <c r="O17" i="16"/>
  <c r="N17" i="16"/>
  <c r="I17" i="16"/>
  <c r="O16" i="16"/>
  <c r="N16" i="16"/>
  <c r="I16" i="16"/>
  <c r="O15" i="16"/>
  <c r="N15" i="16"/>
  <c r="N24" i="16" s="1"/>
  <c r="I15" i="16"/>
  <c r="N29" i="15"/>
  <c r="N28" i="15"/>
  <c r="N27" i="15"/>
  <c r="N26" i="15"/>
  <c r="N25" i="15"/>
  <c r="N24" i="15"/>
  <c r="N23" i="15"/>
  <c r="N22" i="15"/>
  <c r="N21" i="15"/>
  <c r="N20" i="15"/>
  <c r="B63" i="14"/>
  <c r="B62" i="14"/>
  <c r="B61" i="14"/>
  <c r="B60" i="14"/>
  <c r="B59" i="14"/>
  <c r="B58" i="14"/>
  <c r="B57" i="14"/>
  <c r="B56" i="14"/>
  <c r="B55" i="14"/>
  <c r="B54" i="14"/>
  <c r="B53" i="14"/>
  <c r="B52" i="14"/>
  <c r="E36" i="14"/>
  <c r="E35" i="14"/>
  <c r="E34" i="14"/>
  <c r="E33" i="14"/>
  <c r="E32" i="14"/>
  <c r="E31" i="14"/>
  <c r="E30" i="14"/>
  <c r="E29" i="14"/>
  <c r="E28" i="14"/>
  <c r="E27" i="14"/>
  <c r="E26" i="14"/>
  <c r="E25" i="14"/>
  <c r="D21" i="14"/>
  <c r="C21" i="14"/>
  <c r="BN105" i="6"/>
  <c r="BM105" i="6"/>
  <c r="BL105" i="6"/>
  <c r="BK105" i="6"/>
  <c r="BJ105" i="6"/>
  <c r="BI105" i="6"/>
  <c r="BH105" i="6"/>
  <c r="BG105" i="6"/>
  <c r="BF105" i="6"/>
  <c r="BE105" i="6"/>
  <c r="BD105" i="6"/>
  <c r="BC105" i="6"/>
  <c r="BB105" i="6"/>
  <c r="BA105" i="6"/>
  <c r="AZ105" i="6"/>
  <c r="AY105" i="6"/>
  <c r="AX105" i="6"/>
  <c r="AW105" i="6"/>
  <c r="AV105" i="6"/>
  <c r="AU105" i="6"/>
  <c r="AT105" i="6"/>
  <c r="AS105" i="6"/>
  <c r="AR105" i="6"/>
  <c r="AQ105" i="6"/>
  <c r="AP105" i="6"/>
  <c r="AO105" i="6"/>
  <c r="AN105" i="6"/>
  <c r="AM105" i="6"/>
  <c r="AL105" i="6"/>
  <c r="AK105" i="6"/>
  <c r="AJ105" i="6"/>
  <c r="AI105" i="6"/>
  <c r="AH105" i="6"/>
  <c r="AG105" i="6"/>
  <c r="AF105" i="6"/>
  <c r="AE105" i="6"/>
  <c r="AD105" i="6"/>
  <c r="AC105" i="6"/>
  <c r="AB105" i="6"/>
  <c r="AA105" i="6"/>
  <c r="Z105" i="6"/>
  <c r="Y105" i="6"/>
  <c r="X105" i="6"/>
  <c r="W105" i="6"/>
  <c r="V105" i="6"/>
  <c r="U105" i="6"/>
  <c r="T105" i="6"/>
  <c r="S105" i="6"/>
  <c r="R105" i="6"/>
  <c r="Q105" i="6"/>
  <c r="P105" i="6"/>
  <c r="O105" i="6"/>
  <c r="N105" i="6"/>
  <c r="M105" i="6"/>
  <c r="L105" i="6"/>
  <c r="K105" i="6"/>
  <c r="J105" i="6"/>
  <c r="I105" i="6"/>
  <c r="H105" i="6"/>
  <c r="G105" i="6"/>
  <c r="BO21" i="12"/>
  <c r="BN21" i="12"/>
  <c r="BN92" i="6" s="1"/>
  <c r="BM21" i="12"/>
  <c r="BM92" i="6" s="1"/>
  <c r="BL21" i="12"/>
  <c r="BK21" i="12"/>
  <c r="BJ21" i="12"/>
  <c r="BO9" i="12"/>
  <c r="BN9" i="12"/>
  <c r="BM9" i="12"/>
  <c r="BL9" i="12"/>
  <c r="BK9" i="12"/>
  <c r="BJ9" i="12"/>
  <c r="BO67" i="8"/>
  <c r="BN67" i="8"/>
  <c r="BM67" i="8"/>
  <c r="BL67" i="8"/>
  <c r="BK67" i="8"/>
  <c r="BJ67" i="8"/>
  <c r="BO15" i="7"/>
  <c r="BN15" i="7"/>
  <c r="BM15" i="7"/>
  <c r="BL15" i="7"/>
  <c r="BK15" i="7"/>
  <c r="BJ15" i="7"/>
  <c r="BO14" i="7"/>
  <c r="BN14" i="7"/>
  <c r="BM14" i="7"/>
  <c r="BL14" i="7"/>
  <c r="BK14" i="7"/>
  <c r="BJ14" i="7"/>
  <c r="BO10" i="7"/>
  <c r="BN10" i="7"/>
  <c r="BM10" i="7"/>
  <c r="BL10" i="7"/>
  <c r="BK10" i="7"/>
  <c r="BJ10" i="7"/>
  <c r="BO108" i="6"/>
  <c r="BN108" i="6"/>
  <c r="BM108" i="6"/>
  <c r="BL108" i="6"/>
  <c r="BK108" i="6"/>
  <c r="BJ108" i="6"/>
  <c r="BO92" i="6"/>
  <c r="BL92" i="6"/>
  <c r="BK92" i="6"/>
  <c r="BJ92" i="6"/>
  <c r="BO10" i="6"/>
  <c r="BN10" i="6"/>
  <c r="BM10" i="6"/>
  <c r="BL10" i="6"/>
  <c r="BK10" i="6"/>
  <c r="BJ10" i="6"/>
  <c r="E114" i="6"/>
  <c r="G84" i="6"/>
  <c r="G31" i="13"/>
  <c r="G25" i="13"/>
  <c r="G19" i="13"/>
  <c r="G14" i="13"/>
  <c r="BI10" i="6"/>
  <c r="BH10" i="6"/>
  <c r="BG10" i="6"/>
  <c r="BF10" i="6"/>
  <c r="BE10" i="6"/>
  <c r="BD10" i="6"/>
  <c r="BC10" i="6"/>
  <c r="BB10" i="6"/>
  <c r="BA10" i="6"/>
  <c r="AZ10" i="6"/>
  <c r="AY10" i="6"/>
  <c r="AX10" i="6"/>
  <c r="AW10" i="6"/>
  <c r="AV10" i="6"/>
  <c r="AU10" i="6"/>
  <c r="AT10" i="6"/>
  <c r="AS10" i="6"/>
  <c r="AR10" i="6"/>
  <c r="AQ10" i="6"/>
  <c r="AP10" i="6"/>
  <c r="AO10" i="6"/>
  <c r="AN10" i="6"/>
  <c r="AM10" i="6"/>
  <c r="AL10" i="6"/>
  <c r="AK10" i="6"/>
  <c r="AJ10" i="6"/>
  <c r="AI10" i="6"/>
  <c r="AH10" i="6"/>
  <c r="AG10" i="6"/>
  <c r="AF10" i="6"/>
  <c r="AE10" i="6"/>
  <c r="AD10" i="6"/>
  <c r="AC10" i="6"/>
  <c r="AB10" i="6"/>
  <c r="AA10" i="6"/>
  <c r="Z10" i="6"/>
  <c r="Y10" i="6"/>
  <c r="X10" i="6"/>
  <c r="W10" i="6"/>
  <c r="V10" i="6"/>
  <c r="U10" i="6"/>
  <c r="T10" i="6"/>
  <c r="S10" i="6"/>
  <c r="R10" i="6"/>
  <c r="Q10" i="6"/>
  <c r="P10" i="6"/>
  <c r="O10" i="6"/>
  <c r="N10" i="6"/>
  <c r="M10" i="6"/>
  <c r="L10" i="6"/>
  <c r="K10" i="6"/>
  <c r="J10" i="6"/>
  <c r="I10" i="6"/>
  <c r="H10" i="6"/>
  <c r="G29" i="6"/>
  <c r="G10" i="6"/>
  <c r="BI21" i="12"/>
  <c r="BI92" i="6" s="1"/>
  <c r="BH21" i="12"/>
  <c r="BH92" i="6" s="1"/>
  <c r="BG21" i="12"/>
  <c r="BG92" i="6" s="1"/>
  <c r="BF21" i="12"/>
  <c r="BF92" i="6" s="1"/>
  <c r="BE21" i="12"/>
  <c r="BE92" i="6" s="1"/>
  <c r="BD21" i="12"/>
  <c r="BD92" i="6" s="1"/>
  <c r="BC21" i="12"/>
  <c r="BC92" i="6" s="1"/>
  <c r="BB21" i="12"/>
  <c r="BB92" i="6" s="1"/>
  <c r="BA21" i="12"/>
  <c r="BA92" i="6" s="1"/>
  <c r="AZ21" i="12"/>
  <c r="AZ92" i="6" s="1"/>
  <c r="AY21" i="12"/>
  <c r="AY92" i="6" s="1"/>
  <c r="AX21" i="12"/>
  <c r="AX92" i="6" s="1"/>
  <c r="AW21" i="12"/>
  <c r="AW92" i="6" s="1"/>
  <c r="AV21" i="12"/>
  <c r="AV92" i="6" s="1"/>
  <c r="AU21" i="12"/>
  <c r="AU92" i="6" s="1"/>
  <c r="AT21" i="12"/>
  <c r="AT92" i="6" s="1"/>
  <c r="AS21" i="12"/>
  <c r="AS92" i="6" s="1"/>
  <c r="AR21" i="12"/>
  <c r="AR92" i="6" s="1"/>
  <c r="AQ21" i="12"/>
  <c r="AQ92" i="6" s="1"/>
  <c r="AP21" i="12"/>
  <c r="AP92" i="6" s="1"/>
  <c r="AO21" i="12"/>
  <c r="AO92" i="6" s="1"/>
  <c r="AN21" i="12"/>
  <c r="AN92" i="6" s="1"/>
  <c r="AM21" i="12"/>
  <c r="AM92" i="6" s="1"/>
  <c r="AL21" i="12"/>
  <c r="AL92" i="6" s="1"/>
  <c r="AK21" i="12"/>
  <c r="AK92" i="6" s="1"/>
  <c r="AJ21" i="12"/>
  <c r="AJ92" i="6" s="1"/>
  <c r="AI21" i="12"/>
  <c r="AI92" i="6" s="1"/>
  <c r="AH21" i="12"/>
  <c r="AH92" i="6" s="1"/>
  <c r="AG21" i="12"/>
  <c r="AG92" i="6" s="1"/>
  <c r="AF21" i="12"/>
  <c r="AF92" i="6" s="1"/>
  <c r="AE21" i="12"/>
  <c r="AE92" i="6" s="1"/>
  <c r="AD21" i="12"/>
  <c r="AD92" i="6" s="1"/>
  <c r="AC21" i="12"/>
  <c r="AC92" i="6" s="1"/>
  <c r="AB21" i="12"/>
  <c r="AB92" i="6" s="1"/>
  <c r="AA21" i="12"/>
  <c r="AA92" i="6" s="1"/>
  <c r="Z21" i="12"/>
  <c r="Z92" i="6" s="1"/>
  <c r="Y21" i="12"/>
  <c r="Y92" i="6" s="1"/>
  <c r="X21" i="12"/>
  <c r="X92" i="6" s="1"/>
  <c r="W21" i="12"/>
  <c r="W92" i="6" s="1"/>
  <c r="V21" i="12"/>
  <c r="V92" i="6" s="1"/>
  <c r="U21" i="12"/>
  <c r="U92" i="6" s="1"/>
  <c r="T21" i="12"/>
  <c r="T92" i="6" s="1"/>
  <c r="S21" i="12"/>
  <c r="S92" i="6" s="1"/>
  <c r="R21" i="12"/>
  <c r="R92" i="6" s="1"/>
  <c r="Q21" i="12"/>
  <c r="Q92" i="6" s="1"/>
  <c r="P21" i="12"/>
  <c r="P92" i="6" s="1"/>
  <c r="O21" i="12"/>
  <c r="O92" i="6" s="1"/>
  <c r="N21" i="12"/>
  <c r="N92" i="6" s="1"/>
  <c r="M21" i="12"/>
  <c r="M92" i="6" s="1"/>
  <c r="L21" i="12"/>
  <c r="L92" i="6" s="1"/>
  <c r="K21" i="12"/>
  <c r="K92" i="6" s="1"/>
  <c r="J21" i="12"/>
  <c r="J92" i="6" s="1"/>
  <c r="I21" i="12"/>
  <c r="I92" i="6" s="1"/>
  <c r="H21" i="12"/>
  <c r="H92" i="6" s="1"/>
  <c r="BI9" i="12"/>
  <c r="BH9" i="12"/>
  <c r="BG9" i="12"/>
  <c r="BF9" i="12"/>
  <c r="BE9" i="12"/>
  <c r="BD9" i="12"/>
  <c r="BC9" i="12"/>
  <c r="BB9" i="12"/>
  <c r="BA9" i="12"/>
  <c r="AZ9" i="12"/>
  <c r="AY9" i="12"/>
  <c r="AX9" i="12"/>
  <c r="AW9" i="12"/>
  <c r="AV9" i="12"/>
  <c r="AU9" i="12"/>
  <c r="AT9" i="12"/>
  <c r="AS9" i="12"/>
  <c r="AR9" i="12"/>
  <c r="AQ9" i="12"/>
  <c r="AP9" i="12"/>
  <c r="AO9" i="12"/>
  <c r="AN9" i="12"/>
  <c r="AM9" i="12"/>
  <c r="AL9" i="12"/>
  <c r="AK9" i="12"/>
  <c r="AJ9" i="12"/>
  <c r="AI9" i="12"/>
  <c r="AH9" i="12"/>
  <c r="AG9" i="12"/>
  <c r="AF9" i="12"/>
  <c r="AE9" i="12"/>
  <c r="AD9" i="12"/>
  <c r="AC9" i="12"/>
  <c r="AB9" i="12"/>
  <c r="AA9" i="12"/>
  <c r="Z9" i="12"/>
  <c r="Y9" i="12"/>
  <c r="X9" i="12"/>
  <c r="W9" i="12"/>
  <c r="V9" i="12"/>
  <c r="U9" i="12"/>
  <c r="T9" i="12"/>
  <c r="S9" i="12"/>
  <c r="R9" i="12"/>
  <c r="Q9" i="12"/>
  <c r="P9" i="12"/>
  <c r="O9" i="12"/>
  <c r="N9" i="12"/>
  <c r="M9" i="12"/>
  <c r="L9" i="12"/>
  <c r="K9" i="12"/>
  <c r="J9" i="12"/>
  <c r="I9" i="12"/>
  <c r="H9" i="12"/>
  <c r="G21" i="12"/>
  <c r="G92" i="6" s="1"/>
  <c r="G18" i="12"/>
  <c r="G9" i="12"/>
  <c r="E49" i="11"/>
  <c r="D49" i="11"/>
  <c r="B49" i="11"/>
  <c r="E48" i="11"/>
  <c r="D48" i="11"/>
  <c r="B48" i="11"/>
  <c r="E47" i="11"/>
  <c r="D47" i="11"/>
  <c r="B47" i="11"/>
  <c r="E46" i="11"/>
  <c r="D46" i="11"/>
  <c r="B46" i="11"/>
  <c r="E45" i="11"/>
  <c r="D45" i="11"/>
  <c r="B45" i="11"/>
  <c r="E44" i="11"/>
  <c r="D44" i="11"/>
  <c r="B44" i="11"/>
  <c r="E43" i="11"/>
  <c r="D43" i="11"/>
  <c r="B43" i="11"/>
  <c r="E42" i="11"/>
  <c r="D42" i="11"/>
  <c r="B42" i="11"/>
  <c r="E41" i="11"/>
  <c r="D41" i="11"/>
  <c r="B41" i="11"/>
  <c r="E40" i="11"/>
  <c r="D40" i="11"/>
  <c r="B40" i="11"/>
  <c r="E39" i="11"/>
  <c r="D39" i="11"/>
  <c r="B39" i="11"/>
  <c r="E38" i="11"/>
  <c r="D38" i="11"/>
  <c r="B38" i="11"/>
  <c r="E37" i="11"/>
  <c r="D37" i="11"/>
  <c r="B37" i="11"/>
  <c r="E36" i="11"/>
  <c r="D36" i="11"/>
  <c r="B36" i="11"/>
  <c r="E35" i="11"/>
  <c r="D35" i="11"/>
  <c r="B35" i="11"/>
  <c r="E34" i="11"/>
  <c r="D34" i="11"/>
  <c r="B34" i="11"/>
  <c r="G52" i="10"/>
  <c r="E131" i="9"/>
  <c r="E130" i="9"/>
  <c r="E129" i="9"/>
  <c r="E128" i="9"/>
  <c r="E127" i="9"/>
  <c r="E126" i="9"/>
  <c r="E125" i="9"/>
  <c r="E124" i="9"/>
  <c r="E123" i="9"/>
  <c r="E122" i="9"/>
  <c r="E92" i="9"/>
  <c r="E91" i="9"/>
  <c r="F91" i="9" s="1"/>
  <c r="E86" i="9"/>
  <c r="E77" i="9"/>
  <c r="E73" i="9"/>
  <c r="E64" i="9"/>
  <c r="E65" i="9" s="1"/>
  <c r="E68" i="9" s="1"/>
  <c r="BI67" i="8"/>
  <c r="BH67" i="8"/>
  <c r="BG67" i="8"/>
  <c r="BF67" i="8"/>
  <c r="BE67" i="8"/>
  <c r="BD67" i="8"/>
  <c r="BC67" i="8"/>
  <c r="BB67" i="8"/>
  <c r="BA67" i="8"/>
  <c r="AZ67" i="8"/>
  <c r="AY67" i="8"/>
  <c r="AX67" i="8"/>
  <c r="AW67" i="8"/>
  <c r="AV67" i="8"/>
  <c r="AU67" i="8"/>
  <c r="AT67" i="8"/>
  <c r="AS67" i="8"/>
  <c r="AR67" i="8"/>
  <c r="AQ67" i="8"/>
  <c r="AP67" i="8"/>
  <c r="AO67" i="8"/>
  <c r="AN67" i="8"/>
  <c r="AM67" i="8"/>
  <c r="AL67" i="8"/>
  <c r="AK67" i="8"/>
  <c r="AJ67" i="8"/>
  <c r="AI67" i="8"/>
  <c r="AH67" i="8"/>
  <c r="AG67" i="8"/>
  <c r="AF67" i="8"/>
  <c r="AE67" i="8"/>
  <c r="AD67" i="8"/>
  <c r="AC67" i="8"/>
  <c r="AB67" i="8"/>
  <c r="AA67" i="8"/>
  <c r="Z67" i="8"/>
  <c r="Y67" i="8"/>
  <c r="X67" i="8"/>
  <c r="W67" i="8"/>
  <c r="V67" i="8"/>
  <c r="U67" i="8"/>
  <c r="T67" i="8"/>
  <c r="S67" i="8"/>
  <c r="R67" i="8"/>
  <c r="Q67" i="8"/>
  <c r="P67" i="8"/>
  <c r="O67" i="8"/>
  <c r="N67" i="8"/>
  <c r="M67" i="8"/>
  <c r="L67" i="8"/>
  <c r="K67" i="8"/>
  <c r="J67" i="8"/>
  <c r="I67" i="8"/>
  <c r="H67" i="8"/>
  <c r="G67" i="8"/>
  <c r="D46" i="8"/>
  <c r="D44" i="8"/>
  <c r="D29" i="8"/>
  <c r="D28" i="8"/>
  <c r="D70" i="8" s="1"/>
  <c r="D72" i="8" s="1"/>
  <c r="D27" i="8"/>
  <c r="D183" i="7"/>
  <c r="D180" i="7"/>
  <c r="E133" i="9" s="1"/>
  <c r="D179" i="7"/>
  <c r="E132" i="9" s="1"/>
  <c r="D163" i="7"/>
  <c r="D96" i="7"/>
  <c r="C96" i="7"/>
  <c r="D99" i="18" s="1"/>
  <c r="G22" i="7"/>
  <c r="G59" i="8" s="1"/>
  <c r="D53" i="7"/>
  <c r="D46" i="7"/>
  <c r="D43" i="7"/>
  <c r="D31" i="7"/>
  <c r="D112" i="18" s="1"/>
  <c r="BI15" i="7"/>
  <c r="BH15" i="7"/>
  <c r="BG15" i="7"/>
  <c r="BF15" i="7"/>
  <c r="BE15" i="7"/>
  <c r="BD15" i="7"/>
  <c r="BC15" i="7"/>
  <c r="BB15" i="7"/>
  <c r="BA15" i="7"/>
  <c r="AZ15" i="7"/>
  <c r="AY15" i="7"/>
  <c r="AX15" i="7"/>
  <c r="AW15" i="7"/>
  <c r="AV15" i="7"/>
  <c r="AU15" i="7"/>
  <c r="AT15" i="7"/>
  <c r="AS15" i="7"/>
  <c r="AR15" i="7"/>
  <c r="AQ15" i="7"/>
  <c r="AP15" i="7"/>
  <c r="AO15" i="7"/>
  <c r="AN15" i="7"/>
  <c r="AM15" i="7"/>
  <c r="AL15" i="7"/>
  <c r="AK15" i="7"/>
  <c r="AJ15" i="7"/>
  <c r="AI15" i="7"/>
  <c r="AH15" i="7"/>
  <c r="AG15" i="7"/>
  <c r="AF15" i="7"/>
  <c r="AE15" i="7"/>
  <c r="AD15" i="7"/>
  <c r="AC15" i="7"/>
  <c r="AB15" i="7"/>
  <c r="AA15" i="7"/>
  <c r="Z15" i="7"/>
  <c r="Y15" i="7"/>
  <c r="X15" i="7"/>
  <c r="W15" i="7"/>
  <c r="V15" i="7"/>
  <c r="U15" i="7"/>
  <c r="T15" i="7"/>
  <c r="S15" i="7"/>
  <c r="R15" i="7"/>
  <c r="Q15" i="7"/>
  <c r="P15" i="7"/>
  <c r="O15" i="7"/>
  <c r="N15" i="7"/>
  <c r="M15" i="7"/>
  <c r="L15" i="7"/>
  <c r="K15" i="7"/>
  <c r="J15" i="7"/>
  <c r="I15" i="7"/>
  <c r="H15" i="7"/>
  <c r="BI14" i="7"/>
  <c r="BH14" i="7"/>
  <c r="BG14" i="7"/>
  <c r="BF14" i="7"/>
  <c r="BE14" i="7"/>
  <c r="BD14" i="7"/>
  <c r="BC14" i="7"/>
  <c r="BB14" i="7"/>
  <c r="BA14" i="7"/>
  <c r="AZ14" i="7"/>
  <c r="AY14" i="7"/>
  <c r="AX14" i="7"/>
  <c r="AW14" i="7"/>
  <c r="AV14" i="7"/>
  <c r="AU14" i="7"/>
  <c r="AT14" i="7"/>
  <c r="AS14" i="7"/>
  <c r="AR14" i="7"/>
  <c r="AQ14" i="7"/>
  <c r="AP14" i="7"/>
  <c r="AO14" i="7"/>
  <c r="AN14" i="7"/>
  <c r="AM14" i="7"/>
  <c r="AL14" i="7"/>
  <c r="AK14" i="7"/>
  <c r="AJ14" i="7"/>
  <c r="AI14" i="7"/>
  <c r="AH14" i="7"/>
  <c r="AG14" i="7"/>
  <c r="AF14" i="7"/>
  <c r="AE14" i="7"/>
  <c r="AD14" i="7"/>
  <c r="AC14" i="7"/>
  <c r="AB14" i="7"/>
  <c r="AA14" i="7"/>
  <c r="Z14" i="7"/>
  <c r="Y14" i="7"/>
  <c r="X14" i="7"/>
  <c r="W14" i="7"/>
  <c r="V14" i="7"/>
  <c r="U14" i="7"/>
  <c r="T14" i="7"/>
  <c r="S14" i="7"/>
  <c r="R14" i="7"/>
  <c r="Q14" i="7"/>
  <c r="P14" i="7"/>
  <c r="O14" i="7"/>
  <c r="N14" i="7"/>
  <c r="M14" i="7"/>
  <c r="L14" i="7"/>
  <c r="K14" i="7"/>
  <c r="J14" i="7"/>
  <c r="I14" i="7"/>
  <c r="H14" i="7"/>
  <c r="BI10" i="7"/>
  <c r="BH10" i="7"/>
  <c r="BG10" i="7"/>
  <c r="BF10" i="7"/>
  <c r="BE10" i="7"/>
  <c r="BD10" i="7"/>
  <c r="BC10" i="7"/>
  <c r="BB10" i="7"/>
  <c r="BA10" i="7"/>
  <c r="AZ10" i="7"/>
  <c r="AY10" i="7"/>
  <c r="AX10" i="7"/>
  <c r="AW10" i="7"/>
  <c r="AV10" i="7"/>
  <c r="AU10" i="7"/>
  <c r="AT10" i="7"/>
  <c r="AS10" i="7"/>
  <c r="AR10" i="7"/>
  <c r="AQ10" i="7"/>
  <c r="AP10" i="7"/>
  <c r="AO10" i="7"/>
  <c r="AN10" i="7"/>
  <c r="AM10" i="7"/>
  <c r="AL10" i="7"/>
  <c r="AK10" i="7"/>
  <c r="AJ10" i="7"/>
  <c r="AI10" i="7"/>
  <c r="AH10" i="7"/>
  <c r="AG10" i="7"/>
  <c r="AF10" i="7"/>
  <c r="AE10" i="7"/>
  <c r="AD10" i="7"/>
  <c r="AC10" i="7"/>
  <c r="AB10" i="7"/>
  <c r="AA10" i="7"/>
  <c r="Z10" i="7"/>
  <c r="Y10" i="7"/>
  <c r="X10" i="7"/>
  <c r="W10" i="7"/>
  <c r="V10" i="7"/>
  <c r="U10" i="7"/>
  <c r="T10" i="7"/>
  <c r="S10" i="7"/>
  <c r="R10" i="7"/>
  <c r="Q10" i="7"/>
  <c r="P10" i="7"/>
  <c r="O10" i="7"/>
  <c r="N10" i="7"/>
  <c r="M10" i="7"/>
  <c r="L10" i="7"/>
  <c r="K10" i="7"/>
  <c r="J10" i="7"/>
  <c r="I10" i="7"/>
  <c r="H10" i="7"/>
  <c r="G15" i="7"/>
  <c r="G14" i="7"/>
  <c r="G11" i="7"/>
  <c r="G10" i="7"/>
  <c r="AA60" i="12" l="1"/>
  <c r="AA59" i="12"/>
  <c r="Z60" i="12"/>
  <c r="Z59" i="12"/>
  <c r="Y60" i="12"/>
  <c r="Y59" i="12"/>
  <c r="X60" i="12"/>
  <c r="X59" i="12"/>
  <c r="W60" i="12"/>
  <c r="W59" i="12"/>
  <c r="V60" i="12"/>
  <c r="V59" i="12"/>
  <c r="U60" i="12"/>
  <c r="U59" i="12"/>
  <c r="T60" i="12"/>
  <c r="T59" i="12"/>
  <c r="S59" i="12"/>
  <c r="S60" i="12"/>
  <c r="R60" i="12"/>
  <c r="R59" i="12"/>
  <c r="Q60" i="12"/>
  <c r="Q59" i="12"/>
  <c r="P60" i="12"/>
  <c r="P59" i="12"/>
  <c r="O60" i="12"/>
  <c r="O59" i="12"/>
  <c r="N60" i="12"/>
  <c r="N59" i="12"/>
  <c r="M60" i="12"/>
  <c r="M59" i="12"/>
  <c r="L60" i="12"/>
  <c r="L59" i="12"/>
  <c r="K60" i="12"/>
  <c r="K59" i="12"/>
  <c r="J60" i="12"/>
  <c r="J59" i="12"/>
  <c r="I60" i="12"/>
  <c r="I59" i="12"/>
  <c r="H60" i="12"/>
  <c r="H59" i="12"/>
  <c r="G60" i="12"/>
  <c r="G59" i="12"/>
  <c r="G62" i="12"/>
  <c r="F11" i="9"/>
  <c r="G53" i="20"/>
  <c r="D67" i="20" s="1"/>
  <c r="BI108" i="6"/>
  <c r="BH108" i="6"/>
  <c r="BG108" i="6"/>
  <c r="BF108" i="6"/>
  <c r="BE108" i="6"/>
  <c r="BD108" i="6"/>
  <c r="BC108" i="6"/>
  <c r="BB108" i="6"/>
  <c r="BA108" i="6"/>
  <c r="AZ108" i="6"/>
  <c r="AY108" i="6"/>
  <c r="AX108" i="6"/>
  <c r="AW108" i="6"/>
  <c r="AV108" i="6"/>
  <c r="AU108" i="6"/>
  <c r="AT108" i="6"/>
  <c r="AS108" i="6"/>
  <c r="AR108" i="6"/>
  <c r="AQ108" i="6"/>
  <c r="AP108" i="6"/>
  <c r="AO108" i="6"/>
  <c r="AN108" i="6"/>
  <c r="AM108" i="6"/>
  <c r="AL108" i="6"/>
  <c r="AK108" i="6"/>
  <c r="AJ108" i="6"/>
  <c r="AI108" i="6"/>
  <c r="AH108" i="6"/>
  <c r="AG108" i="6"/>
  <c r="AF108" i="6"/>
  <c r="AE108" i="6"/>
  <c r="AD108" i="6"/>
  <c r="AC108" i="6"/>
  <c r="AB108" i="6"/>
  <c r="AA108" i="6"/>
  <c r="Z108" i="6"/>
  <c r="Y108" i="6"/>
  <c r="X108" i="6"/>
  <c r="W108" i="6"/>
  <c r="V108" i="6"/>
  <c r="U108" i="6"/>
  <c r="T108" i="6"/>
  <c r="S108" i="6"/>
  <c r="R108" i="6"/>
  <c r="Q108" i="6"/>
  <c r="P108" i="6"/>
  <c r="O108" i="6"/>
  <c r="N108" i="6"/>
  <c r="M108" i="6"/>
  <c r="L108" i="6"/>
  <c r="K108" i="6"/>
  <c r="J108" i="6"/>
  <c r="I108" i="6"/>
  <c r="H108" i="6"/>
  <c r="G108" i="6"/>
  <c r="BO100" i="9"/>
  <c r="BN100" i="9"/>
  <c r="BM100" i="9"/>
  <c r="BL100" i="9"/>
  <c r="BK100" i="9"/>
  <c r="BJ100" i="9"/>
  <c r="BI100" i="9"/>
  <c r="BH100" i="9"/>
  <c r="BG100" i="9"/>
  <c r="BF100" i="9"/>
  <c r="BE100" i="9"/>
  <c r="BD100" i="9"/>
  <c r="BC100" i="9"/>
  <c r="BB100" i="9"/>
  <c r="BA100" i="9"/>
  <c r="AZ100" i="9"/>
  <c r="AY100" i="9"/>
  <c r="AX100" i="9"/>
  <c r="AW100" i="9"/>
  <c r="AV100" i="9"/>
  <c r="AU100" i="9"/>
  <c r="AT100" i="9"/>
  <c r="AS100" i="9"/>
  <c r="AR100" i="9"/>
  <c r="AQ100" i="9"/>
  <c r="AP100" i="9"/>
  <c r="AO100" i="9"/>
  <c r="AN100" i="9"/>
  <c r="AM100" i="9"/>
  <c r="AL100" i="9"/>
  <c r="AK100" i="9"/>
  <c r="AJ100" i="9"/>
  <c r="AI100" i="9"/>
  <c r="AH100" i="9"/>
  <c r="AG100" i="9"/>
  <c r="AF100" i="9"/>
  <c r="AE100" i="9"/>
  <c r="AD100" i="9"/>
  <c r="AC100" i="9"/>
  <c r="AB100" i="9"/>
  <c r="X63" i="11"/>
  <c r="X64" i="11"/>
  <c r="W63" i="11"/>
  <c r="W64" i="11"/>
  <c r="V64" i="11"/>
  <c r="V63" i="11"/>
  <c r="U64" i="11"/>
  <c r="U63" i="11"/>
  <c r="T64" i="11"/>
  <c r="T63" i="11"/>
  <c r="S64" i="11"/>
  <c r="S63" i="11"/>
  <c r="R314" i="9"/>
  <c r="R38" i="12" s="1"/>
  <c r="R64" i="11"/>
  <c r="R63" i="11"/>
  <c r="Q314" i="9"/>
  <c r="Q38" i="12" s="1"/>
  <c r="Q64" i="11"/>
  <c r="Q63" i="11"/>
  <c r="P314" i="9"/>
  <c r="P38" i="12" s="1"/>
  <c r="P64" i="11"/>
  <c r="P63" i="11"/>
  <c r="O314" i="9"/>
  <c r="O38" i="12" s="1"/>
  <c r="O63" i="11"/>
  <c r="O64" i="11"/>
  <c r="N314" i="9"/>
  <c r="N38" i="12" s="1"/>
  <c r="N63" i="11"/>
  <c r="N64" i="11"/>
  <c r="M314" i="9"/>
  <c r="M38" i="12" s="1"/>
  <c r="M63" i="11"/>
  <c r="M64" i="11"/>
  <c r="L314" i="9"/>
  <c r="L38" i="12" s="1"/>
  <c r="L64" i="11"/>
  <c r="L63" i="11"/>
  <c r="K314" i="9"/>
  <c r="K38" i="12" s="1"/>
  <c r="K64" i="11"/>
  <c r="K63" i="11"/>
  <c r="J314" i="9"/>
  <c r="J38" i="12" s="1"/>
  <c r="J64" i="11"/>
  <c r="J63" i="11"/>
  <c r="I314" i="9"/>
  <c r="I38" i="12" s="1"/>
  <c r="I64" i="11"/>
  <c r="I63" i="11"/>
  <c r="H64" i="11"/>
  <c r="H63" i="11"/>
  <c r="G314" i="9"/>
  <c r="G38" i="12" s="1"/>
  <c r="G63" i="11"/>
  <c r="G64" i="11"/>
  <c r="X34" i="7"/>
  <c r="X29" i="10" s="1"/>
  <c r="X314" i="9"/>
  <c r="X38" i="12" s="1"/>
  <c r="W34" i="7"/>
  <c r="W29" i="10" s="1"/>
  <c r="W314" i="9"/>
  <c r="W38" i="12" s="1"/>
  <c r="V34" i="7"/>
  <c r="V29" i="10" s="1"/>
  <c r="V314" i="9"/>
  <c r="V38" i="12" s="1"/>
  <c r="U34" i="7"/>
  <c r="U29" i="10" s="1"/>
  <c r="U314" i="9"/>
  <c r="U38" i="12" s="1"/>
  <c r="T34" i="7"/>
  <c r="T29" i="10" s="1"/>
  <c r="T314" i="9"/>
  <c r="T38" i="12" s="1"/>
  <c r="S34" i="7"/>
  <c r="S29" i="10" s="1"/>
  <c r="S314" i="9"/>
  <c r="S38" i="12" s="1"/>
  <c r="H16" i="7"/>
  <c r="H28" i="12" s="1"/>
  <c r="H314" i="9"/>
  <c r="H38" i="12" s="1"/>
  <c r="I208" i="9"/>
  <c r="F17" i="9" s="1"/>
  <c r="I209" i="9"/>
  <c r="F18" i="9" s="1"/>
  <c r="I215" i="9"/>
  <c r="F24" i="9" s="1"/>
  <c r="I216" i="9"/>
  <c r="F25" i="9" s="1"/>
  <c r="I223" i="9"/>
  <c r="F87" i="9" s="1"/>
  <c r="I224" i="9"/>
  <c r="F88" i="9" s="1"/>
  <c r="I211" i="9"/>
  <c r="F20" i="9" s="1"/>
  <c r="I212" i="9"/>
  <c r="F21" i="9" s="1"/>
  <c r="I213" i="9"/>
  <c r="F22" i="9" s="1"/>
  <c r="I219" i="9"/>
  <c r="I226" i="9"/>
  <c r="F90" i="9" s="1"/>
  <c r="I210" i="9"/>
  <c r="F19" i="9" s="1"/>
  <c r="I217" i="9"/>
  <c r="F26" i="9" s="1"/>
  <c r="I220" i="9"/>
  <c r="I221" i="9"/>
  <c r="I222" i="9"/>
  <c r="I225" i="9"/>
  <c r="F89" i="9" s="1"/>
  <c r="I207" i="9"/>
  <c r="F16" i="9" s="1"/>
  <c r="I214" i="9"/>
  <c r="F23" i="9" s="1"/>
  <c r="I218" i="9"/>
  <c r="I227" i="9"/>
  <c r="F93" i="9" s="1"/>
  <c r="G276" i="9"/>
  <c r="E79" i="9"/>
  <c r="E15" i="9"/>
  <c r="D151" i="20"/>
  <c r="H120" i="20"/>
  <c r="C127" i="20" s="1"/>
  <c r="I116" i="20"/>
  <c r="C153" i="20" s="1"/>
  <c r="D153" i="20" s="1"/>
  <c r="E153" i="20" s="1"/>
  <c r="D125" i="20"/>
  <c r="E125" i="20"/>
  <c r="F125" i="20"/>
  <c r="D120" i="20"/>
  <c r="C126" i="20" s="1"/>
  <c r="C128" i="20" s="1"/>
  <c r="I115" i="20"/>
  <c r="D90" i="20"/>
  <c r="D91" i="20" s="1"/>
  <c r="D93" i="20" s="1"/>
  <c r="D94" i="20" s="1"/>
  <c r="D101" i="20" s="1"/>
  <c r="D59" i="20"/>
  <c r="D60" i="20"/>
  <c r="D62" i="20"/>
  <c r="D63" i="20"/>
  <c r="D66" i="20"/>
  <c r="I24" i="16"/>
  <c r="D31" i="16" s="1"/>
  <c r="D37" i="16" s="1"/>
  <c r="F96" i="9"/>
  <c r="D64" i="16"/>
  <c r="D65" i="16" s="1"/>
  <c r="D75" i="7"/>
  <c r="F86" i="9"/>
  <c r="F92" i="9"/>
  <c r="F94" i="9"/>
  <c r="F95" i="9"/>
  <c r="F97" i="9"/>
  <c r="D102" i="18"/>
  <c r="D131" i="18"/>
  <c r="D132" i="18" s="1"/>
  <c r="D134" i="18" s="1"/>
  <c r="D135" i="18" s="1"/>
  <c r="D121" i="18"/>
  <c r="D119" i="18"/>
  <c r="G64" i="18"/>
  <c r="D8" i="18"/>
  <c r="D19" i="18" s="1"/>
  <c r="D22" i="18"/>
  <c r="D21" i="18"/>
  <c r="D37" i="18"/>
  <c r="E273" i="9" s="1"/>
  <c r="G273" i="9" s="1"/>
  <c r="D43" i="18"/>
  <c r="D45" i="8"/>
  <c r="D47" i="8" s="1"/>
  <c r="D49" i="8" s="1"/>
  <c r="R31" i="12"/>
  <c r="R52" i="6" s="1"/>
  <c r="R34" i="7"/>
  <c r="R29" i="10" s="1"/>
  <c r="Q31" i="12"/>
  <c r="Q52" i="6" s="1"/>
  <c r="Q34" i="7"/>
  <c r="Q29" i="10" s="1"/>
  <c r="P31" i="12"/>
  <c r="P52" i="6" s="1"/>
  <c r="P34" i="7"/>
  <c r="P29" i="10" s="1"/>
  <c r="O31" i="12"/>
  <c r="O52" i="6" s="1"/>
  <c r="O34" i="7"/>
  <c r="O29" i="10" s="1"/>
  <c r="N31" i="12"/>
  <c r="N52" i="6" s="1"/>
  <c r="N34" i="7"/>
  <c r="N29" i="10" s="1"/>
  <c r="M31" i="12"/>
  <c r="M52" i="6" s="1"/>
  <c r="M34" i="7"/>
  <c r="M29" i="10" s="1"/>
  <c r="L31" i="12"/>
  <c r="L52" i="6" s="1"/>
  <c r="L34" i="7"/>
  <c r="L29" i="10" s="1"/>
  <c r="K31" i="12"/>
  <c r="K52" i="6" s="1"/>
  <c r="K34" i="7"/>
  <c r="K29" i="10" s="1"/>
  <c r="J31" i="12"/>
  <c r="J52" i="6" s="1"/>
  <c r="J34" i="7"/>
  <c r="J29" i="10" s="1"/>
  <c r="I31" i="12"/>
  <c r="I52" i="6" s="1"/>
  <c r="I34" i="7"/>
  <c r="I29" i="10" s="1"/>
  <c r="H31" i="12"/>
  <c r="H52" i="6" s="1"/>
  <c r="H34" i="7"/>
  <c r="H29" i="10" s="1"/>
  <c r="G31" i="12"/>
  <c r="G52" i="6" s="1"/>
  <c r="G34" i="7"/>
  <c r="G29" i="10" s="1"/>
  <c r="G61" i="14"/>
  <c r="G60" i="14"/>
  <c r="G59" i="14"/>
  <c r="G58" i="14"/>
  <c r="G57" i="14"/>
  <c r="G56" i="14"/>
  <c r="G55" i="14"/>
  <c r="G54" i="14"/>
  <c r="G53" i="14"/>
  <c r="G62" i="14"/>
  <c r="G52" i="14"/>
  <c r="G63" i="14"/>
  <c r="G36" i="14"/>
  <c r="G35" i="14"/>
  <c r="G34" i="14"/>
  <c r="G33" i="14"/>
  <c r="G32" i="14"/>
  <c r="G31" i="14"/>
  <c r="G30" i="14"/>
  <c r="G29" i="14"/>
  <c r="G39" i="14" s="1"/>
  <c r="G28" i="14"/>
  <c r="G27" i="14"/>
  <c r="G26" i="14"/>
  <c r="G25" i="14"/>
  <c r="BN91" i="9"/>
  <c r="BM91" i="9"/>
  <c r="BL91" i="9"/>
  <c r="BK91" i="9"/>
  <c r="BJ91" i="9"/>
  <c r="BO91" i="9"/>
  <c r="BO10" i="12"/>
  <c r="BM10" i="12"/>
  <c r="BN10" i="12"/>
  <c r="BJ10" i="12"/>
  <c r="BK10" i="12"/>
  <c r="BL10" i="12"/>
  <c r="BO23" i="12"/>
  <c r="BO105" i="9" s="1"/>
  <c r="BN23" i="12"/>
  <c r="BN105" i="9" s="1"/>
  <c r="BM23" i="12"/>
  <c r="BM105" i="9" s="1"/>
  <c r="BL23" i="12"/>
  <c r="BL105" i="9" s="1"/>
  <c r="BK23" i="12"/>
  <c r="BK105" i="9" s="1"/>
  <c r="BJ23" i="12"/>
  <c r="BJ105" i="9" s="1"/>
  <c r="BO28" i="10"/>
  <c r="BN28" i="10"/>
  <c r="BM28" i="10"/>
  <c r="BL28" i="10"/>
  <c r="BK28" i="10"/>
  <c r="BJ28" i="10"/>
  <c r="H8" i="13"/>
  <c r="P10" i="12"/>
  <c r="S10" i="12"/>
  <c r="T10" i="12"/>
  <c r="BI10" i="12"/>
  <c r="R10" i="12"/>
  <c r="I10" i="12"/>
  <c r="J10" i="12"/>
  <c r="K10" i="12"/>
  <c r="L10" i="12"/>
  <c r="M10" i="12"/>
  <c r="N10" i="12"/>
  <c r="O10" i="12"/>
  <c r="U10" i="12"/>
  <c r="V10" i="12"/>
  <c r="W10" i="12"/>
  <c r="X10" i="12"/>
  <c r="Y10" i="12"/>
  <c r="Z10" i="12"/>
  <c r="AA10" i="12"/>
  <c r="AB10" i="12"/>
  <c r="AC10" i="12"/>
  <c r="AD10" i="12"/>
  <c r="AE10" i="12"/>
  <c r="AF10" i="12"/>
  <c r="AG10" i="12"/>
  <c r="AH10" i="12"/>
  <c r="AI10" i="12"/>
  <c r="AJ10" i="12"/>
  <c r="AK10" i="12"/>
  <c r="AL10" i="12"/>
  <c r="AM10" i="12"/>
  <c r="AN10" i="12"/>
  <c r="AO10" i="12"/>
  <c r="AP10" i="12"/>
  <c r="AQ10" i="12"/>
  <c r="AR10" i="12"/>
  <c r="G10" i="12"/>
  <c r="AS10" i="12"/>
  <c r="AT10" i="12"/>
  <c r="AU10" i="12"/>
  <c r="AV10" i="12"/>
  <c r="BH10" i="12"/>
  <c r="H10" i="12"/>
  <c r="BG10" i="12"/>
  <c r="BF10" i="12"/>
  <c r="BE10" i="12"/>
  <c r="BD10" i="12"/>
  <c r="BC10" i="12"/>
  <c r="BB10" i="12"/>
  <c r="BA10" i="12"/>
  <c r="AZ10" i="12"/>
  <c r="AY10" i="12"/>
  <c r="AX10" i="12"/>
  <c r="AW10" i="12"/>
  <c r="Q10" i="12"/>
  <c r="BI23" i="12"/>
  <c r="BI105" i="9" s="1"/>
  <c r="BH23" i="12"/>
  <c r="BH105" i="9" s="1"/>
  <c r="BG23" i="12"/>
  <c r="BG105" i="9" s="1"/>
  <c r="BF23" i="12"/>
  <c r="BF105" i="9" s="1"/>
  <c r="BE23" i="12"/>
  <c r="BE105" i="9" s="1"/>
  <c r="BD23" i="12"/>
  <c r="BD105" i="9" s="1"/>
  <c r="BC23" i="12"/>
  <c r="BC105" i="9" s="1"/>
  <c r="BB23" i="12"/>
  <c r="BB105" i="9" s="1"/>
  <c r="BA23" i="12"/>
  <c r="BA105" i="9" s="1"/>
  <c r="AZ23" i="12"/>
  <c r="AZ105" i="9" s="1"/>
  <c r="AY23" i="12"/>
  <c r="AY105" i="9" s="1"/>
  <c r="AX23" i="12"/>
  <c r="AX105" i="9" s="1"/>
  <c r="AW23" i="12"/>
  <c r="AW105" i="9" s="1"/>
  <c r="AV23" i="12"/>
  <c r="AV105" i="9" s="1"/>
  <c r="AU23" i="12"/>
  <c r="AU105" i="9" s="1"/>
  <c r="AT23" i="12"/>
  <c r="AT105" i="9" s="1"/>
  <c r="AS23" i="12"/>
  <c r="AS105" i="9" s="1"/>
  <c r="AR23" i="12"/>
  <c r="AR105" i="9" s="1"/>
  <c r="AQ23" i="12"/>
  <c r="AQ105" i="9" s="1"/>
  <c r="AP23" i="12"/>
  <c r="AP105" i="9" s="1"/>
  <c r="AO23" i="12"/>
  <c r="AO105" i="9" s="1"/>
  <c r="AN23" i="12"/>
  <c r="AN105" i="9" s="1"/>
  <c r="AM23" i="12"/>
  <c r="AM105" i="9" s="1"/>
  <c r="AL23" i="12"/>
  <c r="AL105" i="9" s="1"/>
  <c r="AK23" i="12"/>
  <c r="AK105" i="9" s="1"/>
  <c r="AJ23" i="12"/>
  <c r="AJ105" i="9" s="1"/>
  <c r="AI23" i="12"/>
  <c r="AI105" i="9" s="1"/>
  <c r="AH23" i="12"/>
  <c r="AH105" i="9" s="1"/>
  <c r="AG23" i="12"/>
  <c r="AG105" i="9" s="1"/>
  <c r="AF23" i="12"/>
  <c r="AF105" i="9" s="1"/>
  <c r="AE23" i="12"/>
  <c r="AE105" i="9" s="1"/>
  <c r="AD23" i="12"/>
  <c r="AD105" i="9" s="1"/>
  <c r="AC23" i="12"/>
  <c r="AC105" i="9" s="1"/>
  <c r="AB23" i="12"/>
  <c r="AB105" i="9" s="1"/>
  <c r="G22" i="12"/>
  <c r="H22" i="7"/>
  <c r="D33" i="7"/>
  <c r="E62" i="9"/>
  <c r="F69" i="9" s="1"/>
  <c r="R73" i="11"/>
  <c r="R35" i="11"/>
  <c r="R156" i="9"/>
  <c r="R41" i="11"/>
  <c r="R157" i="9"/>
  <c r="R74" i="11"/>
  <c r="R47" i="11"/>
  <c r="R40" i="11"/>
  <c r="R155" i="9"/>
  <c r="R39" i="11"/>
  <c r="R23" i="17" s="1"/>
  <c r="R158" i="9"/>
  <c r="R58" i="11"/>
  <c r="R42" i="11"/>
  <c r="R166" i="9"/>
  <c r="R75" i="11"/>
  <c r="R48" i="11"/>
  <c r="R46" i="11"/>
  <c r="R38" i="11"/>
  <c r="R159" i="9"/>
  <c r="R57" i="11"/>
  <c r="R160" i="9"/>
  <c r="R37" i="11"/>
  <c r="R161" i="9"/>
  <c r="R25" i="17" s="1"/>
  <c r="R32" i="17" s="1"/>
  <c r="R43" i="11"/>
  <c r="R49" i="11"/>
  <c r="R76" i="11"/>
  <c r="R56" i="11"/>
  <c r="R45" i="11"/>
  <c r="R78" i="11"/>
  <c r="R162" i="9"/>
  <c r="R36" i="11"/>
  <c r="R34" i="11"/>
  <c r="R165" i="9"/>
  <c r="R163" i="9"/>
  <c r="R44" i="11"/>
  <c r="R164" i="9"/>
  <c r="Q157" i="9"/>
  <c r="Q41" i="11"/>
  <c r="Q35" i="11"/>
  <c r="Q44" i="11"/>
  <c r="Q165" i="9"/>
  <c r="Q163" i="9"/>
  <c r="Q36" i="11"/>
  <c r="Q34" i="11"/>
  <c r="Q78" i="11"/>
  <c r="Q45" i="11"/>
  <c r="Q37" i="11"/>
  <c r="Q56" i="11"/>
  <c r="Q76" i="11"/>
  <c r="Q49" i="11"/>
  <c r="Q43" i="11"/>
  <c r="Q161" i="9"/>
  <c r="Q25" i="17" s="1"/>
  <c r="Q32" i="17" s="1"/>
  <c r="Q57" i="11"/>
  <c r="Q160" i="9"/>
  <c r="Q38" i="11"/>
  <c r="Q46" i="11"/>
  <c r="Q73" i="11"/>
  <c r="Q75" i="11"/>
  <c r="Q159" i="9"/>
  <c r="Q166" i="9"/>
  <c r="Q42" i="11"/>
  <c r="Q39" i="11"/>
  <c r="Q23" i="17" s="1"/>
  <c r="Q58" i="11"/>
  <c r="Q162" i="9"/>
  <c r="Q155" i="9"/>
  <c r="Q40" i="11"/>
  <c r="Q47" i="11"/>
  <c r="Q158" i="9"/>
  <c r="Q74" i="11"/>
  <c r="Q48" i="11"/>
  <c r="Q156" i="9"/>
  <c r="Q164" i="9"/>
  <c r="P166" i="9"/>
  <c r="P37" i="11"/>
  <c r="P78" i="11"/>
  <c r="P165" i="9"/>
  <c r="P164" i="9"/>
  <c r="P163" i="9"/>
  <c r="P41" i="11"/>
  <c r="P162" i="9"/>
  <c r="P76" i="11"/>
  <c r="P75" i="11"/>
  <c r="P40" i="11"/>
  <c r="P74" i="11"/>
  <c r="P73" i="11"/>
  <c r="P58" i="11"/>
  <c r="P57" i="11"/>
  <c r="P56" i="11"/>
  <c r="P49" i="11"/>
  <c r="P161" i="9"/>
  <c r="P25" i="17" s="1"/>
  <c r="P32" i="17" s="1"/>
  <c r="P160" i="9"/>
  <c r="P48" i="11"/>
  <c r="P42" i="11"/>
  <c r="P39" i="11"/>
  <c r="P23" i="17" s="1"/>
  <c r="P159" i="9"/>
  <c r="P158" i="9"/>
  <c r="P157" i="9"/>
  <c r="P156" i="9"/>
  <c r="P47" i="11"/>
  <c r="P155" i="9"/>
  <c r="P46" i="11"/>
  <c r="P45" i="11"/>
  <c r="P34" i="11"/>
  <c r="P35" i="11"/>
  <c r="P38" i="11"/>
  <c r="P44" i="11"/>
  <c r="P36" i="11"/>
  <c r="P43" i="11"/>
  <c r="O41" i="11"/>
  <c r="O34" i="11"/>
  <c r="O160" i="9"/>
  <c r="O158" i="9"/>
  <c r="O43" i="11"/>
  <c r="O78" i="11"/>
  <c r="O165" i="9"/>
  <c r="O164" i="9"/>
  <c r="O37" i="11"/>
  <c r="O163" i="9"/>
  <c r="O162" i="9"/>
  <c r="O76" i="11"/>
  <c r="O75" i="11"/>
  <c r="O40" i="11"/>
  <c r="O74" i="11"/>
  <c r="O73" i="11"/>
  <c r="O166" i="9"/>
  <c r="O57" i="11"/>
  <c r="O36" i="11"/>
  <c r="O56" i="11"/>
  <c r="O49" i="11"/>
  <c r="O161" i="9"/>
  <c r="O25" i="17" s="1"/>
  <c r="O32" i="17" s="1"/>
  <c r="O42" i="11"/>
  <c r="O39" i="11"/>
  <c r="O23" i="17" s="1"/>
  <c r="O44" i="11"/>
  <c r="O38" i="11"/>
  <c r="O159" i="9"/>
  <c r="O48" i="11"/>
  <c r="O58" i="11"/>
  <c r="O35" i="11"/>
  <c r="O157" i="9"/>
  <c r="O156" i="9"/>
  <c r="O47" i="11"/>
  <c r="O51" i="11" s="1"/>
  <c r="O155" i="9"/>
  <c r="O46" i="11"/>
  <c r="O45" i="11"/>
  <c r="N58" i="11"/>
  <c r="N156" i="9"/>
  <c r="N56" i="11"/>
  <c r="N166" i="9"/>
  <c r="N43" i="11"/>
  <c r="N34" i="11"/>
  <c r="N48" i="11"/>
  <c r="N165" i="9"/>
  <c r="N78" i="11"/>
  <c r="N164" i="9"/>
  <c r="N37" i="11"/>
  <c r="N163" i="9"/>
  <c r="N91" i="11" s="1"/>
  <c r="N17" i="6" s="1"/>
  <c r="N162" i="9"/>
  <c r="N76" i="11"/>
  <c r="N46" i="11"/>
  <c r="N75" i="11"/>
  <c r="N74" i="11"/>
  <c r="N40" i="11"/>
  <c r="N73" i="11"/>
  <c r="N44" i="11"/>
  <c r="N38" i="11"/>
  <c r="N47" i="11"/>
  <c r="N57" i="11"/>
  <c r="N45" i="11"/>
  <c r="N36" i="11"/>
  <c r="N49" i="11"/>
  <c r="N155" i="9"/>
  <c r="N161" i="9"/>
  <c r="N25" i="17" s="1"/>
  <c r="N32" i="17" s="1"/>
  <c r="N42" i="11"/>
  <c r="N41" i="11"/>
  <c r="N160" i="9"/>
  <c r="N159" i="9"/>
  <c r="N39" i="11"/>
  <c r="N23" i="17" s="1"/>
  <c r="N158" i="9"/>
  <c r="N35" i="11"/>
  <c r="N157" i="9"/>
  <c r="M45" i="11"/>
  <c r="M37" i="11"/>
  <c r="M73" i="11"/>
  <c r="M44" i="11"/>
  <c r="M74" i="11"/>
  <c r="M166" i="9"/>
  <c r="M40" i="11"/>
  <c r="M157" i="9"/>
  <c r="M35" i="11"/>
  <c r="M156" i="9"/>
  <c r="M39" i="11"/>
  <c r="M23" i="17" s="1"/>
  <c r="M75" i="11"/>
  <c r="M48" i="11"/>
  <c r="M47" i="11"/>
  <c r="M57" i="11"/>
  <c r="M76" i="11"/>
  <c r="M158" i="9"/>
  <c r="M46" i="11"/>
  <c r="M43" i="11"/>
  <c r="M56" i="11"/>
  <c r="M41" i="11"/>
  <c r="M34" i="11"/>
  <c r="M165" i="9"/>
  <c r="M36" i="11"/>
  <c r="M159" i="9"/>
  <c r="M155" i="9"/>
  <c r="M78" i="11"/>
  <c r="M49" i="11"/>
  <c r="M38" i="11"/>
  <c r="M164" i="9"/>
  <c r="M42" i="11"/>
  <c r="M161" i="9"/>
  <c r="M25" i="17" s="1"/>
  <c r="M32" i="17" s="1"/>
  <c r="M162" i="9"/>
  <c r="M160" i="9"/>
  <c r="M163" i="9"/>
  <c r="M58" i="11"/>
  <c r="L39" i="11"/>
  <c r="L23" i="17" s="1"/>
  <c r="L74" i="11"/>
  <c r="L49" i="11"/>
  <c r="L35" i="11"/>
  <c r="L160" i="9"/>
  <c r="L161" i="9"/>
  <c r="L25" i="17" s="1"/>
  <c r="L32" i="17" s="1"/>
  <c r="L78" i="11"/>
  <c r="L162" i="9"/>
  <c r="L36" i="11"/>
  <c r="L164" i="9"/>
  <c r="L41" i="11"/>
  <c r="L165" i="9"/>
  <c r="L159" i="9"/>
  <c r="L37" i="11"/>
  <c r="L46" i="11"/>
  <c r="L34" i="11"/>
  <c r="L56" i="11"/>
  <c r="L38" i="11"/>
  <c r="L155" i="9"/>
  <c r="L156" i="9"/>
  <c r="L158" i="9"/>
  <c r="L76" i="11"/>
  <c r="L57" i="11"/>
  <c r="L45" i="11"/>
  <c r="L42" i="11"/>
  <c r="L166" i="9"/>
  <c r="L40" i="11"/>
  <c r="L48" i="11"/>
  <c r="L75" i="11"/>
  <c r="L58" i="11"/>
  <c r="L47" i="11"/>
  <c r="L157" i="9"/>
  <c r="L44" i="11"/>
  <c r="L43" i="11"/>
  <c r="L73" i="11"/>
  <c r="L163" i="9"/>
  <c r="K48" i="11"/>
  <c r="K163" i="9"/>
  <c r="K49" i="11"/>
  <c r="K157" i="9"/>
  <c r="K74" i="11"/>
  <c r="K47" i="11"/>
  <c r="K73" i="11"/>
  <c r="K166" i="9"/>
  <c r="K158" i="9"/>
  <c r="K44" i="11"/>
  <c r="K156" i="9"/>
  <c r="K75" i="11"/>
  <c r="K58" i="11"/>
  <c r="K45" i="11"/>
  <c r="K159" i="9"/>
  <c r="K165" i="9"/>
  <c r="K34" i="11"/>
  <c r="K36" i="11"/>
  <c r="K76" i="11"/>
  <c r="K57" i="11"/>
  <c r="K164" i="9"/>
  <c r="K40" i="11"/>
  <c r="K37" i="11"/>
  <c r="K42" i="11"/>
  <c r="K160" i="9"/>
  <c r="K155" i="9"/>
  <c r="K56" i="11"/>
  <c r="K78" i="11"/>
  <c r="K41" i="11"/>
  <c r="K43" i="11"/>
  <c r="K15" i="17" s="1"/>
  <c r="K162" i="9"/>
  <c r="K35" i="11"/>
  <c r="K161" i="9"/>
  <c r="K25" i="17" s="1"/>
  <c r="K32" i="17" s="1"/>
  <c r="K46" i="11"/>
  <c r="K39" i="11"/>
  <c r="K23" i="17" s="1"/>
  <c r="K38" i="11"/>
  <c r="J41" i="11"/>
  <c r="J48" i="11"/>
  <c r="J163" i="9"/>
  <c r="J42" i="11"/>
  <c r="J39" i="11"/>
  <c r="J23" i="17" s="1"/>
  <c r="J161" i="9"/>
  <c r="J25" i="17" s="1"/>
  <c r="J32" i="17" s="1"/>
  <c r="J46" i="11"/>
  <c r="J162" i="9"/>
  <c r="J40" i="11"/>
  <c r="J56" i="11"/>
  <c r="J164" i="9"/>
  <c r="J57" i="11"/>
  <c r="J160" i="9"/>
  <c r="J49" i="11"/>
  <c r="J34" i="11"/>
  <c r="J76" i="11"/>
  <c r="J36" i="11"/>
  <c r="J45" i="11"/>
  <c r="J155" i="9"/>
  <c r="J165" i="9"/>
  <c r="J37" i="11"/>
  <c r="J156" i="9"/>
  <c r="J35" i="11"/>
  <c r="J159" i="9"/>
  <c r="J44" i="11"/>
  <c r="J58" i="11"/>
  <c r="J75" i="11"/>
  <c r="J73" i="11"/>
  <c r="J166" i="9"/>
  <c r="J43" i="11"/>
  <c r="J158" i="9"/>
  <c r="J74" i="11"/>
  <c r="J157" i="9"/>
  <c r="J47" i="11"/>
  <c r="J38" i="11"/>
  <c r="J78" i="11"/>
  <c r="I40" i="11"/>
  <c r="I163" i="9"/>
  <c r="I57" i="11"/>
  <c r="I56" i="11"/>
  <c r="I78" i="11"/>
  <c r="I44" i="11"/>
  <c r="I43" i="11"/>
  <c r="I76" i="11"/>
  <c r="I42" i="11"/>
  <c r="I75" i="11"/>
  <c r="I41" i="11"/>
  <c r="I39" i="11"/>
  <c r="I23" i="17" s="1"/>
  <c r="I38" i="11"/>
  <c r="I37" i="11"/>
  <c r="I11" i="17" s="1"/>
  <c r="I36" i="11"/>
  <c r="I35" i="11"/>
  <c r="I34" i="11"/>
  <c r="I155" i="9"/>
  <c r="I156" i="9"/>
  <c r="I166" i="9"/>
  <c r="I157" i="9"/>
  <c r="I158" i="9"/>
  <c r="I47" i="11"/>
  <c r="I159" i="9"/>
  <c r="I48" i="11"/>
  <c r="I49" i="11"/>
  <c r="I46" i="11"/>
  <c r="I45" i="11"/>
  <c r="I160" i="9"/>
  <c r="I165" i="9"/>
  <c r="I58" i="11"/>
  <c r="I73" i="11"/>
  <c r="I161" i="9"/>
  <c r="I25" i="17" s="1"/>
  <c r="I32" i="17" s="1"/>
  <c r="I74" i="11"/>
  <c r="I162" i="9"/>
  <c r="I164" i="9"/>
  <c r="H17" i="7"/>
  <c r="H27" i="6" s="1"/>
  <c r="H93" i="6" s="1"/>
  <c r="H57" i="11"/>
  <c r="H164" i="9"/>
  <c r="H56" i="11"/>
  <c r="H45" i="11"/>
  <c r="H40" i="11"/>
  <c r="H47" i="11"/>
  <c r="H41" i="11"/>
  <c r="H46" i="11"/>
  <c r="H58" i="11"/>
  <c r="H34" i="11"/>
  <c r="H35" i="11"/>
  <c r="H36" i="11"/>
  <c r="H37" i="11"/>
  <c r="H42" i="11"/>
  <c r="H48" i="11"/>
  <c r="H38" i="11"/>
  <c r="H49" i="11"/>
  <c r="H76" i="11"/>
  <c r="H166" i="9"/>
  <c r="H73" i="11"/>
  <c r="H43" i="11"/>
  <c r="H165" i="9"/>
  <c r="H74" i="11"/>
  <c r="H78" i="11"/>
  <c r="H75" i="11"/>
  <c r="H44" i="11"/>
  <c r="H155" i="9"/>
  <c r="H156" i="9"/>
  <c r="H157" i="9"/>
  <c r="H158" i="9"/>
  <c r="H159" i="9"/>
  <c r="H160" i="9"/>
  <c r="H161" i="9"/>
  <c r="H25" i="17" s="1"/>
  <c r="H32" i="17" s="1"/>
  <c r="H162" i="9"/>
  <c r="H163" i="9"/>
  <c r="H91" i="11" s="1"/>
  <c r="H17" i="6" s="1"/>
  <c r="H39" i="11"/>
  <c r="H23" i="17" s="1"/>
  <c r="BI28" i="10"/>
  <c r="BH28" i="10"/>
  <c r="BG28" i="10"/>
  <c r="BF28" i="10"/>
  <c r="BE28" i="10"/>
  <c r="BD28" i="10"/>
  <c r="BC28" i="10"/>
  <c r="BB28" i="10"/>
  <c r="BA28" i="10"/>
  <c r="AZ28" i="10"/>
  <c r="AY28" i="10"/>
  <c r="AX28" i="10"/>
  <c r="AW28" i="10"/>
  <c r="AV28" i="10"/>
  <c r="AU28" i="10"/>
  <c r="AT28" i="10"/>
  <c r="AS28" i="10"/>
  <c r="AR28" i="10"/>
  <c r="AQ28" i="10"/>
  <c r="AP28" i="10"/>
  <c r="AO28" i="10"/>
  <c r="AN28" i="10"/>
  <c r="AM28" i="10"/>
  <c r="AL28" i="10"/>
  <c r="AK28" i="10"/>
  <c r="AJ28" i="10"/>
  <c r="AI28" i="10"/>
  <c r="AH28" i="10"/>
  <c r="AG28" i="10"/>
  <c r="AF28" i="10"/>
  <c r="AE28" i="10"/>
  <c r="AD28" i="10"/>
  <c r="AC28" i="10"/>
  <c r="AB28" i="10"/>
  <c r="AA28" i="10"/>
  <c r="Z28" i="10"/>
  <c r="Y28" i="10"/>
  <c r="X28" i="10"/>
  <c r="W28" i="10"/>
  <c r="V28" i="10"/>
  <c r="U28" i="10"/>
  <c r="T28" i="10"/>
  <c r="S28" i="10"/>
  <c r="R28" i="10"/>
  <c r="Q28" i="10"/>
  <c r="P28" i="10"/>
  <c r="O28" i="10"/>
  <c r="N28" i="10"/>
  <c r="M28" i="10"/>
  <c r="L28" i="10"/>
  <c r="K28" i="10"/>
  <c r="J28" i="10"/>
  <c r="I28" i="10"/>
  <c r="H28" i="10"/>
  <c r="G17" i="7"/>
  <c r="G27" i="6" s="1"/>
  <c r="G42" i="11"/>
  <c r="G58" i="11"/>
  <c r="G78" i="11"/>
  <c r="G49" i="11"/>
  <c r="G166" i="9"/>
  <c r="G48" i="11"/>
  <c r="G47" i="11"/>
  <c r="G46" i="11"/>
  <c r="G165" i="9"/>
  <c r="G181" i="9" s="1"/>
  <c r="H181" i="9" s="1"/>
  <c r="I181" i="9" s="1"/>
  <c r="J181" i="9" s="1"/>
  <c r="K181" i="9" s="1"/>
  <c r="L181" i="9" s="1"/>
  <c r="G45" i="11"/>
  <c r="G44" i="11"/>
  <c r="G164" i="9"/>
  <c r="G180" i="9" s="1"/>
  <c r="H180" i="9" s="1"/>
  <c r="I180" i="9" s="1"/>
  <c r="J180" i="9" s="1"/>
  <c r="K180" i="9" s="1"/>
  <c r="L180" i="9" s="1"/>
  <c r="M180" i="9" s="1"/>
  <c r="N180" i="9" s="1"/>
  <c r="O180" i="9" s="1"/>
  <c r="G76" i="11"/>
  <c r="G163" i="9"/>
  <c r="G75" i="11"/>
  <c r="G162" i="9"/>
  <c r="G178" i="9" s="1"/>
  <c r="G41" i="11"/>
  <c r="G161" i="9"/>
  <c r="G40" i="11"/>
  <c r="G160" i="9"/>
  <c r="G176" i="9" s="1"/>
  <c r="G39" i="11"/>
  <c r="G23" i="17" s="1"/>
  <c r="G159" i="9"/>
  <c r="G175" i="9" s="1"/>
  <c r="G38" i="11"/>
  <c r="G158" i="9"/>
  <c r="G174" i="9" s="1"/>
  <c r="G37" i="11"/>
  <c r="G157" i="9"/>
  <c r="G173" i="9" s="1"/>
  <c r="G36" i="11"/>
  <c r="G156" i="9"/>
  <c r="G172" i="9" s="1"/>
  <c r="H172" i="9" s="1"/>
  <c r="I172" i="9" s="1"/>
  <c r="J172" i="9" s="1"/>
  <c r="K172" i="9" s="1"/>
  <c r="G35" i="11"/>
  <c r="G155" i="9"/>
  <c r="G34" i="11"/>
  <c r="G43" i="11"/>
  <c r="G15" i="17" s="1"/>
  <c r="G16" i="7"/>
  <c r="G74" i="11"/>
  <c r="G73" i="11"/>
  <c r="G56" i="11"/>
  <c r="G57" i="11"/>
  <c r="G28" i="10"/>
  <c r="G57" i="8"/>
  <c r="G66" i="8" s="1"/>
  <c r="G58" i="8"/>
  <c r="D24" i="10"/>
  <c r="G171" i="9"/>
  <c r="G91" i="9"/>
  <c r="Y91" i="9"/>
  <c r="AP91" i="9"/>
  <c r="AT91" i="9"/>
  <c r="AV91" i="9"/>
  <c r="AW91" i="9"/>
  <c r="BF91" i="9"/>
  <c r="BI91" i="9"/>
  <c r="K91" i="9"/>
  <c r="U91" i="9"/>
  <c r="AD91" i="9"/>
  <c r="AH91" i="9"/>
  <c r="AM91" i="9"/>
  <c r="AQ91" i="9"/>
  <c r="AY91" i="9"/>
  <c r="BG91" i="9"/>
  <c r="H91" i="9"/>
  <c r="I91" i="9"/>
  <c r="L91" i="9"/>
  <c r="M91" i="9"/>
  <c r="AB91" i="9"/>
  <c r="AJ91" i="9"/>
  <c r="AR91" i="9"/>
  <c r="AS91" i="9"/>
  <c r="BC91" i="9"/>
  <c r="J91" i="9"/>
  <c r="R91" i="9"/>
  <c r="V91" i="9"/>
  <c r="X91" i="9"/>
  <c r="AE91" i="9"/>
  <c r="AI91" i="9"/>
  <c r="AZ91" i="9"/>
  <c r="BB91" i="9"/>
  <c r="BH91" i="9"/>
  <c r="W91" i="9"/>
  <c r="Z91" i="9"/>
  <c r="AA91" i="9"/>
  <c r="AC91" i="9"/>
  <c r="AG91" i="9"/>
  <c r="AK91" i="9"/>
  <c r="AO91" i="9"/>
  <c r="AU91" i="9"/>
  <c r="O91" i="9"/>
  <c r="P91" i="9"/>
  <c r="S91" i="9"/>
  <c r="T91" i="9"/>
  <c r="AF91" i="9"/>
  <c r="AX91" i="9"/>
  <c r="BA91" i="9"/>
  <c r="BD91" i="9"/>
  <c r="BE91" i="9"/>
  <c r="N91" i="9"/>
  <c r="Q91" i="9"/>
  <c r="AL91" i="9"/>
  <c r="AN91" i="9"/>
  <c r="D30" i="8"/>
  <c r="D31" i="8" s="1"/>
  <c r="D32" i="8" s="1"/>
  <c r="D33" i="8" s="1"/>
  <c r="D34" i="8" s="1"/>
  <c r="D35" i="8" s="1"/>
  <c r="D36" i="8" s="1"/>
  <c r="D37" i="8" s="1"/>
  <c r="D38" i="8" s="1"/>
  <c r="D39" i="8" s="1"/>
  <c r="D48" i="7"/>
  <c r="D47" i="7"/>
  <c r="R16" i="7"/>
  <c r="R8" i="13" s="1"/>
  <c r="R17" i="7"/>
  <c r="R27" i="6" s="1"/>
  <c r="R93" i="6" s="1"/>
  <c r="Q17" i="7"/>
  <c r="Q27" i="6" s="1"/>
  <c r="Q93" i="6" s="1"/>
  <c r="Q16" i="7"/>
  <c r="P17" i="7"/>
  <c r="P27" i="6" s="1"/>
  <c r="P93" i="6" s="1"/>
  <c r="P16" i="7"/>
  <c r="O17" i="7"/>
  <c r="O27" i="6" s="1"/>
  <c r="O93" i="6" s="1"/>
  <c r="O16" i="7"/>
  <c r="N17" i="7"/>
  <c r="N27" i="6" s="1"/>
  <c r="N93" i="6" s="1"/>
  <c r="N16" i="7"/>
  <c r="M17" i="7"/>
  <c r="M27" i="6" s="1"/>
  <c r="M93" i="6" s="1"/>
  <c r="M16" i="7"/>
  <c r="L17" i="7"/>
  <c r="L27" i="6" s="1"/>
  <c r="L93" i="6" s="1"/>
  <c r="L16" i="7"/>
  <c r="K17" i="7"/>
  <c r="K27" i="6" s="1"/>
  <c r="K93" i="6" s="1"/>
  <c r="K16" i="7"/>
  <c r="J16" i="7"/>
  <c r="J17" i="7"/>
  <c r="J27" i="6" s="1"/>
  <c r="J93" i="6" s="1"/>
  <c r="I16" i="7"/>
  <c r="I17" i="7"/>
  <c r="I27" i="6" s="1"/>
  <c r="I93" i="6" s="1"/>
  <c r="G12" i="7"/>
  <c r="G5" i="17" s="1"/>
  <c r="G13" i="7"/>
  <c r="G27" i="10" s="1"/>
  <c r="H11" i="7"/>
  <c r="O91" i="11" l="1"/>
  <c r="O17" i="6" s="1"/>
  <c r="J15" i="17"/>
  <c r="L172" i="9"/>
  <c r="M172" i="9" s="1"/>
  <c r="N172" i="9" s="1"/>
  <c r="O172" i="9" s="1"/>
  <c r="P172" i="9" s="1"/>
  <c r="Q172" i="9" s="1"/>
  <c r="R172" i="9" s="1"/>
  <c r="H14" i="17"/>
  <c r="M181" i="9"/>
  <c r="N181" i="9" s="1"/>
  <c r="E254" i="9"/>
  <c r="E256" i="9" s="1"/>
  <c r="E257" i="9" s="1"/>
  <c r="E27" i="9"/>
  <c r="E48" i="9" s="1"/>
  <c r="E50" i="9" s="1"/>
  <c r="AA93" i="9"/>
  <c r="AA130" i="9" s="1"/>
  <c r="Z93" i="9"/>
  <c r="Z130" i="9" s="1"/>
  <c r="Y93" i="9"/>
  <c r="Y130" i="9" s="1"/>
  <c r="X93" i="9"/>
  <c r="X130" i="9" s="1"/>
  <c r="W93" i="9"/>
  <c r="W130" i="9" s="1"/>
  <c r="V93" i="9"/>
  <c r="V130" i="9" s="1"/>
  <c r="U93" i="9"/>
  <c r="U130" i="9" s="1"/>
  <c r="T93" i="9"/>
  <c r="T130" i="9" s="1"/>
  <c r="S93" i="9"/>
  <c r="S130" i="9" s="1"/>
  <c r="O181" i="9"/>
  <c r="J51" i="11"/>
  <c r="K51" i="11"/>
  <c r="D49" i="7"/>
  <c r="H175" i="9"/>
  <c r="I175" i="9" s="1"/>
  <c r="J175" i="9" s="1"/>
  <c r="K175" i="9" s="1"/>
  <c r="L175" i="9" s="1"/>
  <c r="M175" i="9" s="1"/>
  <c r="N175" i="9" s="1"/>
  <c r="O175" i="9" s="1"/>
  <c r="P175" i="9" s="1"/>
  <c r="Q175" i="9" s="1"/>
  <c r="R175" i="9" s="1"/>
  <c r="H15" i="17"/>
  <c r="N15" i="17"/>
  <c r="L91" i="11"/>
  <c r="L17" i="6" s="1"/>
  <c r="P181" i="9"/>
  <c r="Q181" i="9" s="1"/>
  <c r="R181" i="9" s="1"/>
  <c r="P180" i="9"/>
  <c r="Q180" i="9" s="1"/>
  <c r="R180" i="9" s="1"/>
  <c r="G93" i="10"/>
  <c r="G80" i="11"/>
  <c r="X30" i="10"/>
  <c r="W30" i="10"/>
  <c r="V30" i="10"/>
  <c r="U30" i="10"/>
  <c r="T30" i="10"/>
  <c r="S30" i="10"/>
  <c r="G93" i="6"/>
  <c r="L51" i="11"/>
  <c r="D58" i="18"/>
  <c r="H29" i="12"/>
  <c r="H78" i="6" s="1"/>
  <c r="H42" i="12"/>
  <c r="O14" i="17"/>
  <c r="P14" i="17"/>
  <c r="L15" i="17"/>
  <c r="R11" i="17"/>
  <c r="F15" i="9"/>
  <c r="P15" i="17"/>
  <c r="R15" i="17"/>
  <c r="I14" i="17"/>
  <c r="E271" i="9"/>
  <c r="G271" i="9" s="1"/>
  <c r="E258" i="9"/>
  <c r="E260" i="9" s="1"/>
  <c r="E261" i="9"/>
  <c r="E259" i="9"/>
  <c r="I120" i="20"/>
  <c r="C129" i="20" s="1"/>
  <c r="C152" i="20"/>
  <c r="C113" i="15"/>
  <c r="C165" i="20"/>
  <c r="D165" i="20" s="1"/>
  <c r="E151" i="20"/>
  <c r="D104" i="18"/>
  <c r="D106" i="18"/>
  <c r="D107" i="18"/>
  <c r="D72" i="7" s="1"/>
  <c r="D109" i="18"/>
  <c r="M14" i="17"/>
  <c r="G40" i="14"/>
  <c r="D75" i="20"/>
  <c r="D77" i="20" s="1"/>
  <c r="C130" i="20"/>
  <c r="D127" i="20"/>
  <c r="E127" i="20"/>
  <c r="F127" i="20"/>
  <c r="D126" i="20"/>
  <c r="D128" i="20" s="1"/>
  <c r="E126" i="20"/>
  <c r="E128" i="20" s="1"/>
  <c r="C131" i="20" s="1"/>
  <c r="F126" i="20"/>
  <c r="F128" i="20" s="1"/>
  <c r="E59" i="20"/>
  <c r="F59" i="20"/>
  <c r="G59" i="20"/>
  <c r="D61" i="20"/>
  <c r="E60" i="20"/>
  <c r="F60" i="20"/>
  <c r="G60" i="20"/>
  <c r="E62" i="20"/>
  <c r="F62" i="20"/>
  <c r="D68" i="20" s="1"/>
  <c r="G62" i="20"/>
  <c r="E63" i="20"/>
  <c r="F63" i="20"/>
  <c r="G63" i="20"/>
  <c r="C12" i="20"/>
  <c r="C11" i="20"/>
  <c r="BK16" i="9"/>
  <c r="BL16" i="9"/>
  <c r="BM16" i="9"/>
  <c r="BN16" i="9"/>
  <c r="BO16" i="9"/>
  <c r="BJ16" i="9"/>
  <c r="BO17" i="9"/>
  <c r="BJ17" i="9"/>
  <c r="BK17" i="9"/>
  <c r="BL17" i="9"/>
  <c r="BM17" i="9"/>
  <c r="BN17" i="9"/>
  <c r="BK18" i="9"/>
  <c r="BL18" i="9"/>
  <c r="BM18" i="9"/>
  <c r="BN18" i="9"/>
  <c r="BJ18" i="9"/>
  <c r="BO18" i="9"/>
  <c r="BO19" i="9"/>
  <c r="BJ19" i="9"/>
  <c r="BK19" i="9"/>
  <c r="BL19" i="9"/>
  <c r="BM19" i="9"/>
  <c r="BN19" i="9"/>
  <c r="G19" i="9"/>
  <c r="BK20" i="9"/>
  <c r="BL20" i="9"/>
  <c r="BM20" i="9"/>
  <c r="BN20" i="9"/>
  <c r="BO20" i="9"/>
  <c r="BJ20" i="9"/>
  <c r="BO21" i="9"/>
  <c r="BJ21" i="9"/>
  <c r="BK21" i="9"/>
  <c r="BL21" i="9"/>
  <c r="BM21" i="9"/>
  <c r="BN21" i="9"/>
  <c r="BJ22" i="9"/>
  <c r="BM22" i="9"/>
  <c r="BN22" i="9"/>
  <c r="BO22" i="9"/>
  <c r="BL22" i="9"/>
  <c r="BK22" i="9"/>
  <c r="BO23" i="9"/>
  <c r="BJ23" i="9"/>
  <c r="BL23" i="9"/>
  <c r="BM23" i="9"/>
  <c r="BN23" i="9"/>
  <c r="BK23" i="9"/>
  <c r="BK24" i="9"/>
  <c r="BL24" i="9"/>
  <c r="BM24" i="9"/>
  <c r="BN24" i="9"/>
  <c r="BO24" i="9"/>
  <c r="BJ24" i="9"/>
  <c r="BO25" i="9"/>
  <c r="BJ25" i="9"/>
  <c r="BK25" i="9"/>
  <c r="BL25" i="9"/>
  <c r="BM25" i="9"/>
  <c r="BN25" i="9"/>
  <c r="BO26" i="9"/>
  <c r="BK26" i="9"/>
  <c r="BN26" i="9"/>
  <c r="BL26" i="9"/>
  <c r="BJ26" i="9"/>
  <c r="BM26" i="9"/>
  <c r="BN87" i="9"/>
  <c r="BN129" i="9" s="1"/>
  <c r="BL87" i="9"/>
  <c r="BL129" i="9" s="1"/>
  <c r="BO87" i="9"/>
  <c r="BO129" i="9" s="1"/>
  <c r="BJ87" i="9"/>
  <c r="BJ129" i="9" s="1"/>
  <c r="BK87" i="9"/>
  <c r="BK129" i="9" s="1"/>
  <c r="BM87" i="9"/>
  <c r="BM129" i="9" s="1"/>
  <c r="BM88" i="9"/>
  <c r="BK88" i="9"/>
  <c r="BN88" i="9"/>
  <c r="BL88" i="9"/>
  <c r="BJ88" i="9"/>
  <c r="BO88" i="9"/>
  <c r="BO89" i="9"/>
  <c r="BK89" i="9"/>
  <c r="BL89" i="9"/>
  <c r="BM89" i="9"/>
  <c r="BN89" i="9"/>
  <c r="BJ89" i="9"/>
  <c r="BO90" i="9"/>
  <c r="BM90" i="9"/>
  <c r="BN90" i="9"/>
  <c r="BL90" i="9"/>
  <c r="BJ90" i="9"/>
  <c r="BK90" i="9"/>
  <c r="BK92" i="9"/>
  <c r="BK132" i="9" s="1"/>
  <c r="BM92" i="9"/>
  <c r="BM132" i="9" s="1"/>
  <c r="BN92" i="9"/>
  <c r="BN132" i="9" s="1"/>
  <c r="BO92" i="9"/>
  <c r="BO132" i="9" s="1"/>
  <c r="BJ92" i="9"/>
  <c r="BJ132" i="9" s="1"/>
  <c r="BL92" i="9"/>
  <c r="BL132" i="9" s="1"/>
  <c r="BN130" i="9"/>
  <c r="BM130" i="9"/>
  <c r="BL130" i="9"/>
  <c r="BK130" i="9"/>
  <c r="BJ130" i="9"/>
  <c r="BO130" i="9"/>
  <c r="BG94" i="9"/>
  <c r="BL94" i="9"/>
  <c r="BH94" i="9"/>
  <c r="BD94" i="9"/>
  <c r="BC94" i="9"/>
  <c r="BB94" i="9"/>
  <c r="BA94" i="9"/>
  <c r="AY94" i="9"/>
  <c r="AX94" i="9"/>
  <c r="AO94" i="9"/>
  <c r="AK94" i="9"/>
  <c r="AI94" i="9"/>
  <c r="BN94" i="9"/>
  <c r="BM94" i="9"/>
  <c r="BK94" i="9"/>
  <c r="BJ94" i="9"/>
  <c r="BO94" i="9"/>
  <c r="BF94" i="9"/>
  <c r="AU94" i="9"/>
  <c r="AS94" i="9"/>
  <c r="AR94" i="9"/>
  <c r="AQ94" i="9"/>
  <c r="AM94" i="9"/>
  <c r="AL94" i="9"/>
  <c r="U94" i="9"/>
  <c r="O94" i="9"/>
  <c r="BE94" i="9"/>
  <c r="AJ94" i="9"/>
  <c r="AF94" i="9"/>
  <c r="AC94" i="9"/>
  <c r="AA94" i="9"/>
  <c r="Y94" i="9"/>
  <c r="W94" i="9"/>
  <c r="T94" i="9"/>
  <c r="S94" i="9"/>
  <c r="Q94" i="9"/>
  <c r="P94" i="9"/>
  <c r="N94" i="9"/>
  <c r="M94" i="9"/>
  <c r="K94" i="9"/>
  <c r="I94" i="9"/>
  <c r="AV94" i="9"/>
  <c r="AP94" i="9"/>
  <c r="AN94" i="9"/>
  <c r="AG94" i="9"/>
  <c r="AD94" i="9"/>
  <c r="Z94" i="9"/>
  <c r="X94" i="9"/>
  <c r="R94" i="9"/>
  <c r="J94" i="9"/>
  <c r="L94" i="9"/>
  <c r="H94" i="9"/>
  <c r="G94" i="9"/>
  <c r="AZ94" i="9"/>
  <c r="AW94" i="9"/>
  <c r="AT94" i="9"/>
  <c r="AH94" i="9"/>
  <c r="AE94" i="9"/>
  <c r="AB94" i="9"/>
  <c r="V94" i="9"/>
  <c r="BI94" i="9"/>
  <c r="AU95" i="9"/>
  <c r="AV95" i="9"/>
  <c r="BI95" i="9"/>
  <c r="BG95" i="9"/>
  <c r="BD95" i="9"/>
  <c r="BC95" i="9"/>
  <c r="BB95" i="9"/>
  <c r="BA95" i="9"/>
  <c r="AZ95" i="9"/>
  <c r="AY95" i="9"/>
  <c r="AX95" i="9"/>
  <c r="AW95" i="9"/>
  <c r="BL95" i="9"/>
  <c r="BN95" i="9"/>
  <c r="AT95" i="9"/>
  <c r="AR95" i="9"/>
  <c r="AQ95" i="9"/>
  <c r="AP95" i="9"/>
  <c r="AO95" i="9"/>
  <c r="AN95" i="9"/>
  <c r="AM95" i="9"/>
  <c r="AK95" i="9"/>
  <c r="AH95" i="9"/>
  <c r="AD95" i="9"/>
  <c r="AC95" i="9"/>
  <c r="AB95" i="9"/>
  <c r="AA95" i="9"/>
  <c r="Z95" i="9"/>
  <c r="Y95" i="9"/>
  <c r="X95" i="9"/>
  <c r="W95" i="9"/>
  <c r="L95" i="9"/>
  <c r="K95" i="9"/>
  <c r="G95" i="9"/>
  <c r="BO95" i="9"/>
  <c r="BM95" i="9"/>
  <c r="BJ95" i="9"/>
  <c r="BH95" i="9"/>
  <c r="BF95" i="9"/>
  <c r="BE95" i="9"/>
  <c r="AS95" i="9"/>
  <c r="AL95" i="9"/>
  <c r="AJ95" i="9"/>
  <c r="AI95" i="9"/>
  <c r="AG95" i="9"/>
  <c r="AF95" i="9"/>
  <c r="AE95" i="9"/>
  <c r="V95" i="9"/>
  <c r="U95" i="9"/>
  <c r="T95" i="9"/>
  <c r="S95" i="9"/>
  <c r="R95" i="9"/>
  <c r="Q95" i="9"/>
  <c r="P95" i="9"/>
  <c r="O95" i="9"/>
  <c r="N95" i="9"/>
  <c r="M95" i="9"/>
  <c r="J95" i="9"/>
  <c r="I95" i="9"/>
  <c r="H95" i="9"/>
  <c r="BK95" i="9"/>
  <c r="BN97" i="9"/>
  <c r="G97" i="9"/>
  <c r="BM97" i="9"/>
  <c r="BL97" i="9"/>
  <c r="BK97" i="9"/>
  <c r="BJ97" i="9"/>
  <c r="BI97" i="9"/>
  <c r="BH97" i="9"/>
  <c r="BG97" i="9"/>
  <c r="BF97" i="9"/>
  <c r="BE97" i="9"/>
  <c r="BD97" i="9"/>
  <c r="BC97" i="9"/>
  <c r="BB97" i="9"/>
  <c r="BA97" i="9"/>
  <c r="AZ97" i="9"/>
  <c r="AY97" i="9"/>
  <c r="AX97" i="9"/>
  <c r="AW97" i="9"/>
  <c r="AV97" i="9"/>
  <c r="AU97" i="9"/>
  <c r="AT97" i="9"/>
  <c r="AS97" i="9"/>
  <c r="AR97" i="9"/>
  <c r="AQ97" i="9"/>
  <c r="AP97" i="9"/>
  <c r="AO97" i="9"/>
  <c r="AN97" i="9"/>
  <c r="AM97" i="9"/>
  <c r="AL97" i="9"/>
  <c r="AK97" i="9"/>
  <c r="AJ97" i="9"/>
  <c r="AI97" i="9"/>
  <c r="AH97" i="9"/>
  <c r="AG97" i="9"/>
  <c r="AF97" i="9"/>
  <c r="AE97" i="9"/>
  <c r="AD97" i="9"/>
  <c r="AC97" i="9"/>
  <c r="AB97" i="9"/>
  <c r="AA97" i="9"/>
  <c r="Z97" i="9"/>
  <c r="Y97" i="9"/>
  <c r="X97" i="9"/>
  <c r="W97" i="9"/>
  <c r="V97" i="9"/>
  <c r="U97" i="9"/>
  <c r="T97" i="9"/>
  <c r="S97" i="9"/>
  <c r="R97" i="9"/>
  <c r="Q97" i="9"/>
  <c r="P97" i="9"/>
  <c r="O97" i="9"/>
  <c r="N97" i="9"/>
  <c r="M97" i="9"/>
  <c r="L97" i="9"/>
  <c r="K97" i="9"/>
  <c r="J97" i="9"/>
  <c r="I97" i="9"/>
  <c r="H97" i="9"/>
  <c r="BO97" i="9"/>
  <c r="G60" i="8"/>
  <c r="G73" i="8"/>
  <c r="G74" i="8" s="1"/>
  <c r="D67" i="16"/>
  <c r="AN89" i="9"/>
  <c r="AC89" i="9"/>
  <c r="V89" i="9"/>
  <c r="I89" i="9"/>
  <c r="S89" i="9"/>
  <c r="G89" i="9"/>
  <c r="M89" i="9"/>
  <c r="AF89" i="9"/>
  <c r="H89" i="9"/>
  <c r="N89" i="9"/>
  <c r="O89" i="9"/>
  <c r="P89" i="9"/>
  <c r="U89" i="9"/>
  <c r="W89" i="9"/>
  <c r="L89" i="9"/>
  <c r="X89" i="9"/>
  <c r="Z89" i="9"/>
  <c r="AL89" i="9"/>
  <c r="AM89" i="9"/>
  <c r="AZ89" i="9"/>
  <c r="K89" i="9"/>
  <c r="BI89" i="9"/>
  <c r="AO89" i="9"/>
  <c r="AI89" i="9"/>
  <c r="J89" i="9"/>
  <c r="BF90" i="9"/>
  <c r="AP90" i="9"/>
  <c r="H90" i="9"/>
  <c r="AK90" i="9"/>
  <c r="AX90" i="9"/>
  <c r="BD90" i="9"/>
  <c r="AH90" i="9"/>
  <c r="Z90" i="9"/>
  <c r="Y90" i="9"/>
  <c r="U90" i="9"/>
  <c r="K90" i="9"/>
  <c r="I90" i="9"/>
  <c r="L90" i="9"/>
  <c r="N90" i="9"/>
  <c r="P90" i="9"/>
  <c r="T90" i="9"/>
  <c r="AC90" i="9"/>
  <c r="AI90" i="9"/>
  <c r="AQ90" i="9"/>
  <c r="AT90" i="9"/>
  <c r="AW90" i="9"/>
  <c r="BB90" i="9"/>
  <c r="BG90" i="9"/>
  <c r="R90" i="9"/>
  <c r="BE90" i="9"/>
  <c r="AY90" i="9"/>
  <c r="AU90" i="9"/>
  <c r="AR90" i="9"/>
  <c r="AN90" i="9"/>
  <c r="AG90" i="9"/>
  <c r="AB90" i="9"/>
  <c r="J90" i="9"/>
  <c r="M90" i="9"/>
  <c r="Q90" i="9"/>
  <c r="V90" i="9"/>
  <c r="X90" i="9"/>
  <c r="AA90" i="9"/>
  <c r="AF90" i="9"/>
  <c r="AM90" i="9"/>
  <c r="AS90" i="9"/>
  <c r="AV90" i="9"/>
  <c r="AZ90" i="9"/>
  <c r="S90" i="9"/>
  <c r="O90" i="9"/>
  <c r="W90" i="9"/>
  <c r="AL90" i="9"/>
  <c r="AO90" i="9"/>
  <c r="BH90" i="9"/>
  <c r="BI90" i="9"/>
  <c r="G90" i="9"/>
  <c r="BC90" i="9"/>
  <c r="BA90" i="9"/>
  <c r="AJ90" i="9"/>
  <c r="AE90" i="9"/>
  <c r="AD90" i="9"/>
  <c r="AH92" i="9"/>
  <c r="AH132" i="9" s="1"/>
  <c r="N92" i="9"/>
  <c r="N132" i="9" s="1"/>
  <c r="BF92" i="9"/>
  <c r="BF132" i="9" s="1"/>
  <c r="BH92" i="9"/>
  <c r="BH132" i="9" s="1"/>
  <c r="BB92" i="9"/>
  <c r="BB132" i="9" s="1"/>
  <c r="AZ92" i="9"/>
  <c r="AZ132" i="9" s="1"/>
  <c r="AU92" i="9"/>
  <c r="AU132" i="9" s="1"/>
  <c r="AT92" i="9"/>
  <c r="AT132" i="9" s="1"/>
  <c r="T92" i="9"/>
  <c r="T132" i="9" s="1"/>
  <c r="P92" i="9"/>
  <c r="P132" i="9" s="1"/>
  <c r="O92" i="9"/>
  <c r="O132" i="9" s="1"/>
  <c r="AR92" i="9"/>
  <c r="AR132" i="9" s="1"/>
  <c r="AO92" i="9"/>
  <c r="AO132" i="9" s="1"/>
  <c r="AF92" i="9"/>
  <c r="AF132" i="9" s="1"/>
  <c r="AM92" i="9"/>
  <c r="AM132" i="9" s="1"/>
  <c r="AK92" i="9"/>
  <c r="AK132" i="9" s="1"/>
  <c r="I92" i="9"/>
  <c r="I132" i="9" s="1"/>
  <c r="L92" i="9"/>
  <c r="L132" i="9" s="1"/>
  <c r="AD92" i="9"/>
  <c r="AD132" i="9" s="1"/>
  <c r="AA92" i="9"/>
  <c r="AA132" i="9" s="1"/>
  <c r="Y92" i="9"/>
  <c r="Y132" i="9" s="1"/>
  <c r="W92" i="9"/>
  <c r="W132" i="9" s="1"/>
  <c r="S92" i="9"/>
  <c r="S132" i="9" s="1"/>
  <c r="M92" i="9"/>
  <c r="M132" i="9" s="1"/>
  <c r="K92" i="9"/>
  <c r="K132" i="9" s="1"/>
  <c r="J92" i="9"/>
  <c r="J132" i="9" s="1"/>
  <c r="BI92" i="9"/>
  <c r="BI132" i="9" s="1"/>
  <c r="BE92" i="9"/>
  <c r="BE132" i="9" s="1"/>
  <c r="BD92" i="9"/>
  <c r="BD132" i="9" s="1"/>
  <c r="AY92" i="9"/>
  <c r="AY132" i="9" s="1"/>
  <c r="AX92" i="9"/>
  <c r="AX132" i="9" s="1"/>
  <c r="AW92" i="9"/>
  <c r="AW132" i="9" s="1"/>
  <c r="AL92" i="9"/>
  <c r="AL132" i="9" s="1"/>
  <c r="R92" i="9"/>
  <c r="R132" i="9" s="1"/>
  <c r="G92" i="9"/>
  <c r="G132" i="9" s="1"/>
  <c r="G149" i="9" s="1"/>
  <c r="Q92" i="9"/>
  <c r="Q132" i="9" s="1"/>
  <c r="AI92" i="9"/>
  <c r="AI132" i="9" s="1"/>
  <c r="H92" i="9"/>
  <c r="H132" i="9" s="1"/>
  <c r="AP92" i="9"/>
  <c r="AP132" i="9" s="1"/>
  <c r="BG92" i="9"/>
  <c r="BG132" i="9" s="1"/>
  <c r="BA92" i="9"/>
  <c r="BA132" i="9" s="1"/>
  <c r="AV92" i="9"/>
  <c r="AV132" i="9" s="1"/>
  <c r="AS92" i="9"/>
  <c r="AS132" i="9" s="1"/>
  <c r="AQ92" i="9"/>
  <c r="AQ132" i="9" s="1"/>
  <c r="AN92" i="9"/>
  <c r="AN132" i="9" s="1"/>
  <c r="AJ92" i="9"/>
  <c r="AJ132" i="9" s="1"/>
  <c r="AG92" i="9"/>
  <c r="AG132" i="9" s="1"/>
  <c r="AE92" i="9"/>
  <c r="AE132" i="9" s="1"/>
  <c r="AC92" i="9"/>
  <c r="AC132" i="9" s="1"/>
  <c r="AB92" i="9"/>
  <c r="AB132" i="9" s="1"/>
  <c r="Z92" i="9"/>
  <c r="Z132" i="9" s="1"/>
  <c r="X92" i="9"/>
  <c r="X132" i="9" s="1"/>
  <c r="V92" i="9"/>
  <c r="V132" i="9" s="1"/>
  <c r="U92" i="9"/>
  <c r="U132" i="9" s="1"/>
  <c r="BC92" i="9"/>
  <c r="BC132" i="9" s="1"/>
  <c r="AY130" i="9"/>
  <c r="AZ130" i="9"/>
  <c r="BI130" i="9"/>
  <c r="AN130" i="9"/>
  <c r="AT130" i="9"/>
  <c r="AU130" i="9"/>
  <c r="AO130" i="9"/>
  <c r="AI130" i="9"/>
  <c r="AH130" i="9"/>
  <c r="AG130" i="9"/>
  <c r="AF130" i="9"/>
  <c r="AD130" i="9"/>
  <c r="Q130" i="9"/>
  <c r="P130" i="9"/>
  <c r="J130" i="9"/>
  <c r="AS130" i="9"/>
  <c r="AQ130" i="9"/>
  <c r="H130" i="9"/>
  <c r="G130" i="9"/>
  <c r="G147" i="9" s="1"/>
  <c r="H147" i="9" s="1"/>
  <c r="AC130" i="9"/>
  <c r="AB130" i="9"/>
  <c r="I130" i="9"/>
  <c r="M130" i="9"/>
  <c r="K130" i="9"/>
  <c r="L130" i="9"/>
  <c r="O130" i="9"/>
  <c r="R130" i="9"/>
  <c r="AE130" i="9"/>
  <c r="AK130" i="9"/>
  <c r="AM130" i="9"/>
  <c r="AP130" i="9"/>
  <c r="AR130" i="9"/>
  <c r="AX130" i="9"/>
  <c r="BE130" i="9"/>
  <c r="BA130" i="9"/>
  <c r="BB130" i="9"/>
  <c r="BC130" i="9"/>
  <c r="BD130" i="9"/>
  <c r="BF130" i="9"/>
  <c r="BG130" i="9"/>
  <c r="BH130" i="9"/>
  <c r="AL130" i="9"/>
  <c r="AJ130" i="9"/>
  <c r="AV130" i="9"/>
  <c r="AW130" i="9"/>
  <c r="N130" i="9"/>
  <c r="H16" i="9"/>
  <c r="J16" i="9"/>
  <c r="K16" i="9"/>
  <c r="L16" i="9"/>
  <c r="M16" i="9"/>
  <c r="N16" i="9"/>
  <c r="O16" i="9"/>
  <c r="P16" i="9"/>
  <c r="Q16" i="9"/>
  <c r="R16" i="9"/>
  <c r="S16" i="9"/>
  <c r="T16" i="9"/>
  <c r="U16" i="9"/>
  <c r="V16" i="9"/>
  <c r="W16" i="9"/>
  <c r="X16" i="9"/>
  <c r="Y16" i="9"/>
  <c r="Z16" i="9"/>
  <c r="AA16" i="9"/>
  <c r="AB16" i="9"/>
  <c r="AC16" i="9"/>
  <c r="AD16" i="9"/>
  <c r="AE16" i="9"/>
  <c r="AF16" i="9"/>
  <c r="AG16" i="9"/>
  <c r="AI16" i="9"/>
  <c r="AR16" i="9"/>
  <c r="AS16" i="9"/>
  <c r="AT16" i="9"/>
  <c r="AZ16" i="9"/>
  <c r="BA16" i="9"/>
  <c r="BB16" i="9"/>
  <c r="BG16" i="9"/>
  <c r="BF16" i="9"/>
  <c r="BE16" i="9"/>
  <c r="BD16" i="9"/>
  <c r="BC16" i="9"/>
  <c r="AY16" i="9"/>
  <c r="AX16" i="9"/>
  <c r="AW16" i="9"/>
  <c r="AV16" i="9"/>
  <c r="AU16" i="9"/>
  <c r="AQ16" i="9"/>
  <c r="AP16" i="9"/>
  <c r="AO16" i="9"/>
  <c r="AN16" i="9"/>
  <c r="AM16" i="9"/>
  <c r="AL16" i="9"/>
  <c r="AK16" i="9"/>
  <c r="BH16" i="9"/>
  <c r="BI16" i="9"/>
  <c r="AH16" i="9"/>
  <c r="G16" i="9"/>
  <c r="I16" i="9"/>
  <c r="AJ16" i="9"/>
  <c r="BB17" i="9"/>
  <c r="AP17" i="9"/>
  <c r="AO17" i="9"/>
  <c r="AN17" i="9"/>
  <c r="AM17" i="9"/>
  <c r="AL17" i="9"/>
  <c r="AK17" i="9"/>
  <c r="AB17" i="9"/>
  <c r="AA17" i="9"/>
  <c r="Z17" i="9"/>
  <c r="J17" i="9"/>
  <c r="I17" i="9"/>
  <c r="H17" i="9"/>
  <c r="K17" i="9"/>
  <c r="L17" i="9"/>
  <c r="M17" i="9"/>
  <c r="N17" i="9"/>
  <c r="O17" i="9"/>
  <c r="P17" i="9"/>
  <c r="Q17" i="9"/>
  <c r="G17" i="9"/>
  <c r="R17" i="9"/>
  <c r="S17" i="9"/>
  <c r="T17" i="9"/>
  <c r="U17" i="9"/>
  <c r="V17" i="9"/>
  <c r="W17" i="9"/>
  <c r="X17" i="9"/>
  <c r="Y17" i="9"/>
  <c r="AC17" i="9"/>
  <c r="AD17" i="9"/>
  <c r="AE17" i="9"/>
  <c r="AF17" i="9"/>
  <c r="AG17" i="9"/>
  <c r="AH17" i="9"/>
  <c r="AI17" i="9"/>
  <c r="AJ17" i="9"/>
  <c r="AQ17" i="9"/>
  <c r="AR17" i="9"/>
  <c r="AS17" i="9"/>
  <c r="AT17" i="9"/>
  <c r="AU17" i="9"/>
  <c r="AV17" i="9"/>
  <c r="AW17" i="9"/>
  <c r="AX17" i="9"/>
  <c r="AY17" i="9"/>
  <c r="AZ17" i="9"/>
  <c r="BA17" i="9"/>
  <c r="BI17" i="9"/>
  <c r="BH17" i="9"/>
  <c r="BG17" i="9"/>
  <c r="BF17" i="9"/>
  <c r="BE17" i="9"/>
  <c r="BD17" i="9"/>
  <c r="BC17" i="9"/>
  <c r="BE18" i="9"/>
  <c r="H18" i="9"/>
  <c r="I18" i="9"/>
  <c r="J18" i="9"/>
  <c r="K18" i="9"/>
  <c r="L18" i="9"/>
  <c r="M18" i="9"/>
  <c r="N18" i="9"/>
  <c r="O18" i="9"/>
  <c r="P18" i="9"/>
  <c r="Q18" i="9"/>
  <c r="R18" i="9"/>
  <c r="S18" i="9"/>
  <c r="T18" i="9"/>
  <c r="U18" i="9"/>
  <c r="V18" i="9"/>
  <c r="W18" i="9"/>
  <c r="AB18" i="9"/>
  <c r="AC18" i="9"/>
  <c r="AD18" i="9"/>
  <c r="AE18" i="9"/>
  <c r="AF18" i="9"/>
  <c r="AG18" i="9"/>
  <c r="AH18" i="9"/>
  <c r="AI18" i="9"/>
  <c r="AJ18" i="9"/>
  <c r="AK18" i="9"/>
  <c r="AL18" i="9"/>
  <c r="AM18" i="9"/>
  <c r="AN18" i="9"/>
  <c r="AO18" i="9"/>
  <c r="AP18" i="9"/>
  <c r="AQ18" i="9"/>
  <c r="AR18" i="9"/>
  <c r="AS18" i="9"/>
  <c r="AT18" i="9"/>
  <c r="AU18" i="9"/>
  <c r="AV18" i="9"/>
  <c r="AW18" i="9"/>
  <c r="AX18" i="9"/>
  <c r="AY18" i="9"/>
  <c r="AZ18" i="9"/>
  <c r="BA18" i="9"/>
  <c r="BB18" i="9"/>
  <c r="BC18" i="9"/>
  <c r="BH18" i="9"/>
  <c r="BF18" i="9"/>
  <c r="BD18" i="9"/>
  <c r="X18" i="9"/>
  <c r="Y18" i="9"/>
  <c r="Z18" i="9"/>
  <c r="BG18" i="9"/>
  <c r="BI18" i="9"/>
  <c r="AA18" i="9"/>
  <c r="G18" i="9"/>
  <c r="BI19" i="9"/>
  <c r="V19" i="9"/>
  <c r="W19" i="9"/>
  <c r="Y19" i="9"/>
  <c r="Z19" i="9"/>
  <c r="AA19" i="9"/>
  <c r="AB19" i="9"/>
  <c r="AC19" i="9"/>
  <c r="AD19" i="9"/>
  <c r="AP19" i="9"/>
  <c r="AQ19" i="9"/>
  <c r="AR19" i="9"/>
  <c r="AS19" i="9"/>
  <c r="AX19" i="9"/>
  <c r="AY19" i="9"/>
  <c r="BH19" i="9"/>
  <c r="H19" i="9"/>
  <c r="L19" i="9"/>
  <c r="M19" i="9"/>
  <c r="N19" i="9"/>
  <c r="O19" i="9"/>
  <c r="P19" i="9"/>
  <c r="Q19" i="9"/>
  <c r="R19" i="9"/>
  <c r="S19" i="9"/>
  <c r="I19" i="9"/>
  <c r="T19" i="9"/>
  <c r="U19" i="9"/>
  <c r="X19" i="9"/>
  <c r="AE19" i="9"/>
  <c r="AF19" i="9"/>
  <c r="AG19" i="9"/>
  <c r="AH19" i="9"/>
  <c r="AI19" i="9"/>
  <c r="AJ19" i="9"/>
  <c r="AK19" i="9"/>
  <c r="AL19" i="9"/>
  <c r="AM19" i="9"/>
  <c r="AN19" i="9"/>
  <c r="AO19" i="9"/>
  <c r="AT19" i="9"/>
  <c r="AU19" i="9"/>
  <c r="AV19" i="9"/>
  <c r="AW19" i="9"/>
  <c r="AZ19" i="9"/>
  <c r="BA19" i="9"/>
  <c r="BB19" i="9"/>
  <c r="BC19" i="9"/>
  <c r="BD19" i="9"/>
  <c r="BE19" i="9"/>
  <c r="BF19" i="9"/>
  <c r="BG19" i="9"/>
  <c r="J19" i="9"/>
  <c r="K19" i="9"/>
  <c r="AK20" i="9"/>
  <c r="AI20" i="9"/>
  <c r="AH20" i="9"/>
  <c r="AG20" i="9"/>
  <c r="AF20" i="9"/>
  <c r="AE20" i="9"/>
  <c r="AD20" i="9"/>
  <c r="AC20" i="9"/>
  <c r="AB20" i="9"/>
  <c r="AA20" i="9"/>
  <c r="Z20" i="9"/>
  <c r="Y20" i="9"/>
  <c r="X20" i="9"/>
  <c r="U20" i="9"/>
  <c r="T20" i="9"/>
  <c r="M20" i="9"/>
  <c r="L20" i="9"/>
  <c r="AL20" i="9"/>
  <c r="AM20" i="9"/>
  <c r="BI20" i="9"/>
  <c r="BH20" i="9"/>
  <c r="BG20" i="9"/>
  <c r="BF20" i="9"/>
  <c r="BE20" i="9"/>
  <c r="BD20" i="9"/>
  <c r="BC20" i="9"/>
  <c r="BB20" i="9"/>
  <c r="BA20" i="9"/>
  <c r="AZ20" i="9"/>
  <c r="AY20" i="9"/>
  <c r="AX20" i="9"/>
  <c r="AW20" i="9"/>
  <c r="AV20" i="9"/>
  <c r="AU20" i="9"/>
  <c r="AT20" i="9"/>
  <c r="AS20" i="9"/>
  <c r="AR20" i="9"/>
  <c r="AQ20" i="9"/>
  <c r="AP20" i="9"/>
  <c r="AO20" i="9"/>
  <c r="AN20" i="9"/>
  <c r="W20" i="9"/>
  <c r="V20" i="9"/>
  <c r="S20" i="9"/>
  <c r="Q20" i="9"/>
  <c r="P20" i="9"/>
  <c r="O20" i="9"/>
  <c r="N20" i="9"/>
  <c r="K20" i="9"/>
  <c r="J20" i="9"/>
  <c r="I20" i="9"/>
  <c r="H20" i="9"/>
  <c r="G20" i="9"/>
  <c r="AJ20" i="9"/>
  <c r="R20" i="9"/>
  <c r="AA21" i="9"/>
  <c r="H21" i="9"/>
  <c r="AX21" i="9"/>
  <c r="AY21" i="9"/>
  <c r="AZ21" i="9"/>
  <c r="BA21" i="9"/>
  <c r="BE21" i="9"/>
  <c r="BG21" i="9"/>
  <c r="AD21" i="9"/>
  <c r="G21" i="9"/>
  <c r="BH21" i="9"/>
  <c r="AV21" i="9"/>
  <c r="Z21" i="9"/>
  <c r="AB21" i="9"/>
  <c r="AC21" i="9"/>
  <c r="Y21" i="9"/>
  <c r="X21" i="9"/>
  <c r="W21" i="9"/>
  <c r="V21" i="9"/>
  <c r="U21" i="9"/>
  <c r="T21" i="9"/>
  <c r="Q21" i="9"/>
  <c r="P21" i="9"/>
  <c r="O21" i="9"/>
  <c r="N21" i="9"/>
  <c r="AQ21" i="9"/>
  <c r="AO21" i="9"/>
  <c r="BI21" i="9"/>
  <c r="AU21" i="9"/>
  <c r="AT21" i="9"/>
  <c r="AS21" i="9"/>
  <c r="S21" i="9"/>
  <c r="R21" i="9"/>
  <c r="M21" i="9"/>
  <c r="L21" i="9"/>
  <c r="K21" i="9"/>
  <c r="J21" i="9"/>
  <c r="AE21" i="9"/>
  <c r="AF21" i="9"/>
  <c r="AG21" i="9"/>
  <c r="AH21" i="9"/>
  <c r="AI21" i="9"/>
  <c r="AJ21" i="9"/>
  <c r="AK21" i="9"/>
  <c r="AL21" i="9"/>
  <c r="AM21" i="9"/>
  <c r="AN21" i="9"/>
  <c r="I21" i="9"/>
  <c r="AR21" i="9"/>
  <c r="BB21" i="9"/>
  <c r="BC21" i="9"/>
  <c r="BD21" i="9"/>
  <c r="BF21" i="9"/>
  <c r="AP21" i="9"/>
  <c r="AW21" i="9"/>
  <c r="AW22" i="9"/>
  <c r="AI22" i="9"/>
  <c r="AH22" i="9"/>
  <c r="AG22" i="9"/>
  <c r="AF22" i="9"/>
  <c r="AE22" i="9"/>
  <c r="AD22" i="9"/>
  <c r="AC22" i="9"/>
  <c r="Z22" i="9"/>
  <c r="Y22" i="9"/>
  <c r="X22" i="9"/>
  <c r="U22" i="9"/>
  <c r="T22" i="9"/>
  <c r="Q22" i="9"/>
  <c r="P22" i="9"/>
  <c r="M22" i="9"/>
  <c r="L22" i="9"/>
  <c r="J22" i="9"/>
  <c r="I22" i="9"/>
  <c r="AN22" i="9"/>
  <c r="AO22" i="9"/>
  <c r="AP22" i="9"/>
  <c r="AQ22" i="9"/>
  <c r="AT22" i="9"/>
  <c r="AU22" i="9"/>
  <c r="V22" i="9"/>
  <c r="AV22" i="9"/>
  <c r="R22" i="9"/>
  <c r="AK22" i="9"/>
  <c r="AX22" i="9"/>
  <c r="AY22" i="9"/>
  <c r="AZ22" i="9"/>
  <c r="BA22" i="9"/>
  <c r="BB22" i="9"/>
  <c r="BC22" i="9"/>
  <c r="BD22" i="9"/>
  <c r="BE22" i="9"/>
  <c r="BI22" i="9"/>
  <c r="G22" i="9"/>
  <c r="H22" i="9"/>
  <c r="K22" i="9"/>
  <c r="N22" i="9"/>
  <c r="O22" i="9"/>
  <c r="BH22" i="9"/>
  <c r="BG22" i="9"/>
  <c r="BF22" i="9"/>
  <c r="AS22" i="9"/>
  <c r="AR22" i="9"/>
  <c r="AM22" i="9"/>
  <c r="AL22" i="9"/>
  <c r="AB22" i="9"/>
  <c r="AA22" i="9"/>
  <c r="W22" i="9"/>
  <c r="AJ22" i="9"/>
  <c r="S22" i="9"/>
  <c r="AG23" i="9"/>
  <c r="I23" i="9"/>
  <c r="J23" i="9"/>
  <c r="K23" i="9"/>
  <c r="L23" i="9"/>
  <c r="M23" i="9"/>
  <c r="P23" i="9"/>
  <c r="Y23" i="9"/>
  <c r="Z23" i="9"/>
  <c r="AA23" i="9"/>
  <c r="AB23" i="9"/>
  <c r="AE23" i="9"/>
  <c r="AF23" i="9"/>
  <c r="AJ23" i="9"/>
  <c r="AK23" i="9"/>
  <c r="AL23" i="9"/>
  <c r="G23" i="9"/>
  <c r="AM23" i="9"/>
  <c r="AN23" i="9"/>
  <c r="AO23" i="9"/>
  <c r="AP23" i="9"/>
  <c r="AQ23" i="9"/>
  <c r="AI23" i="9"/>
  <c r="BI23" i="9"/>
  <c r="BG23" i="9"/>
  <c r="BF23" i="9"/>
  <c r="BE23" i="9"/>
  <c r="BD23" i="9"/>
  <c r="AV23" i="9"/>
  <c r="AT23" i="9"/>
  <c r="AS23" i="9"/>
  <c r="AD23" i="9"/>
  <c r="AC23" i="9"/>
  <c r="X23" i="9"/>
  <c r="W23" i="9"/>
  <c r="V23" i="9"/>
  <c r="U23" i="9"/>
  <c r="T23" i="9"/>
  <c r="S23" i="9"/>
  <c r="R23" i="9"/>
  <c r="Q23" i="9"/>
  <c r="O23" i="9"/>
  <c r="N23" i="9"/>
  <c r="AR23" i="9"/>
  <c r="AU23" i="9"/>
  <c r="AW23" i="9"/>
  <c r="AX23" i="9"/>
  <c r="AY23" i="9"/>
  <c r="AZ23" i="9"/>
  <c r="BA23" i="9"/>
  <c r="BB23" i="9"/>
  <c r="BC23" i="9"/>
  <c r="BH23" i="9"/>
  <c r="H23" i="9"/>
  <c r="AH23" i="9"/>
  <c r="AO24" i="9"/>
  <c r="AR24" i="9"/>
  <c r="J24" i="9"/>
  <c r="L24" i="9"/>
  <c r="M24" i="9"/>
  <c r="O24" i="9"/>
  <c r="P24" i="9"/>
  <c r="X24" i="9"/>
  <c r="Y24" i="9"/>
  <c r="AB24" i="9"/>
  <c r="AC24" i="9"/>
  <c r="AL24" i="9"/>
  <c r="AM24" i="9"/>
  <c r="AW24" i="9"/>
  <c r="AN24" i="9"/>
  <c r="H24" i="9"/>
  <c r="AP24" i="9"/>
  <c r="AQ24" i="9"/>
  <c r="AT24" i="9"/>
  <c r="AU24" i="9"/>
  <c r="AV24" i="9"/>
  <c r="AX24" i="9"/>
  <c r="AS24" i="9"/>
  <c r="AY24" i="9"/>
  <c r="AZ24" i="9"/>
  <c r="BA24" i="9"/>
  <c r="BB24" i="9"/>
  <c r="BC24" i="9"/>
  <c r="BD24" i="9"/>
  <c r="BE24" i="9"/>
  <c r="BF24" i="9"/>
  <c r="BG24" i="9"/>
  <c r="BH24" i="9"/>
  <c r="BI24" i="9"/>
  <c r="G24" i="9"/>
  <c r="K24" i="9"/>
  <c r="N24" i="9"/>
  <c r="Q24" i="9"/>
  <c r="R24" i="9"/>
  <c r="S24" i="9"/>
  <c r="T24" i="9"/>
  <c r="U24" i="9"/>
  <c r="V24" i="9"/>
  <c r="W24" i="9"/>
  <c r="Z24" i="9"/>
  <c r="AA24" i="9"/>
  <c r="AD24" i="9"/>
  <c r="AE24" i="9"/>
  <c r="AF24" i="9"/>
  <c r="AG24" i="9"/>
  <c r="AH24" i="9"/>
  <c r="AI24" i="9"/>
  <c r="AJ24" i="9"/>
  <c r="AK24" i="9"/>
  <c r="I24" i="9"/>
  <c r="R25" i="9"/>
  <c r="BC25" i="9"/>
  <c r="AE25" i="9"/>
  <c r="AF25" i="9"/>
  <c r="AG25" i="9"/>
  <c r="AH25" i="9"/>
  <c r="AI25" i="9"/>
  <c r="AJ25" i="9"/>
  <c r="AK25" i="9"/>
  <c r="AL25" i="9"/>
  <c r="AM25" i="9"/>
  <c r="AN25" i="9"/>
  <c r="AO25" i="9"/>
  <c r="AP25" i="9"/>
  <c r="AQ25" i="9"/>
  <c r="AR25" i="9"/>
  <c r="AS25" i="9"/>
  <c r="AT25" i="9"/>
  <c r="AU25" i="9"/>
  <c r="AV25" i="9"/>
  <c r="AW25" i="9"/>
  <c r="AX25" i="9"/>
  <c r="AY25" i="9"/>
  <c r="AZ25" i="9"/>
  <c r="BA25" i="9"/>
  <c r="BB25" i="9"/>
  <c r="AB25" i="9"/>
  <c r="BD25" i="9"/>
  <c r="BE25" i="9"/>
  <c r="BF25" i="9"/>
  <c r="BG25" i="9"/>
  <c r="BH25" i="9"/>
  <c r="BI25" i="9"/>
  <c r="AA25" i="9"/>
  <c r="Z25" i="9"/>
  <c r="Y25" i="9"/>
  <c r="X25" i="9"/>
  <c r="W25" i="9"/>
  <c r="V25" i="9"/>
  <c r="U25" i="9"/>
  <c r="T25" i="9"/>
  <c r="S25" i="9"/>
  <c r="G25" i="9"/>
  <c r="Q25" i="9"/>
  <c r="P25" i="9"/>
  <c r="O25" i="9"/>
  <c r="N25" i="9"/>
  <c r="M25" i="9"/>
  <c r="L25" i="9"/>
  <c r="K25" i="9"/>
  <c r="J25" i="9"/>
  <c r="I25" i="9"/>
  <c r="H25" i="9"/>
  <c r="AC25" i="9"/>
  <c r="AD25" i="9"/>
  <c r="AH26" i="9"/>
  <c r="AA26" i="9"/>
  <c r="G26" i="9"/>
  <c r="X26" i="9"/>
  <c r="BH26" i="9"/>
  <c r="Y26" i="9"/>
  <c r="BI26" i="9"/>
  <c r="AP26" i="9"/>
  <c r="AO26" i="9"/>
  <c r="AN26" i="9"/>
  <c r="AM26" i="9"/>
  <c r="AL26" i="9"/>
  <c r="AK26" i="9"/>
  <c r="AJ26" i="9"/>
  <c r="AI26" i="9"/>
  <c r="AC26" i="9"/>
  <c r="AG26" i="9"/>
  <c r="AF26" i="9"/>
  <c r="AE26" i="9"/>
  <c r="AD26" i="9"/>
  <c r="BG26" i="9"/>
  <c r="BF26" i="9"/>
  <c r="BE26" i="9"/>
  <c r="W26" i="9"/>
  <c r="V26" i="9"/>
  <c r="U26" i="9"/>
  <c r="T26" i="9"/>
  <c r="S26" i="9"/>
  <c r="R26" i="9"/>
  <c r="Q26" i="9"/>
  <c r="P26" i="9"/>
  <c r="O26" i="9"/>
  <c r="N26" i="9"/>
  <c r="M26" i="9"/>
  <c r="L26" i="9"/>
  <c r="K26" i="9"/>
  <c r="J26" i="9"/>
  <c r="I26" i="9"/>
  <c r="H26" i="9"/>
  <c r="BB26" i="9"/>
  <c r="BD26" i="9"/>
  <c r="BC26" i="9"/>
  <c r="AQ26" i="9"/>
  <c r="AR26" i="9"/>
  <c r="AS26" i="9"/>
  <c r="AT26" i="9"/>
  <c r="AU26" i="9"/>
  <c r="AV26" i="9"/>
  <c r="AW26" i="9"/>
  <c r="AX26" i="9"/>
  <c r="AY26" i="9"/>
  <c r="AZ26" i="9"/>
  <c r="BA26" i="9"/>
  <c r="Z26" i="9"/>
  <c r="AB26" i="9"/>
  <c r="AR89" i="9"/>
  <c r="Y89" i="9"/>
  <c r="AE89" i="9"/>
  <c r="AK89" i="9"/>
  <c r="T89" i="9"/>
  <c r="BA89" i="9"/>
  <c r="BE89" i="9"/>
  <c r="BH89" i="9"/>
  <c r="AJ89" i="9"/>
  <c r="AD89" i="9"/>
  <c r="BG89" i="9"/>
  <c r="BC89" i="9"/>
  <c r="AW89" i="9"/>
  <c r="AU89" i="9"/>
  <c r="AG89" i="9"/>
  <c r="AA89" i="9"/>
  <c r="AQ89" i="9"/>
  <c r="AP89" i="9"/>
  <c r="AS88" i="9"/>
  <c r="AG88" i="9"/>
  <c r="AQ88" i="9"/>
  <c r="AU88" i="9"/>
  <c r="BC88" i="9"/>
  <c r="BH88" i="9"/>
  <c r="M88" i="9"/>
  <c r="Q88" i="9"/>
  <c r="U88" i="9"/>
  <c r="AH88" i="9"/>
  <c r="AK88" i="9"/>
  <c r="K88" i="9"/>
  <c r="N88" i="9"/>
  <c r="T88" i="9"/>
  <c r="AB88" i="9"/>
  <c r="AE88" i="9"/>
  <c r="AR88" i="9"/>
  <c r="AV88" i="9"/>
  <c r="AY88" i="9"/>
  <c r="BD88" i="9"/>
  <c r="BI88" i="9"/>
  <c r="BF88" i="9"/>
  <c r="S88" i="9"/>
  <c r="Y88" i="9"/>
  <c r="Z88" i="9"/>
  <c r="AA88" i="9"/>
  <c r="AW88" i="9"/>
  <c r="G88" i="9"/>
  <c r="BG88" i="9"/>
  <c r="BB88" i="9"/>
  <c r="AF88" i="9"/>
  <c r="AN88" i="9"/>
  <c r="AT88" i="9"/>
  <c r="AZ88" i="9"/>
  <c r="BE88" i="9"/>
  <c r="AM88" i="9"/>
  <c r="AO88" i="9"/>
  <c r="AI88" i="9"/>
  <c r="O88" i="9"/>
  <c r="R88" i="9"/>
  <c r="V88" i="9"/>
  <c r="W88" i="9"/>
  <c r="H88" i="9"/>
  <c r="AD88" i="9"/>
  <c r="P88" i="9"/>
  <c r="AP88" i="9"/>
  <c r="AH89" i="9"/>
  <c r="AB89" i="9"/>
  <c r="R89" i="9"/>
  <c r="AT89" i="9"/>
  <c r="BB89" i="9"/>
  <c r="BF89" i="9"/>
  <c r="BD89" i="9"/>
  <c r="AY89" i="9"/>
  <c r="AX89" i="9"/>
  <c r="AV89" i="9"/>
  <c r="AS89" i="9"/>
  <c r="Q89" i="9"/>
  <c r="AN87" i="9"/>
  <c r="AN129" i="9" s="1"/>
  <c r="J87" i="9"/>
  <c r="J129" i="9" s="1"/>
  <c r="O87" i="9"/>
  <c r="O129" i="9" s="1"/>
  <c r="Y87" i="9"/>
  <c r="Y129" i="9" s="1"/>
  <c r="AE87" i="9"/>
  <c r="AE129" i="9" s="1"/>
  <c r="K87" i="9"/>
  <c r="K129" i="9" s="1"/>
  <c r="G87" i="9"/>
  <c r="G129" i="9" s="1"/>
  <c r="G146" i="9" s="1"/>
  <c r="AZ87" i="9"/>
  <c r="AZ129" i="9" s="1"/>
  <c r="M87" i="9"/>
  <c r="M129" i="9" s="1"/>
  <c r="N87" i="9"/>
  <c r="N129" i="9" s="1"/>
  <c r="U87" i="9"/>
  <c r="U129" i="9" s="1"/>
  <c r="AP87" i="9"/>
  <c r="AP129" i="9" s="1"/>
  <c r="AU87" i="9"/>
  <c r="AU129" i="9" s="1"/>
  <c r="BB87" i="9"/>
  <c r="BB129" i="9" s="1"/>
  <c r="AF87" i="9"/>
  <c r="AF129" i="9" s="1"/>
  <c r="AG87" i="9"/>
  <c r="AG129" i="9" s="1"/>
  <c r="S87" i="9"/>
  <c r="S129" i="9" s="1"/>
  <c r="AW87" i="9"/>
  <c r="AW129" i="9" s="1"/>
  <c r="L87" i="9"/>
  <c r="L129" i="9" s="1"/>
  <c r="H87" i="9"/>
  <c r="H129" i="9" s="1"/>
  <c r="AB87" i="9"/>
  <c r="AB129" i="9" s="1"/>
  <c r="AJ87" i="9"/>
  <c r="AJ129" i="9" s="1"/>
  <c r="Z87" i="9"/>
  <c r="Z129" i="9" s="1"/>
  <c r="Q87" i="9"/>
  <c r="Q129" i="9" s="1"/>
  <c r="I88" i="9"/>
  <c r="J88" i="9"/>
  <c r="L88" i="9"/>
  <c r="X88" i="9"/>
  <c r="AC88" i="9"/>
  <c r="BA88" i="9"/>
  <c r="AX88" i="9"/>
  <c r="AJ88" i="9"/>
  <c r="AL88" i="9"/>
  <c r="BD87" i="9"/>
  <c r="BD129" i="9" s="1"/>
  <c r="AX87" i="9"/>
  <c r="AX129" i="9" s="1"/>
  <c r="AD87" i="9"/>
  <c r="AD129" i="9" s="1"/>
  <c r="AI87" i="9"/>
  <c r="AI129" i="9" s="1"/>
  <c r="AM87" i="9"/>
  <c r="AM129" i="9" s="1"/>
  <c r="AS87" i="9"/>
  <c r="AS129" i="9" s="1"/>
  <c r="BE87" i="9"/>
  <c r="BE129" i="9" s="1"/>
  <c r="BG87" i="9"/>
  <c r="BG129" i="9" s="1"/>
  <c r="I87" i="9"/>
  <c r="I129" i="9" s="1"/>
  <c r="P87" i="9"/>
  <c r="P129" i="9" s="1"/>
  <c r="R87" i="9"/>
  <c r="R129" i="9" s="1"/>
  <c r="T87" i="9"/>
  <c r="T129" i="9" s="1"/>
  <c r="W87" i="9"/>
  <c r="W129" i="9" s="1"/>
  <c r="AA87" i="9"/>
  <c r="AA129" i="9" s="1"/>
  <c r="AH87" i="9"/>
  <c r="AH129" i="9" s="1"/>
  <c r="AL87" i="9"/>
  <c r="AL129" i="9" s="1"/>
  <c r="AQ87" i="9"/>
  <c r="AQ129" i="9" s="1"/>
  <c r="AY87" i="9"/>
  <c r="AY129" i="9" s="1"/>
  <c r="BH87" i="9"/>
  <c r="BH129" i="9" s="1"/>
  <c r="V87" i="9"/>
  <c r="V129" i="9" s="1"/>
  <c r="AR87" i="9"/>
  <c r="AR129" i="9" s="1"/>
  <c r="BI87" i="9"/>
  <c r="BI129" i="9" s="1"/>
  <c r="BF87" i="9"/>
  <c r="BF129" i="9" s="1"/>
  <c r="BA87" i="9"/>
  <c r="BA129" i="9" s="1"/>
  <c r="AV87" i="9"/>
  <c r="AV129" i="9" s="1"/>
  <c r="AO87" i="9"/>
  <c r="AO129" i="9" s="1"/>
  <c r="AK87" i="9"/>
  <c r="AK129" i="9" s="1"/>
  <c r="AC87" i="9"/>
  <c r="AC129" i="9" s="1"/>
  <c r="X87" i="9"/>
  <c r="X129" i="9" s="1"/>
  <c r="AT87" i="9"/>
  <c r="AT129" i="9" s="1"/>
  <c r="BC87" i="9"/>
  <c r="BC129" i="9" s="1"/>
  <c r="D123" i="18"/>
  <c r="D124" i="18" s="1"/>
  <c r="D126" i="18" s="1"/>
  <c r="D128" i="18" s="1"/>
  <c r="D113" i="18"/>
  <c r="D114" i="18" s="1"/>
  <c r="D116" i="18" s="1"/>
  <c r="D48" i="18"/>
  <c r="P51" i="11"/>
  <c r="G51" i="11"/>
  <c r="G11" i="17"/>
  <c r="G12" i="17"/>
  <c r="R30" i="10"/>
  <c r="Q30" i="10"/>
  <c r="P30" i="10"/>
  <c r="O30" i="10"/>
  <c r="N30" i="10"/>
  <c r="M30" i="10"/>
  <c r="L30" i="10"/>
  <c r="K30" i="10"/>
  <c r="J30" i="10"/>
  <c r="I30" i="10"/>
  <c r="H30" i="10"/>
  <c r="G30" i="10"/>
  <c r="R12" i="17"/>
  <c r="Q12" i="17"/>
  <c r="Q11" i="17"/>
  <c r="Q14" i="17"/>
  <c r="Q15" i="17"/>
  <c r="P11" i="17"/>
  <c r="P12" i="17"/>
  <c r="O12" i="17"/>
  <c r="O15" i="17"/>
  <c r="O11" i="17"/>
  <c r="N14" i="17"/>
  <c r="N12" i="17"/>
  <c r="N11" i="17"/>
  <c r="M11" i="17"/>
  <c r="M15" i="17"/>
  <c r="M12" i="17"/>
  <c r="L11" i="17"/>
  <c r="L12" i="17"/>
  <c r="L14" i="17"/>
  <c r="K12" i="17"/>
  <c r="K11" i="17"/>
  <c r="J14" i="17"/>
  <c r="J12" i="17"/>
  <c r="J11" i="17"/>
  <c r="I15" i="17"/>
  <c r="I12" i="17"/>
  <c r="H12" i="17"/>
  <c r="H11" i="17"/>
  <c r="G14" i="17"/>
  <c r="R59" i="11"/>
  <c r="R14" i="17"/>
  <c r="K59" i="11"/>
  <c r="K14" i="17"/>
  <c r="G177" i="9"/>
  <c r="H177" i="9" s="1"/>
  <c r="I177" i="9" s="1"/>
  <c r="J177" i="9" s="1"/>
  <c r="K177" i="9" s="1"/>
  <c r="L177" i="9" s="1"/>
  <c r="M177" i="9" s="1"/>
  <c r="N177" i="9" s="1"/>
  <c r="O177" i="9" s="1"/>
  <c r="P177" i="9" s="1"/>
  <c r="Q177" i="9" s="1"/>
  <c r="R177" i="9" s="1"/>
  <c r="G25" i="17"/>
  <c r="G32" i="17" s="1"/>
  <c r="G182" i="9"/>
  <c r="H182" i="9" s="1"/>
  <c r="I182" i="9" s="1"/>
  <c r="J182" i="9" s="1"/>
  <c r="K182" i="9" s="1"/>
  <c r="L182" i="9" s="1"/>
  <c r="M182" i="9" s="1"/>
  <c r="N182" i="9" s="1"/>
  <c r="O182" i="9" s="1"/>
  <c r="P182" i="9" s="1"/>
  <c r="Q182" i="9" s="1"/>
  <c r="R182" i="9" s="1"/>
  <c r="G167" i="9"/>
  <c r="G23" i="6" s="1"/>
  <c r="BO113" i="10"/>
  <c r="AI112" i="10"/>
  <c r="BL113" i="10"/>
  <c r="BK113" i="10"/>
  <c r="BJ113" i="10"/>
  <c r="BI113" i="10"/>
  <c r="BH113" i="10"/>
  <c r="BG113" i="10"/>
  <c r="BF113" i="10"/>
  <c r="BE113" i="10"/>
  <c r="BD113" i="10"/>
  <c r="BC113" i="10"/>
  <c r="BB113" i="10"/>
  <c r="BA113" i="10"/>
  <c r="AZ113" i="10"/>
  <c r="AY113" i="10"/>
  <c r="AX113" i="10"/>
  <c r="AW113" i="10"/>
  <c r="AV113" i="10"/>
  <c r="AU113" i="10"/>
  <c r="AT113" i="10"/>
  <c r="AS113" i="10"/>
  <c r="AR113" i="10"/>
  <c r="AQ113" i="10"/>
  <c r="AP113" i="10"/>
  <c r="AO113" i="10"/>
  <c r="AN113" i="10"/>
  <c r="AM113" i="10"/>
  <c r="AL113" i="10"/>
  <c r="AK113" i="10"/>
  <c r="AJ113" i="10"/>
  <c r="AI113" i="10"/>
  <c r="AH113" i="10"/>
  <c r="AG113" i="10"/>
  <c r="AF113" i="10"/>
  <c r="AE113" i="10"/>
  <c r="AD113" i="10"/>
  <c r="AC113" i="10"/>
  <c r="AB113" i="10"/>
  <c r="AA113" i="10"/>
  <c r="Z113" i="10"/>
  <c r="Y113" i="10"/>
  <c r="X113" i="10"/>
  <c r="W113" i="10"/>
  <c r="V113" i="10"/>
  <c r="U113" i="10"/>
  <c r="T113" i="10"/>
  <c r="S113" i="10"/>
  <c r="R113" i="10"/>
  <c r="Q113" i="10"/>
  <c r="P113" i="10"/>
  <c r="O113" i="10"/>
  <c r="N113" i="10"/>
  <c r="M113" i="10"/>
  <c r="L113" i="10"/>
  <c r="K113" i="10"/>
  <c r="J113" i="10"/>
  <c r="I113" i="10"/>
  <c r="H113" i="10"/>
  <c r="BO112" i="10"/>
  <c r="BN112" i="10"/>
  <c r="BM112" i="10"/>
  <c r="BL112" i="10"/>
  <c r="BK112" i="10"/>
  <c r="BJ112" i="10"/>
  <c r="BI112" i="10"/>
  <c r="BH112" i="10"/>
  <c r="BG112" i="10"/>
  <c r="BF112" i="10"/>
  <c r="BE112" i="10"/>
  <c r="BD112" i="10"/>
  <c r="BC112" i="10"/>
  <c r="BB112" i="10"/>
  <c r="BA112" i="10"/>
  <c r="AZ112" i="10"/>
  <c r="AY112" i="10"/>
  <c r="AX112" i="10"/>
  <c r="AW112" i="10"/>
  <c r="AV112" i="10"/>
  <c r="AU112" i="10"/>
  <c r="AT112" i="10"/>
  <c r="AS112" i="10"/>
  <c r="AR112" i="10"/>
  <c r="AQ112" i="10"/>
  <c r="AP112" i="10"/>
  <c r="AO112" i="10"/>
  <c r="AN112" i="10"/>
  <c r="AM112" i="10"/>
  <c r="AL112" i="10"/>
  <c r="AK112" i="10"/>
  <c r="AJ112" i="10"/>
  <c r="BN113" i="10"/>
  <c r="BM113" i="10"/>
  <c r="AG112" i="10"/>
  <c r="AF112" i="10"/>
  <c r="AE112" i="10"/>
  <c r="AD112" i="10"/>
  <c r="AC112" i="10"/>
  <c r="AB112" i="10"/>
  <c r="AA112" i="10"/>
  <c r="Z112" i="10"/>
  <c r="Y112" i="10"/>
  <c r="X112" i="10"/>
  <c r="W112" i="10"/>
  <c r="V112" i="10"/>
  <c r="U112" i="10"/>
  <c r="T112" i="10"/>
  <c r="S112" i="10"/>
  <c r="R112" i="10"/>
  <c r="Q112" i="10"/>
  <c r="P112" i="10"/>
  <c r="O112" i="10"/>
  <c r="N112" i="10"/>
  <c r="M112" i="10"/>
  <c r="L112" i="10"/>
  <c r="K112" i="10"/>
  <c r="J112" i="10"/>
  <c r="I112" i="10"/>
  <c r="H112" i="10"/>
  <c r="BO111" i="10"/>
  <c r="BN111" i="10"/>
  <c r="BM111" i="10"/>
  <c r="BL111" i="10"/>
  <c r="BK111" i="10"/>
  <c r="BJ111" i="10"/>
  <c r="BI111" i="10"/>
  <c r="BH111" i="10"/>
  <c r="BG111" i="10"/>
  <c r="BF111" i="10"/>
  <c r="BE111" i="10"/>
  <c r="BD111" i="10"/>
  <c r="BC111" i="10"/>
  <c r="BB111" i="10"/>
  <c r="BA111" i="10"/>
  <c r="AZ111" i="10"/>
  <c r="AY111" i="10"/>
  <c r="AX111" i="10"/>
  <c r="AW111" i="10"/>
  <c r="AV111" i="10"/>
  <c r="AU111" i="10"/>
  <c r="AT111" i="10"/>
  <c r="AS111" i="10"/>
  <c r="AR111" i="10"/>
  <c r="AQ111" i="10"/>
  <c r="AP111" i="10"/>
  <c r="AO111" i="10"/>
  <c r="AN111" i="10"/>
  <c r="AM111" i="10"/>
  <c r="AL111" i="10"/>
  <c r="AK111" i="10"/>
  <c r="AJ111" i="10"/>
  <c r="AI111" i="10"/>
  <c r="AH111" i="10"/>
  <c r="AG111" i="10"/>
  <c r="AF111" i="10"/>
  <c r="AE111" i="10"/>
  <c r="AD111" i="10"/>
  <c r="AC111" i="10"/>
  <c r="AB111" i="10"/>
  <c r="AA111" i="10"/>
  <c r="Z111" i="10"/>
  <c r="Y111" i="10"/>
  <c r="X111" i="10"/>
  <c r="W111" i="10"/>
  <c r="V111" i="10"/>
  <c r="U111" i="10"/>
  <c r="T111" i="10"/>
  <c r="S111" i="10"/>
  <c r="R111" i="10"/>
  <c r="Q111" i="10"/>
  <c r="P111" i="10"/>
  <c r="O111" i="10"/>
  <c r="N111" i="10"/>
  <c r="M111" i="10"/>
  <c r="L111" i="10"/>
  <c r="K111" i="10"/>
  <c r="J111" i="10"/>
  <c r="I111" i="10"/>
  <c r="H111" i="10"/>
  <c r="G113" i="10"/>
  <c r="G112" i="10"/>
  <c r="G111" i="10"/>
  <c r="AH112" i="10"/>
  <c r="K23" i="16"/>
  <c r="K22" i="16"/>
  <c r="K21" i="16"/>
  <c r="K20" i="16"/>
  <c r="K19" i="16"/>
  <c r="K18" i="16"/>
  <c r="K17" i="16"/>
  <c r="K16" i="16"/>
  <c r="K15" i="16"/>
  <c r="M91" i="11"/>
  <c r="M17" i="6" s="1"/>
  <c r="G85" i="11"/>
  <c r="G18" i="17" s="1"/>
  <c r="H174" i="9"/>
  <c r="I174" i="9" s="1"/>
  <c r="J174" i="9" s="1"/>
  <c r="K174" i="9" s="1"/>
  <c r="L174" i="9" s="1"/>
  <c r="M174" i="9" s="1"/>
  <c r="N174" i="9" s="1"/>
  <c r="O174" i="9" s="1"/>
  <c r="P174" i="9" s="1"/>
  <c r="Q174" i="9" s="1"/>
  <c r="R174" i="9" s="1"/>
  <c r="H173" i="9"/>
  <c r="I173" i="9" s="1"/>
  <c r="J173" i="9" s="1"/>
  <c r="K173" i="9" s="1"/>
  <c r="L173" i="9" s="1"/>
  <c r="M173" i="9" s="1"/>
  <c r="N173" i="9" s="1"/>
  <c r="O173" i="9" s="1"/>
  <c r="P173" i="9" s="1"/>
  <c r="Q173" i="9" s="1"/>
  <c r="R173" i="9" s="1"/>
  <c r="H178" i="9"/>
  <c r="I178" i="9" s="1"/>
  <c r="J178" i="9" s="1"/>
  <c r="K178" i="9" s="1"/>
  <c r="L178" i="9" s="1"/>
  <c r="M178" i="9" s="1"/>
  <c r="N178" i="9" s="1"/>
  <c r="O178" i="9" s="1"/>
  <c r="P178" i="9" s="1"/>
  <c r="Q178" i="9" s="1"/>
  <c r="R178" i="9" s="1"/>
  <c r="P59" i="11"/>
  <c r="H176" i="9"/>
  <c r="I176" i="9" s="1"/>
  <c r="J176" i="9" s="1"/>
  <c r="K176" i="9" s="1"/>
  <c r="L176" i="9" s="1"/>
  <c r="M176" i="9" s="1"/>
  <c r="N176" i="9" s="1"/>
  <c r="O176" i="9" s="1"/>
  <c r="P176" i="9" s="1"/>
  <c r="Q176" i="9" s="1"/>
  <c r="R176" i="9" s="1"/>
  <c r="P91" i="11"/>
  <c r="P17" i="6" s="1"/>
  <c r="BB69" i="9"/>
  <c r="AN69" i="9"/>
  <c r="Y69" i="9"/>
  <c r="O69" i="9"/>
  <c r="AZ69" i="9"/>
  <c r="AU69" i="9"/>
  <c r="AP69" i="9"/>
  <c r="AI69" i="9"/>
  <c r="AE69" i="9"/>
  <c r="AA69" i="9"/>
  <c r="N69" i="9"/>
  <c r="I69" i="9"/>
  <c r="AY69" i="9"/>
  <c r="AS69" i="9"/>
  <c r="AG69" i="9"/>
  <c r="Q69" i="9"/>
  <c r="BI69" i="9"/>
  <c r="BG69" i="9"/>
  <c r="BF69" i="9"/>
  <c r="BD69" i="9"/>
  <c r="AJ69" i="9"/>
  <c r="Z69" i="9"/>
  <c r="T69" i="9"/>
  <c r="S69" i="9"/>
  <c r="R69" i="9"/>
  <c r="F113" i="9"/>
  <c r="G69" i="9"/>
  <c r="BH69" i="9"/>
  <c r="BE69" i="9"/>
  <c r="AT69" i="9"/>
  <c r="AR69" i="9"/>
  <c r="AB69" i="9"/>
  <c r="BC69" i="9"/>
  <c r="AW69" i="9"/>
  <c r="AO69" i="9"/>
  <c r="AK69" i="9"/>
  <c r="AH69" i="9"/>
  <c r="AD69" i="9"/>
  <c r="AC69" i="9"/>
  <c r="W69" i="9"/>
  <c r="V69" i="9"/>
  <c r="P69" i="9"/>
  <c r="L69" i="9"/>
  <c r="BA69" i="9"/>
  <c r="AX69" i="9"/>
  <c r="AV69" i="9"/>
  <c r="AQ69" i="9"/>
  <c r="AM69" i="9"/>
  <c r="AL69" i="9"/>
  <c r="AF69" i="9"/>
  <c r="X69" i="9"/>
  <c r="U69" i="9"/>
  <c r="M69" i="9"/>
  <c r="K69" i="9"/>
  <c r="J69" i="9"/>
  <c r="H69" i="9"/>
  <c r="G64" i="14"/>
  <c r="G77" i="11" s="1"/>
  <c r="G49" i="14"/>
  <c r="G47" i="14"/>
  <c r="G64" i="8" s="1"/>
  <c r="G91" i="10" s="1"/>
  <c r="G48" i="14"/>
  <c r="G46" i="14"/>
  <c r="G63" i="8" s="1"/>
  <c r="G90" i="10" s="1"/>
  <c r="H52" i="14"/>
  <c r="H63" i="14"/>
  <c r="H62" i="14"/>
  <c r="H61" i="14"/>
  <c r="H60" i="14"/>
  <c r="H59" i="14"/>
  <c r="H58" i="14"/>
  <c r="H57" i="14"/>
  <c r="H56" i="14"/>
  <c r="H55" i="14"/>
  <c r="H54" i="14"/>
  <c r="H53" i="14"/>
  <c r="G5" i="13"/>
  <c r="G5" i="14"/>
  <c r="H36" i="14"/>
  <c r="H34" i="14"/>
  <c r="H33" i="14"/>
  <c r="H32" i="14"/>
  <c r="H31" i="14"/>
  <c r="H30" i="14"/>
  <c r="H29" i="14"/>
  <c r="H39" i="14" s="1"/>
  <c r="H28" i="14"/>
  <c r="H27" i="14"/>
  <c r="H26" i="14"/>
  <c r="H25" i="14"/>
  <c r="H35" i="14"/>
  <c r="BO104" i="10"/>
  <c r="BN104" i="10"/>
  <c r="BM104" i="10"/>
  <c r="BL104" i="10"/>
  <c r="BK104" i="10"/>
  <c r="BJ104" i="10"/>
  <c r="BJ69" i="9"/>
  <c r="BO69" i="9"/>
  <c r="BN69" i="9"/>
  <c r="BM69" i="9"/>
  <c r="BL69" i="9"/>
  <c r="BK69" i="9"/>
  <c r="BO86" i="9"/>
  <c r="BN86" i="9"/>
  <c r="BM86" i="9"/>
  <c r="BL86" i="9"/>
  <c r="BK86" i="9"/>
  <c r="BJ86" i="9"/>
  <c r="BJ61" i="8"/>
  <c r="BO61" i="8"/>
  <c r="BN61" i="8"/>
  <c r="BM61" i="8"/>
  <c r="BL61" i="8"/>
  <c r="BK61" i="8"/>
  <c r="H32" i="13"/>
  <c r="H80" i="6" s="1"/>
  <c r="H10" i="13"/>
  <c r="H20" i="13"/>
  <c r="H27" i="13" s="1"/>
  <c r="G28" i="12"/>
  <c r="G8" i="13"/>
  <c r="R20" i="13"/>
  <c r="R27" i="13" s="1"/>
  <c r="R32" i="13"/>
  <c r="R80" i="6" s="1"/>
  <c r="R10" i="13"/>
  <c r="Q28" i="12"/>
  <c r="Q8" i="13"/>
  <c r="P28" i="12"/>
  <c r="P8" i="13"/>
  <c r="O28" i="12"/>
  <c r="O8" i="13"/>
  <c r="N28" i="12"/>
  <c r="N8" i="13"/>
  <c r="M28" i="12"/>
  <c r="M8" i="13"/>
  <c r="L28" i="12"/>
  <c r="L8" i="13"/>
  <c r="K28" i="12"/>
  <c r="K8" i="13"/>
  <c r="J28" i="12"/>
  <c r="J8" i="13"/>
  <c r="I28" i="12"/>
  <c r="I8" i="13"/>
  <c r="G5" i="12"/>
  <c r="G5" i="6"/>
  <c r="S16" i="7"/>
  <c r="S8" i="13" s="1"/>
  <c r="R28" i="12"/>
  <c r="G23" i="12"/>
  <c r="H59" i="8"/>
  <c r="I22" i="7"/>
  <c r="AD104" i="10"/>
  <c r="T104" i="10"/>
  <c r="U104" i="10"/>
  <c r="V104" i="10"/>
  <c r="W104" i="10"/>
  <c r="X104" i="10"/>
  <c r="Y104" i="10"/>
  <c r="BF104" i="10"/>
  <c r="AT104" i="10"/>
  <c r="AU104" i="10"/>
  <c r="AV104" i="10"/>
  <c r="AW104" i="10"/>
  <c r="AX104" i="10"/>
  <c r="BE104" i="10"/>
  <c r="BD104" i="10"/>
  <c r="L104" i="10"/>
  <c r="K104" i="10"/>
  <c r="J104" i="10"/>
  <c r="I104" i="10"/>
  <c r="H104" i="10"/>
  <c r="G104" i="10"/>
  <c r="BC104" i="10"/>
  <c r="S104" i="10"/>
  <c r="R104" i="10"/>
  <c r="Q104" i="10"/>
  <c r="P104" i="10"/>
  <c r="O104" i="10"/>
  <c r="N104" i="10"/>
  <c r="M104" i="10"/>
  <c r="BH104" i="10"/>
  <c r="BI104" i="10"/>
  <c r="AH104" i="10"/>
  <c r="AI104" i="10"/>
  <c r="AJ104" i="10"/>
  <c r="AK104" i="10"/>
  <c r="E72" i="9"/>
  <c r="E292" i="9" s="1"/>
  <c r="D68" i="18" s="1"/>
  <c r="Z104" i="10"/>
  <c r="AG104" i="10"/>
  <c r="AY104" i="10"/>
  <c r="AZ104" i="10"/>
  <c r="AF104" i="10"/>
  <c r="AE104" i="10"/>
  <c r="AN104" i="10"/>
  <c r="BA104" i="10"/>
  <c r="BB104" i="10"/>
  <c r="AM104" i="10"/>
  <c r="AL104" i="10"/>
  <c r="AR104" i="10"/>
  <c r="AQ104" i="10"/>
  <c r="AP104" i="10"/>
  <c r="AO104" i="10"/>
  <c r="AA104" i="10"/>
  <c r="AB104" i="10"/>
  <c r="AC104" i="10"/>
  <c r="AS104" i="10"/>
  <c r="BG104" i="10"/>
  <c r="R85" i="11"/>
  <c r="R18" i="17" s="1"/>
  <c r="R167" i="9"/>
  <c r="R23" i="6" s="1"/>
  <c r="Q85" i="11"/>
  <c r="Q18" i="17" s="1"/>
  <c r="Q167" i="9"/>
  <c r="Q23" i="6" s="1"/>
  <c r="P85" i="11"/>
  <c r="P18" i="17" s="1"/>
  <c r="P167" i="9"/>
  <c r="P23" i="6" s="1"/>
  <c r="O85" i="11"/>
  <c r="O18" i="17" s="1"/>
  <c r="O167" i="9"/>
  <c r="O23" i="6" s="1"/>
  <c r="N85" i="11"/>
  <c r="N18" i="17" s="1"/>
  <c r="N167" i="9"/>
  <c r="N23" i="6" s="1"/>
  <c r="M85" i="11"/>
  <c r="M18" i="17" s="1"/>
  <c r="M167" i="9"/>
  <c r="M23" i="6" s="1"/>
  <c r="L85" i="11"/>
  <c r="L18" i="17" s="1"/>
  <c r="L167" i="9"/>
  <c r="L23" i="6" s="1"/>
  <c r="K85" i="11"/>
  <c r="K18" i="17" s="1"/>
  <c r="K167" i="9"/>
  <c r="K23" i="6" s="1"/>
  <c r="J85" i="11"/>
  <c r="J18" i="17" s="1"/>
  <c r="J167" i="9"/>
  <c r="J23" i="6" s="1"/>
  <c r="I85" i="11"/>
  <c r="I18" i="17" s="1"/>
  <c r="I167" i="9"/>
  <c r="I23" i="6" s="1"/>
  <c r="H85" i="11"/>
  <c r="H18" i="17" s="1"/>
  <c r="H167" i="9"/>
  <c r="H23" i="6" s="1"/>
  <c r="G91" i="11"/>
  <c r="G17" i="6" s="1"/>
  <c r="G179" i="9"/>
  <c r="G18" i="11"/>
  <c r="G21" i="11"/>
  <c r="G24" i="11"/>
  <c r="G62" i="11"/>
  <c r="G100" i="9" s="1"/>
  <c r="R51" i="11"/>
  <c r="R50" i="11"/>
  <c r="R52" i="11" s="1"/>
  <c r="R91" i="11"/>
  <c r="R17" i="6" s="1"/>
  <c r="Q91" i="11"/>
  <c r="Q17" i="6" s="1"/>
  <c r="Q50" i="11"/>
  <c r="Q59" i="11"/>
  <c r="Q51" i="11"/>
  <c r="P50" i="11"/>
  <c r="O50" i="11"/>
  <c r="O52" i="11" s="1"/>
  <c r="O59" i="11"/>
  <c r="N59" i="11"/>
  <c r="N50" i="11"/>
  <c r="N51" i="11"/>
  <c r="M51" i="11"/>
  <c r="M59" i="11"/>
  <c r="M50" i="11"/>
  <c r="L50" i="11"/>
  <c r="L59" i="11"/>
  <c r="K91" i="11"/>
  <c r="K17" i="6" s="1"/>
  <c r="K50" i="11"/>
  <c r="J91" i="11"/>
  <c r="J17" i="6" s="1"/>
  <c r="J59" i="11"/>
  <c r="J50" i="11"/>
  <c r="I91" i="11"/>
  <c r="I17" i="6" s="1"/>
  <c r="I59" i="11"/>
  <c r="I50" i="11"/>
  <c r="I51" i="11"/>
  <c r="H59" i="11"/>
  <c r="H51" i="11"/>
  <c r="H50" i="11"/>
  <c r="G50" i="11"/>
  <c r="G59" i="11"/>
  <c r="G29" i="11"/>
  <c r="G65" i="8"/>
  <c r="G92" i="10" s="1"/>
  <c r="G38" i="17" s="1"/>
  <c r="D50" i="8"/>
  <c r="G61" i="8"/>
  <c r="O61" i="8"/>
  <c r="BH61" i="8"/>
  <c r="BG61" i="8"/>
  <c r="BF61" i="8"/>
  <c r="BE61" i="8"/>
  <c r="BD61" i="8"/>
  <c r="BC61" i="8"/>
  <c r="H61" i="8"/>
  <c r="I61" i="8"/>
  <c r="J61" i="8"/>
  <c r="BB61" i="8"/>
  <c r="BA61" i="8"/>
  <c r="AZ61" i="8"/>
  <c r="AY61" i="8"/>
  <c r="AX61" i="8"/>
  <c r="AW61" i="8"/>
  <c r="AV61" i="8"/>
  <c r="AU61" i="8"/>
  <c r="AT61" i="8"/>
  <c r="AS61" i="8"/>
  <c r="AR61" i="8"/>
  <c r="AQ61" i="8"/>
  <c r="AP61" i="8"/>
  <c r="AO61" i="8"/>
  <c r="AN61" i="8"/>
  <c r="AM61" i="8"/>
  <c r="AL61" i="8"/>
  <c r="AK61" i="8"/>
  <c r="AJ61" i="8"/>
  <c r="AI61" i="8"/>
  <c r="AH61" i="8"/>
  <c r="AG61" i="8"/>
  <c r="AF61" i="8"/>
  <c r="AE61" i="8"/>
  <c r="AD61" i="8"/>
  <c r="AC61" i="8"/>
  <c r="AB61" i="8"/>
  <c r="AA61" i="8"/>
  <c r="Z61" i="8"/>
  <c r="Y61" i="8"/>
  <c r="X61" i="8"/>
  <c r="W61" i="8"/>
  <c r="V61" i="8"/>
  <c r="U61" i="8"/>
  <c r="T61" i="8"/>
  <c r="S61" i="8"/>
  <c r="R61" i="8"/>
  <c r="K61" i="8"/>
  <c r="L61" i="8"/>
  <c r="M61" i="8"/>
  <c r="N61" i="8"/>
  <c r="Q61" i="8"/>
  <c r="P61" i="8"/>
  <c r="BI61" i="8"/>
  <c r="G5" i="10"/>
  <c r="G5" i="11"/>
  <c r="G55" i="8"/>
  <c r="G5" i="9"/>
  <c r="H58" i="8"/>
  <c r="H73" i="8" s="1"/>
  <c r="H57" i="8"/>
  <c r="H66" i="8" s="1"/>
  <c r="H171" i="9"/>
  <c r="J86" i="9"/>
  <c r="O86" i="9"/>
  <c r="Q86" i="9"/>
  <c r="W86" i="9"/>
  <c r="Z86" i="9"/>
  <c r="AA86" i="9"/>
  <c r="AJ86" i="9"/>
  <c r="BC86" i="9"/>
  <c r="BG86" i="9"/>
  <c r="L86" i="9"/>
  <c r="T86" i="9"/>
  <c r="U86" i="9"/>
  <c r="AB86" i="9"/>
  <c r="AG86" i="9"/>
  <c r="AP86" i="9"/>
  <c r="AT86" i="9"/>
  <c r="AW86" i="9"/>
  <c r="AZ86" i="9"/>
  <c r="BA86" i="9"/>
  <c r="BE86" i="9"/>
  <c r="BF86" i="9"/>
  <c r="BI86" i="9"/>
  <c r="S86" i="9"/>
  <c r="AH86" i="9"/>
  <c r="H86" i="9"/>
  <c r="AS86" i="9"/>
  <c r="M86" i="9"/>
  <c r="Y86" i="9"/>
  <c r="AF86" i="9"/>
  <c r="AM86" i="9"/>
  <c r="AO86" i="9"/>
  <c r="AV86" i="9"/>
  <c r="I86" i="9"/>
  <c r="K86" i="9"/>
  <c r="R86" i="9"/>
  <c r="X86" i="9"/>
  <c r="AC86" i="9"/>
  <c r="AE86" i="9"/>
  <c r="AI86" i="9"/>
  <c r="AK86" i="9"/>
  <c r="AN86" i="9"/>
  <c r="AQ86" i="9"/>
  <c r="AX86" i="9"/>
  <c r="BB86" i="9"/>
  <c r="BD86" i="9"/>
  <c r="BH86" i="9"/>
  <c r="G86" i="9"/>
  <c r="N86" i="9"/>
  <c r="P86" i="9"/>
  <c r="V86" i="9"/>
  <c r="AD86" i="9"/>
  <c r="AL86" i="9"/>
  <c r="AR86" i="9"/>
  <c r="AU86" i="9"/>
  <c r="AY86" i="9"/>
  <c r="I11" i="7"/>
  <c r="H12" i="7"/>
  <c r="H5" i="17" s="1"/>
  <c r="H13" i="7"/>
  <c r="H27" i="10" s="1"/>
  <c r="K52" i="11" l="1"/>
  <c r="J52" i="11"/>
  <c r="H93" i="10"/>
  <c r="H80" i="11"/>
  <c r="L52" i="11"/>
  <c r="H15" i="9"/>
  <c r="BI15" i="9"/>
  <c r="I15" i="9"/>
  <c r="J15" i="9"/>
  <c r="K15" i="9"/>
  <c r="L15" i="9"/>
  <c r="M15" i="9"/>
  <c r="N15" i="9"/>
  <c r="O15" i="9"/>
  <c r="P15" i="9"/>
  <c r="Q15" i="9"/>
  <c r="R15" i="9"/>
  <c r="S15" i="9"/>
  <c r="T15" i="9"/>
  <c r="U15" i="9"/>
  <c r="V15" i="9"/>
  <c r="W15" i="9"/>
  <c r="X15" i="9"/>
  <c r="Y15" i="9"/>
  <c r="Z15" i="9"/>
  <c r="AA15" i="9"/>
  <c r="AB15" i="9"/>
  <c r="AC15" i="9"/>
  <c r="AD15" i="9"/>
  <c r="AE15" i="9"/>
  <c r="AF15" i="9"/>
  <c r="AG15" i="9"/>
  <c r="AH15" i="9"/>
  <c r="AI15" i="9"/>
  <c r="AJ15" i="9"/>
  <c r="AK15" i="9"/>
  <c r="AL15" i="9"/>
  <c r="AM15" i="9"/>
  <c r="AN15" i="9"/>
  <c r="AO15" i="9"/>
  <c r="AP15" i="9"/>
  <c r="AQ15" i="9"/>
  <c r="AR15" i="9"/>
  <c r="AS15" i="9"/>
  <c r="AT15" i="9"/>
  <c r="AU15" i="9"/>
  <c r="AV15" i="9"/>
  <c r="AW15" i="9"/>
  <c r="AX15" i="9"/>
  <c r="AY15" i="9"/>
  <c r="AZ15" i="9"/>
  <c r="BA15" i="9"/>
  <c r="BB15" i="9"/>
  <c r="BC15" i="9"/>
  <c r="BD15" i="9"/>
  <c r="BE15" i="9"/>
  <c r="BF15" i="9"/>
  <c r="BG15" i="9"/>
  <c r="BH15" i="9"/>
  <c r="G15" i="9"/>
  <c r="F27" i="9"/>
  <c r="F110" i="9" s="1"/>
  <c r="BL15" i="9"/>
  <c r="BK15" i="9"/>
  <c r="BM15" i="9"/>
  <c r="BJ15" i="9"/>
  <c r="BN15" i="9"/>
  <c r="BO15" i="9"/>
  <c r="E294" i="9"/>
  <c r="D24" i="18"/>
  <c r="E269" i="9" s="1"/>
  <c r="G269" i="9" s="1"/>
  <c r="D6" i="16"/>
  <c r="D68" i="16"/>
  <c r="C157" i="20"/>
  <c r="D152" i="20"/>
  <c r="D74" i="20"/>
  <c r="C111" i="15"/>
  <c r="D129" i="18"/>
  <c r="D136" i="18"/>
  <c r="D76" i="20"/>
  <c r="D78" i="20"/>
  <c r="D79" i="20"/>
  <c r="G61" i="20"/>
  <c r="F61" i="20"/>
  <c r="E61" i="20"/>
  <c r="G125" i="9"/>
  <c r="G142" i="9" s="1"/>
  <c r="H74" i="8"/>
  <c r="G75" i="8"/>
  <c r="G27" i="11"/>
  <c r="BO125" i="9"/>
  <c r="BJ125" i="9"/>
  <c r="BK125" i="9"/>
  <c r="BL125" i="9"/>
  <c r="BM125" i="9"/>
  <c r="BN125" i="9"/>
  <c r="BJ126" i="9"/>
  <c r="BM126" i="9"/>
  <c r="BN126" i="9"/>
  <c r="BO126" i="9"/>
  <c r="BL126" i="9"/>
  <c r="BK126" i="9"/>
  <c r="H75" i="8"/>
  <c r="H27" i="11"/>
  <c r="G195" i="9"/>
  <c r="BI125" i="9"/>
  <c r="V125" i="9"/>
  <c r="W125" i="9"/>
  <c r="Y125" i="9"/>
  <c r="Z125" i="9"/>
  <c r="AA125" i="9"/>
  <c r="AB125" i="9"/>
  <c r="AC125" i="9"/>
  <c r="AD125" i="9"/>
  <c r="AP125" i="9"/>
  <c r="AQ125" i="9"/>
  <c r="AR125" i="9"/>
  <c r="AS125" i="9"/>
  <c r="AX125" i="9"/>
  <c r="AY125" i="9"/>
  <c r="BH125" i="9"/>
  <c r="H125" i="9"/>
  <c r="L125" i="9"/>
  <c r="M125" i="9"/>
  <c r="N125" i="9"/>
  <c r="O125" i="9"/>
  <c r="P125" i="9"/>
  <c r="Q125" i="9"/>
  <c r="R125" i="9"/>
  <c r="S125" i="9"/>
  <c r="I125" i="9"/>
  <c r="T125" i="9"/>
  <c r="U125" i="9"/>
  <c r="X125" i="9"/>
  <c r="AE125" i="9"/>
  <c r="AF125" i="9"/>
  <c r="AG125" i="9"/>
  <c r="AH125" i="9"/>
  <c r="AI125" i="9"/>
  <c r="AJ125" i="9"/>
  <c r="AK125" i="9"/>
  <c r="AL125" i="9"/>
  <c r="AM125" i="9"/>
  <c r="AN125" i="9"/>
  <c r="AO125" i="9"/>
  <c r="AT125" i="9"/>
  <c r="AU125" i="9"/>
  <c r="AV125" i="9"/>
  <c r="AW125" i="9"/>
  <c r="AZ125" i="9"/>
  <c r="BA125" i="9"/>
  <c r="BB125" i="9"/>
  <c r="BC125" i="9"/>
  <c r="BD125" i="9"/>
  <c r="AW126" i="9"/>
  <c r="AI126" i="9"/>
  <c r="AH126" i="9"/>
  <c r="AG126" i="9"/>
  <c r="AF126" i="9"/>
  <c r="AE126" i="9"/>
  <c r="AD126" i="9"/>
  <c r="AC126" i="9"/>
  <c r="Z126" i="9"/>
  <c r="Y126" i="9"/>
  <c r="X126" i="9"/>
  <c r="U126" i="9"/>
  <c r="T126" i="9"/>
  <c r="Q126" i="9"/>
  <c r="P126" i="9"/>
  <c r="M126" i="9"/>
  <c r="L126" i="9"/>
  <c r="J126" i="9"/>
  <c r="I126" i="9"/>
  <c r="AN126" i="9"/>
  <c r="AO126" i="9"/>
  <c r="AP126" i="9"/>
  <c r="AQ126" i="9"/>
  <c r="AT126" i="9"/>
  <c r="AU126" i="9"/>
  <c r="V126" i="9"/>
  <c r="AV126" i="9"/>
  <c r="R126" i="9"/>
  <c r="AK126" i="9"/>
  <c r="AX126" i="9"/>
  <c r="AY126" i="9"/>
  <c r="AZ126" i="9"/>
  <c r="BA126" i="9"/>
  <c r="BB126" i="9"/>
  <c r="BC126" i="9"/>
  <c r="BD126" i="9"/>
  <c r="BE126" i="9"/>
  <c r="BI126" i="9"/>
  <c r="G126" i="9"/>
  <c r="G143" i="9" s="1"/>
  <c r="H126" i="9"/>
  <c r="K126" i="9"/>
  <c r="N126" i="9"/>
  <c r="O126" i="9"/>
  <c r="BH126" i="9"/>
  <c r="BG126" i="9"/>
  <c r="BF126" i="9"/>
  <c r="AS126" i="9"/>
  <c r="AR126" i="9"/>
  <c r="AM126" i="9"/>
  <c r="AL126" i="9"/>
  <c r="AB126" i="9"/>
  <c r="AA126" i="9"/>
  <c r="W126" i="9"/>
  <c r="AJ126" i="9"/>
  <c r="S126" i="9"/>
  <c r="BE125" i="9"/>
  <c r="BF125" i="9"/>
  <c r="BG125" i="9"/>
  <c r="J125" i="9"/>
  <c r="K125" i="9"/>
  <c r="H146" i="9"/>
  <c r="G194" i="9"/>
  <c r="P52" i="11"/>
  <c r="G52" i="11"/>
  <c r="E68" i="18"/>
  <c r="H149" i="9"/>
  <c r="G197" i="9"/>
  <c r="G70" i="6"/>
  <c r="G100" i="6"/>
  <c r="BO114" i="10"/>
  <c r="BN114" i="10"/>
  <c r="BM114" i="10"/>
  <c r="BL114" i="10"/>
  <c r="BK114" i="10"/>
  <c r="BJ114" i="10"/>
  <c r="BI114" i="10"/>
  <c r="BH114" i="10"/>
  <c r="BG114" i="10"/>
  <c r="BF114" i="10"/>
  <c r="BE114" i="10"/>
  <c r="BD114" i="10"/>
  <c r="BC114" i="10"/>
  <c r="BB114" i="10"/>
  <c r="BA114" i="10"/>
  <c r="AZ114" i="10"/>
  <c r="AY114" i="10"/>
  <c r="AX114" i="10"/>
  <c r="AW114" i="10"/>
  <c r="AV114" i="10"/>
  <c r="AU114" i="10"/>
  <c r="AT114" i="10"/>
  <c r="AS114" i="10"/>
  <c r="AR114" i="10"/>
  <c r="AQ114" i="10"/>
  <c r="AP114" i="10"/>
  <c r="AO114" i="10"/>
  <c r="AN114" i="10"/>
  <c r="AM114" i="10"/>
  <c r="AL114" i="10"/>
  <c r="AK114" i="10"/>
  <c r="AJ114" i="10"/>
  <c r="AI114" i="10"/>
  <c r="AH114" i="10"/>
  <c r="AG114" i="10"/>
  <c r="AF114" i="10"/>
  <c r="AE114" i="10"/>
  <c r="AD114" i="10"/>
  <c r="AC114" i="10"/>
  <c r="AB114" i="10"/>
  <c r="AA114" i="10"/>
  <c r="Z114" i="10"/>
  <c r="Y114" i="10"/>
  <c r="X114" i="10"/>
  <c r="W114" i="10"/>
  <c r="V114" i="10"/>
  <c r="U114" i="10"/>
  <c r="T114" i="10"/>
  <c r="S114" i="10"/>
  <c r="R114" i="10"/>
  <c r="Q114" i="10"/>
  <c r="P114" i="10"/>
  <c r="O114" i="10"/>
  <c r="N114" i="10"/>
  <c r="M114" i="10"/>
  <c r="L114" i="10"/>
  <c r="K114" i="10"/>
  <c r="J114" i="10"/>
  <c r="I114" i="10"/>
  <c r="H114" i="10"/>
  <c r="G114" i="10"/>
  <c r="G23" i="16"/>
  <c r="G22" i="16"/>
  <c r="G21" i="16"/>
  <c r="G20" i="16"/>
  <c r="G19" i="16"/>
  <c r="G18" i="16"/>
  <c r="G17" i="16"/>
  <c r="G16" i="16"/>
  <c r="G15" i="16"/>
  <c r="K24" i="16"/>
  <c r="H40" i="14"/>
  <c r="M52" i="11"/>
  <c r="H52" i="11"/>
  <c r="BB113" i="9"/>
  <c r="BB127" i="9"/>
  <c r="AN127" i="9"/>
  <c r="AN113" i="9"/>
  <c r="Y127" i="9"/>
  <c r="Y113" i="9"/>
  <c r="O127" i="9"/>
  <c r="O113" i="9"/>
  <c r="AZ127" i="9"/>
  <c r="AZ113" i="9"/>
  <c r="AU127" i="9"/>
  <c r="AU113" i="9"/>
  <c r="AP127" i="9"/>
  <c r="AP113" i="9"/>
  <c r="AI127" i="9"/>
  <c r="AI113" i="9"/>
  <c r="AE127" i="9"/>
  <c r="AE113" i="9"/>
  <c r="AA127" i="9"/>
  <c r="AA113" i="9"/>
  <c r="N127" i="9"/>
  <c r="N113" i="9"/>
  <c r="I127" i="9"/>
  <c r="I113" i="9"/>
  <c r="AY113" i="9"/>
  <c r="AY127" i="9"/>
  <c r="AS127" i="9"/>
  <c r="AS113" i="9"/>
  <c r="AG127" i="9"/>
  <c r="AG113" i="9"/>
  <c r="Q127" i="9"/>
  <c r="Q113" i="9"/>
  <c r="BI127" i="9"/>
  <c r="BI113" i="9"/>
  <c r="BG127" i="9"/>
  <c r="BG113" i="9"/>
  <c r="BF127" i="9"/>
  <c r="BF113" i="9"/>
  <c r="BD127" i="9"/>
  <c r="BD113" i="9"/>
  <c r="AJ127" i="9"/>
  <c r="AJ113" i="9"/>
  <c r="Z127" i="9"/>
  <c r="Z113" i="9"/>
  <c r="T127" i="9"/>
  <c r="T113" i="9"/>
  <c r="S127" i="9"/>
  <c r="S113" i="9"/>
  <c r="R113" i="9"/>
  <c r="R127" i="9"/>
  <c r="G113" i="9"/>
  <c r="G127" i="9"/>
  <c r="G144" i="9" s="1"/>
  <c r="BH113" i="9"/>
  <c r="BH127" i="9"/>
  <c r="BE113" i="9"/>
  <c r="BE127" i="9"/>
  <c r="AT127" i="9"/>
  <c r="AT113" i="9"/>
  <c r="AR127" i="9"/>
  <c r="AR113" i="9"/>
  <c r="AB127" i="9"/>
  <c r="AB113" i="9"/>
  <c r="BC127" i="9"/>
  <c r="BC113" i="9"/>
  <c r="AW127" i="9"/>
  <c r="AW113" i="9"/>
  <c r="AO127" i="9"/>
  <c r="AO113" i="9"/>
  <c r="AK127" i="9"/>
  <c r="AK113" i="9"/>
  <c r="AH127" i="9"/>
  <c r="AH113" i="9"/>
  <c r="AD127" i="9"/>
  <c r="AD113" i="9"/>
  <c r="AC127" i="9"/>
  <c r="AC113" i="9"/>
  <c r="W113" i="9"/>
  <c r="W127" i="9"/>
  <c r="V113" i="9"/>
  <c r="V127" i="9"/>
  <c r="P127" i="9"/>
  <c r="P113" i="9"/>
  <c r="L127" i="9"/>
  <c r="L113" i="9"/>
  <c r="BA127" i="9"/>
  <c r="BA113" i="9"/>
  <c r="AX127" i="9"/>
  <c r="AX113" i="9"/>
  <c r="AV127" i="9"/>
  <c r="AV113" i="9"/>
  <c r="AQ113" i="9"/>
  <c r="AQ127" i="9"/>
  <c r="AM127" i="9"/>
  <c r="AM113" i="9"/>
  <c r="AL127" i="9"/>
  <c r="AL113" i="9"/>
  <c r="AF127" i="9"/>
  <c r="AF113" i="9"/>
  <c r="X127" i="9"/>
  <c r="X113" i="9"/>
  <c r="U127" i="9"/>
  <c r="U113" i="9"/>
  <c r="M127" i="9"/>
  <c r="M113" i="9"/>
  <c r="K113" i="9"/>
  <c r="K127" i="9"/>
  <c r="J113" i="9"/>
  <c r="J127" i="9"/>
  <c r="H113" i="9"/>
  <c r="H127" i="9"/>
  <c r="G50" i="12"/>
  <c r="G62" i="8"/>
  <c r="G89" i="10" s="1"/>
  <c r="G29" i="12"/>
  <c r="G78" i="6" s="1"/>
  <c r="G42" i="12"/>
  <c r="Q29" i="12"/>
  <c r="Q78" i="6" s="1"/>
  <c r="Q42" i="12"/>
  <c r="P29" i="12"/>
  <c r="P78" i="6" s="1"/>
  <c r="P42" i="12"/>
  <c r="O29" i="12"/>
  <c r="O78" i="6" s="1"/>
  <c r="O42" i="12"/>
  <c r="N29" i="12"/>
  <c r="N78" i="6" s="1"/>
  <c r="N42" i="12"/>
  <c r="M29" i="12"/>
  <c r="M78" i="6" s="1"/>
  <c r="M42" i="12"/>
  <c r="L29" i="12"/>
  <c r="L78" i="6" s="1"/>
  <c r="L42" i="12"/>
  <c r="K29" i="12"/>
  <c r="K78" i="6" s="1"/>
  <c r="K42" i="12"/>
  <c r="J29" i="12"/>
  <c r="J78" i="6" s="1"/>
  <c r="J42" i="12"/>
  <c r="I29" i="12"/>
  <c r="I78" i="6" s="1"/>
  <c r="I42" i="12"/>
  <c r="R29" i="12"/>
  <c r="R78" i="6" s="1"/>
  <c r="R42" i="12"/>
  <c r="H64" i="14"/>
  <c r="H77" i="11" s="1"/>
  <c r="H49" i="14"/>
  <c r="H48" i="14"/>
  <c r="H47" i="14"/>
  <c r="H64" i="8" s="1"/>
  <c r="H91" i="10" s="1"/>
  <c r="H46" i="14"/>
  <c r="H63" i="8" s="1"/>
  <c r="H90" i="10" s="1"/>
  <c r="I63" i="14"/>
  <c r="I62" i="14"/>
  <c r="I61" i="14"/>
  <c r="I60" i="14"/>
  <c r="I59" i="14"/>
  <c r="I58" i="14"/>
  <c r="I57" i="14"/>
  <c r="I56" i="14"/>
  <c r="I55" i="14"/>
  <c r="I54" i="14"/>
  <c r="I53" i="14"/>
  <c r="I52" i="14"/>
  <c r="I36" i="14"/>
  <c r="I35" i="14"/>
  <c r="I34" i="14"/>
  <c r="I33" i="14"/>
  <c r="I32" i="14"/>
  <c r="I31" i="14"/>
  <c r="I30" i="14"/>
  <c r="I29" i="14"/>
  <c r="I39" i="14" s="1"/>
  <c r="I28" i="14"/>
  <c r="I27" i="14"/>
  <c r="I26" i="14"/>
  <c r="I25" i="14"/>
  <c r="H5" i="13"/>
  <c r="H5" i="14"/>
  <c r="BJ113" i="9"/>
  <c r="BJ127" i="9"/>
  <c r="BO113" i="9"/>
  <c r="BO127" i="9"/>
  <c r="BN127" i="9"/>
  <c r="BN113" i="9"/>
  <c r="BM113" i="9"/>
  <c r="BM127" i="9"/>
  <c r="BL127" i="9"/>
  <c r="BL113" i="9"/>
  <c r="BK127" i="9"/>
  <c r="BK113" i="9"/>
  <c r="BO122" i="9"/>
  <c r="BN122" i="9"/>
  <c r="BM122" i="9"/>
  <c r="BL122" i="9"/>
  <c r="BK122" i="9"/>
  <c r="BJ122" i="9"/>
  <c r="R70" i="6"/>
  <c r="R100" i="6"/>
  <c r="Q70" i="6"/>
  <c r="Q100" i="6"/>
  <c r="P70" i="6"/>
  <c r="P100" i="6"/>
  <c r="O70" i="6"/>
  <c r="O100" i="6"/>
  <c r="N70" i="6"/>
  <c r="N100" i="6"/>
  <c r="M70" i="6"/>
  <c r="M100" i="6"/>
  <c r="L70" i="6"/>
  <c r="L100" i="6"/>
  <c r="K70" i="6"/>
  <c r="K100" i="6"/>
  <c r="J70" i="6"/>
  <c r="J100" i="6"/>
  <c r="I70" i="6"/>
  <c r="I100" i="6"/>
  <c r="H70" i="6"/>
  <c r="H100" i="6"/>
  <c r="G10" i="13"/>
  <c r="G20" i="13"/>
  <c r="G32" i="13"/>
  <c r="G80" i="6" s="1"/>
  <c r="Q20" i="13"/>
  <c r="Q27" i="13" s="1"/>
  <c r="Q32" i="13"/>
  <c r="Q80" i="6" s="1"/>
  <c r="Q10" i="13"/>
  <c r="P20" i="13"/>
  <c r="P27" i="13" s="1"/>
  <c r="P10" i="13"/>
  <c r="P32" i="13"/>
  <c r="P80" i="6" s="1"/>
  <c r="O20" i="13"/>
  <c r="O27" i="13" s="1"/>
  <c r="O10" i="13"/>
  <c r="O32" i="13"/>
  <c r="O80" i="6" s="1"/>
  <c r="N10" i="13"/>
  <c r="N20" i="13"/>
  <c r="N27" i="13" s="1"/>
  <c r="N32" i="13"/>
  <c r="N80" i="6" s="1"/>
  <c r="M20" i="13"/>
  <c r="M27" i="13" s="1"/>
  <c r="M10" i="13"/>
  <c r="M32" i="13"/>
  <c r="M80" i="6" s="1"/>
  <c r="L20" i="13"/>
  <c r="L27" i="13" s="1"/>
  <c r="L10" i="13"/>
  <c r="L32" i="13"/>
  <c r="L80" i="6" s="1"/>
  <c r="K20" i="13"/>
  <c r="K27" i="13" s="1"/>
  <c r="K10" i="13"/>
  <c r="K32" i="13"/>
  <c r="K80" i="6" s="1"/>
  <c r="J10" i="13"/>
  <c r="J20" i="13"/>
  <c r="J27" i="13" s="1"/>
  <c r="J32" i="13"/>
  <c r="J80" i="6" s="1"/>
  <c r="I10" i="13"/>
  <c r="I20" i="13"/>
  <c r="I27" i="13" s="1"/>
  <c r="I32" i="13"/>
  <c r="I80" i="6" s="1"/>
  <c r="S20" i="13"/>
  <c r="S27" i="13" s="1"/>
  <c r="S32" i="13"/>
  <c r="S80" i="6" s="1"/>
  <c r="S10" i="13"/>
  <c r="H5" i="12"/>
  <c r="H5" i="6"/>
  <c r="H50" i="12"/>
  <c r="S28" i="12"/>
  <c r="S17" i="7"/>
  <c r="S27" i="6" s="1"/>
  <c r="T16" i="7"/>
  <c r="T8" i="13" s="1"/>
  <c r="G105" i="9"/>
  <c r="G24" i="12"/>
  <c r="G19" i="6" s="1"/>
  <c r="H60" i="8"/>
  <c r="H179" i="9"/>
  <c r="H195" i="9" s="1"/>
  <c r="G183" i="9"/>
  <c r="I147" i="9"/>
  <c r="I59" i="8"/>
  <c r="J22" i="7"/>
  <c r="X33" i="10"/>
  <c r="X34" i="10"/>
  <c r="X35" i="10"/>
  <c r="X36" i="10"/>
  <c r="X37" i="10"/>
  <c r="X38" i="10"/>
  <c r="X39" i="10"/>
  <c r="X40" i="10"/>
  <c r="X41" i="10"/>
  <c r="X42" i="10"/>
  <c r="X43" i="10"/>
  <c r="X44" i="10"/>
  <c r="X45" i="10"/>
  <c r="X46" i="10"/>
  <c r="X47" i="10"/>
  <c r="X48" i="10"/>
  <c r="W33" i="10"/>
  <c r="W34" i="10"/>
  <c r="W35" i="10"/>
  <c r="W36" i="10"/>
  <c r="W37" i="10"/>
  <c r="W38" i="10"/>
  <c r="W39" i="10"/>
  <c r="W40" i="10"/>
  <c r="W41" i="10"/>
  <c r="W42" i="10"/>
  <c r="W43" i="10"/>
  <c r="W44" i="10"/>
  <c r="W45" i="10"/>
  <c r="W46" i="10"/>
  <c r="W47" i="10"/>
  <c r="W48" i="10"/>
  <c r="V33" i="10"/>
  <c r="V34" i="10"/>
  <c r="V35" i="10"/>
  <c r="V36" i="10"/>
  <c r="V37" i="10"/>
  <c r="V38" i="10"/>
  <c r="V39" i="10"/>
  <c r="V40" i="10"/>
  <c r="V41" i="10"/>
  <c r="V42" i="10"/>
  <c r="V43" i="10"/>
  <c r="V44" i="10"/>
  <c r="V45" i="10"/>
  <c r="V46" i="10"/>
  <c r="V47" i="10"/>
  <c r="V48" i="10"/>
  <c r="U33" i="10"/>
  <c r="U34" i="10"/>
  <c r="U35" i="10"/>
  <c r="U36" i="10"/>
  <c r="U37" i="10"/>
  <c r="U38" i="10"/>
  <c r="U39" i="10"/>
  <c r="U40" i="10"/>
  <c r="U41" i="10"/>
  <c r="U42" i="10"/>
  <c r="U43" i="10"/>
  <c r="U44" i="10"/>
  <c r="U45" i="10"/>
  <c r="U46" i="10"/>
  <c r="U47" i="10"/>
  <c r="U48" i="10"/>
  <c r="T33" i="10"/>
  <c r="T34" i="10"/>
  <c r="T35" i="10"/>
  <c r="T36" i="10"/>
  <c r="T37" i="10"/>
  <c r="T38" i="10"/>
  <c r="T39" i="10"/>
  <c r="T40" i="10"/>
  <c r="T41" i="10"/>
  <c r="T42" i="10"/>
  <c r="T43" i="10"/>
  <c r="T44" i="10"/>
  <c r="T45" i="10"/>
  <c r="T46" i="10"/>
  <c r="T47" i="10"/>
  <c r="T48" i="10"/>
  <c r="S33" i="10"/>
  <c r="S34" i="10"/>
  <c r="S35" i="10"/>
  <c r="S36" i="10"/>
  <c r="S37" i="10"/>
  <c r="S38" i="10"/>
  <c r="S39" i="10"/>
  <c r="S40" i="10"/>
  <c r="S41" i="10"/>
  <c r="S42" i="10"/>
  <c r="S43" i="10"/>
  <c r="S44" i="10"/>
  <c r="S45" i="10"/>
  <c r="S46" i="10"/>
  <c r="S47" i="10"/>
  <c r="S48" i="10"/>
  <c r="R33" i="10"/>
  <c r="R34" i="10"/>
  <c r="R35" i="10"/>
  <c r="R36" i="10"/>
  <c r="R37" i="10"/>
  <c r="R38" i="10"/>
  <c r="R39" i="10"/>
  <c r="R40" i="10"/>
  <c r="R41" i="10"/>
  <c r="R42" i="10"/>
  <c r="R43" i="10"/>
  <c r="R44" i="10"/>
  <c r="R45" i="10"/>
  <c r="R46" i="10"/>
  <c r="R47" i="10"/>
  <c r="R48" i="10"/>
  <c r="R106" i="10"/>
  <c r="R56" i="10"/>
  <c r="Q33" i="10"/>
  <c r="Q34" i="10"/>
  <c r="Q35" i="10"/>
  <c r="Q36" i="10"/>
  <c r="Q37" i="10"/>
  <c r="Q38" i="10"/>
  <c r="Q39" i="10"/>
  <c r="Q40" i="10"/>
  <c r="Q41" i="10"/>
  <c r="Q42" i="10"/>
  <c r="Q43" i="10"/>
  <c r="Q44" i="10"/>
  <c r="Q45" i="10"/>
  <c r="Q46" i="10"/>
  <c r="Q47" i="10"/>
  <c r="Q48" i="10"/>
  <c r="Q106" i="10"/>
  <c r="Q56" i="10"/>
  <c r="P33" i="10"/>
  <c r="P34" i="10"/>
  <c r="P35" i="10"/>
  <c r="P36" i="10"/>
  <c r="P37" i="10"/>
  <c r="P38" i="10"/>
  <c r="P39" i="10"/>
  <c r="P40" i="10"/>
  <c r="P41" i="10"/>
  <c r="P42" i="10"/>
  <c r="P43" i="10"/>
  <c r="P44" i="10"/>
  <c r="P45" i="10"/>
  <c r="P46" i="10"/>
  <c r="P47" i="10"/>
  <c r="P48" i="10"/>
  <c r="P106" i="10"/>
  <c r="P56" i="10"/>
  <c r="O33" i="10"/>
  <c r="O34" i="10"/>
  <c r="O35" i="10"/>
  <c r="O36" i="10"/>
  <c r="O37" i="10"/>
  <c r="O38" i="10"/>
  <c r="O39" i="10"/>
  <c r="O40" i="10"/>
  <c r="O41" i="10"/>
  <c r="O42" i="10"/>
  <c r="O43" i="10"/>
  <c r="O44" i="10"/>
  <c r="O45" i="10"/>
  <c r="O46" i="10"/>
  <c r="O47" i="10"/>
  <c r="O48" i="10"/>
  <c r="O106" i="10"/>
  <c r="O56" i="10"/>
  <c r="N33" i="10"/>
  <c r="N34" i="10"/>
  <c r="N35" i="10"/>
  <c r="N36" i="10"/>
  <c r="N37" i="10"/>
  <c r="N38" i="10"/>
  <c r="N39" i="10"/>
  <c r="N40" i="10"/>
  <c r="N41" i="10"/>
  <c r="N42" i="10"/>
  <c r="N43" i="10"/>
  <c r="N44" i="10"/>
  <c r="N45" i="10"/>
  <c r="N46" i="10"/>
  <c r="N47" i="10"/>
  <c r="N48" i="10"/>
  <c r="N106" i="10"/>
  <c r="N56" i="10"/>
  <c r="M33" i="10"/>
  <c r="M34" i="10"/>
  <c r="M35" i="10"/>
  <c r="M36" i="10"/>
  <c r="M37" i="10"/>
  <c r="M38" i="10"/>
  <c r="M39" i="10"/>
  <c r="M40" i="10"/>
  <c r="M41" i="10"/>
  <c r="M42" i="10"/>
  <c r="M43" i="10"/>
  <c r="M44" i="10"/>
  <c r="M45" i="10"/>
  <c r="M46" i="10"/>
  <c r="M47" i="10"/>
  <c r="M48" i="10"/>
  <c r="M106" i="10"/>
  <c r="M56" i="10"/>
  <c r="L33" i="10"/>
  <c r="L34" i="10"/>
  <c r="L35" i="10"/>
  <c r="L36" i="10"/>
  <c r="L37" i="10"/>
  <c r="L38" i="10"/>
  <c r="L39" i="10"/>
  <c r="L40" i="10"/>
  <c r="L41" i="10"/>
  <c r="L42" i="10"/>
  <c r="L43" i="10"/>
  <c r="L44" i="10"/>
  <c r="L45" i="10"/>
  <c r="L46" i="10"/>
  <c r="L47" i="10"/>
  <c r="L48" i="10"/>
  <c r="L106" i="10"/>
  <c r="L56" i="10"/>
  <c r="K33" i="10"/>
  <c r="K34" i="10"/>
  <c r="K35" i="10"/>
  <c r="K36" i="10"/>
  <c r="K37" i="10"/>
  <c r="K38" i="10"/>
  <c r="K39" i="10"/>
  <c r="K40" i="10"/>
  <c r="K41" i="10"/>
  <c r="K42" i="10"/>
  <c r="K43" i="10"/>
  <c r="K44" i="10"/>
  <c r="K45" i="10"/>
  <c r="K46" i="10"/>
  <c r="K47" i="10"/>
  <c r="K48" i="10"/>
  <c r="K106" i="10"/>
  <c r="K56" i="10"/>
  <c r="J33" i="10"/>
  <c r="J34" i="10"/>
  <c r="J35" i="10"/>
  <c r="J36" i="10"/>
  <c r="J37" i="10"/>
  <c r="J38" i="10"/>
  <c r="J39" i="10"/>
  <c r="J40" i="10"/>
  <c r="J41" i="10"/>
  <c r="J42" i="10"/>
  <c r="J43" i="10"/>
  <c r="J44" i="10"/>
  <c r="J45" i="10"/>
  <c r="J46" i="10"/>
  <c r="J47" i="10"/>
  <c r="J48" i="10"/>
  <c r="J106" i="10"/>
  <c r="J56" i="10"/>
  <c r="I33" i="10"/>
  <c r="I34" i="10"/>
  <c r="I35" i="10"/>
  <c r="I36" i="10"/>
  <c r="I37" i="10"/>
  <c r="I38" i="10"/>
  <c r="I39" i="10"/>
  <c r="I40" i="10"/>
  <c r="I41" i="10"/>
  <c r="I42" i="10"/>
  <c r="I43" i="10"/>
  <c r="I44" i="10"/>
  <c r="I45" i="10"/>
  <c r="I46" i="10"/>
  <c r="I47" i="10"/>
  <c r="I48" i="10"/>
  <c r="I106" i="10"/>
  <c r="I56" i="10"/>
  <c r="H33" i="10"/>
  <c r="H34" i="10"/>
  <c r="H35" i="10"/>
  <c r="H36" i="10"/>
  <c r="H37" i="10"/>
  <c r="H38" i="10"/>
  <c r="H39" i="10"/>
  <c r="H40" i="10"/>
  <c r="H41" i="10"/>
  <c r="H42" i="10"/>
  <c r="H43" i="10"/>
  <c r="H44" i="10"/>
  <c r="H45" i="10"/>
  <c r="H46" i="10"/>
  <c r="H47" i="10"/>
  <c r="H48" i="10"/>
  <c r="H106" i="10"/>
  <c r="H56" i="10"/>
  <c r="G33" i="10"/>
  <c r="G34" i="10"/>
  <c r="G35" i="10"/>
  <c r="G36" i="10"/>
  <c r="G37" i="10"/>
  <c r="G38" i="10"/>
  <c r="G39" i="10"/>
  <c r="G40" i="10"/>
  <c r="G41" i="10"/>
  <c r="G42" i="10"/>
  <c r="G43" i="10"/>
  <c r="G44" i="10"/>
  <c r="G45" i="10"/>
  <c r="G46" i="10"/>
  <c r="G47" i="10"/>
  <c r="G48" i="10"/>
  <c r="G106" i="10"/>
  <c r="G56" i="10"/>
  <c r="H65" i="8"/>
  <c r="H92" i="10" s="1"/>
  <c r="H38" i="17" s="1"/>
  <c r="H29" i="11"/>
  <c r="H18" i="11"/>
  <c r="H21" i="11"/>
  <c r="H24" i="11"/>
  <c r="H62" i="11"/>
  <c r="H100" i="9" s="1"/>
  <c r="Q52" i="11"/>
  <c r="N52" i="11"/>
  <c r="I52" i="11"/>
  <c r="J122" i="9"/>
  <c r="O122" i="9"/>
  <c r="Q122" i="9"/>
  <c r="W122" i="9"/>
  <c r="Z122" i="9"/>
  <c r="AA122" i="9"/>
  <c r="AJ122" i="9"/>
  <c r="BC122" i="9"/>
  <c r="BG122" i="9"/>
  <c r="L122" i="9"/>
  <c r="T122" i="9"/>
  <c r="U122" i="9"/>
  <c r="AB122" i="9"/>
  <c r="AG122" i="9"/>
  <c r="AP122" i="9"/>
  <c r="AT122" i="9"/>
  <c r="AW122" i="9"/>
  <c r="AZ122" i="9"/>
  <c r="BA122" i="9"/>
  <c r="BE122" i="9"/>
  <c r="BF122" i="9"/>
  <c r="BI122" i="9"/>
  <c r="S122" i="9"/>
  <c r="AH122" i="9"/>
  <c r="H122" i="9"/>
  <c r="AS122" i="9"/>
  <c r="M122" i="9"/>
  <c r="Y122" i="9"/>
  <c r="AF122" i="9"/>
  <c r="AM122" i="9"/>
  <c r="AO122" i="9"/>
  <c r="AV122" i="9"/>
  <c r="I122" i="9"/>
  <c r="K122" i="9"/>
  <c r="R122" i="9"/>
  <c r="X122" i="9"/>
  <c r="AC122" i="9"/>
  <c r="AE122" i="9"/>
  <c r="AI122" i="9"/>
  <c r="AK122" i="9"/>
  <c r="AN122" i="9"/>
  <c r="AQ122" i="9"/>
  <c r="AX122" i="9"/>
  <c r="BB122" i="9"/>
  <c r="BD122" i="9"/>
  <c r="BH122" i="9"/>
  <c r="G122" i="9"/>
  <c r="N122" i="9"/>
  <c r="P122" i="9"/>
  <c r="V122" i="9"/>
  <c r="AD122" i="9"/>
  <c r="AL122" i="9"/>
  <c r="AR122" i="9"/>
  <c r="AU122" i="9"/>
  <c r="AY122" i="9"/>
  <c r="I58" i="8"/>
  <c r="I57" i="8"/>
  <c r="I66" i="8" s="1"/>
  <c r="H55" i="8"/>
  <c r="H5" i="10"/>
  <c r="H5" i="9"/>
  <c r="H5" i="11"/>
  <c r="I171" i="9"/>
  <c r="I13" i="7"/>
  <c r="J11" i="7"/>
  <c r="I12" i="7"/>
  <c r="I5" i="17" s="1"/>
  <c r="E296" i="9" l="1"/>
  <c r="BO76" i="10"/>
  <c r="BO85" i="17" s="1"/>
  <c r="BN76" i="10"/>
  <c r="BN85" i="17" s="1"/>
  <c r="BM76" i="10"/>
  <c r="BM85" i="17" s="1"/>
  <c r="BL76" i="10"/>
  <c r="BL85" i="17" s="1"/>
  <c r="BK76" i="10"/>
  <c r="BK85" i="17" s="1"/>
  <c r="BJ76" i="10"/>
  <c r="BJ85" i="17" s="1"/>
  <c r="BI76" i="10"/>
  <c r="BI85" i="17" s="1"/>
  <c r="BH76" i="10"/>
  <c r="BH85" i="17" s="1"/>
  <c r="BG76" i="10"/>
  <c r="BG85" i="17" s="1"/>
  <c r="BF76" i="10"/>
  <c r="BF85" i="17" s="1"/>
  <c r="BE76" i="10"/>
  <c r="BE85" i="17" s="1"/>
  <c r="BD76" i="10"/>
  <c r="BD85" i="17" s="1"/>
  <c r="BC76" i="10"/>
  <c r="BC85" i="17" s="1"/>
  <c r="BB76" i="10"/>
  <c r="BB85" i="17" s="1"/>
  <c r="BA76" i="10"/>
  <c r="BA85" i="17" s="1"/>
  <c r="AZ76" i="10"/>
  <c r="AZ85" i="17" s="1"/>
  <c r="AY76" i="10"/>
  <c r="AY85" i="17" s="1"/>
  <c r="AX76" i="10"/>
  <c r="AX85" i="17" s="1"/>
  <c r="AW76" i="10"/>
  <c r="AW85" i="17" s="1"/>
  <c r="AV76" i="10"/>
  <c r="AV85" i="17" s="1"/>
  <c r="AU76" i="10"/>
  <c r="AU85" i="17" s="1"/>
  <c r="AT76" i="10"/>
  <c r="AT85" i="17" s="1"/>
  <c r="AS76" i="10"/>
  <c r="AS85" i="17" s="1"/>
  <c r="AR76" i="10"/>
  <c r="AR85" i="17" s="1"/>
  <c r="AQ76" i="10"/>
  <c r="AQ85" i="17" s="1"/>
  <c r="AP76" i="10"/>
  <c r="AP85" i="17" s="1"/>
  <c r="AO76" i="10"/>
  <c r="AO85" i="17" s="1"/>
  <c r="AN76" i="10"/>
  <c r="AN85" i="17" s="1"/>
  <c r="AM76" i="10"/>
  <c r="AM85" i="17" s="1"/>
  <c r="AL76" i="10"/>
  <c r="AL85" i="17" s="1"/>
  <c r="AK76" i="10"/>
  <c r="AK85" i="17" s="1"/>
  <c r="AJ76" i="10"/>
  <c r="AJ85" i="17" s="1"/>
  <c r="AI76" i="10"/>
  <c r="AI85" i="17" s="1"/>
  <c r="AH76" i="10"/>
  <c r="AH85" i="17" s="1"/>
  <c r="AG76" i="10"/>
  <c r="AG85" i="17" s="1"/>
  <c r="AF76" i="10"/>
  <c r="AF85" i="17" s="1"/>
  <c r="AE76" i="10"/>
  <c r="AE85" i="17" s="1"/>
  <c r="AD76" i="10"/>
  <c r="AD85" i="17" s="1"/>
  <c r="AC76" i="10"/>
  <c r="AC85" i="17" s="1"/>
  <c r="AB76" i="10"/>
  <c r="AB85" i="17" s="1"/>
  <c r="AA76" i="10"/>
  <c r="AA85" i="17" s="1"/>
  <c r="Z76" i="10"/>
  <c r="Z85" i="17" s="1"/>
  <c r="Y76" i="10"/>
  <c r="Y85" i="17" s="1"/>
  <c r="X76" i="10"/>
  <c r="X85" i="17" s="1"/>
  <c r="W76" i="10"/>
  <c r="W85" i="17" s="1"/>
  <c r="V76" i="10"/>
  <c r="V85" i="17" s="1"/>
  <c r="U76" i="10"/>
  <c r="U85" i="17" s="1"/>
  <c r="T76" i="10"/>
  <c r="T85" i="17" s="1"/>
  <c r="S76" i="10"/>
  <c r="S85" i="17" s="1"/>
  <c r="R76" i="10"/>
  <c r="R85" i="17" s="1"/>
  <c r="Q76" i="10"/>
  <c r="Q85" i="17" s="1"/>
  <c r="P76" i="10"/>
  <c r="P85" i="17" s="1"/>
  <c r="O76" i="10"/>
  <c r="O85" i="17" s="1"/>
  <c r="N76" i="10"/>
  <c r="N85" i="17" s="1"/>
  <c r="M76" i="10"/>
  <c r="M85" i="17" s="1"/>
  <c r="L76" i="10"/>
  <c r="L85" i="17" s="1"/>
  <c r="K76" i="10"/>
  <c r="K85" i="17" s="1"/>
  <c r="J76" i="10"/>
  <c r="J85" i="17" s="1"/>
  <c r="I76" i="10"/>
  <c r="I85" i="17" s="1"/>
  <c r="H76" i="10"/>
  <c r="H85" i="17" s="1"/>
  <c r="G76" i="10"/>
  <c r="G85" i="17" s="1"/>
  <c r="I93" i="10"/>
  <c r="I80" i="11"/>
  <c r="H27" i="9"/>
  <c r="H110" i="9" s="1"/>
  <c r="BI27" i="9"/>
  <c r="BI110" i="9" s="1"/>
  <c r="I27" i="9"/>
  <c r="I110" i="9" s="1"/>
  <c r="J27" i="9"/>
  <c r="J110" i="9" s="1"/>
  <c r="K27" i="9"/>
  <c r="K110" i="9" s="1"/>
  <c r="L27" i="9"/>
  <c r="L110" i="9" s="1"/>
  <c r="M27" i="9"/>
  <c r="M110" i="9" s="1"/>
  <c r="N27" i="9"/>
  <c r="N110" i="9" s="1"/>
  <c r="O27" i="9"/>
  <c r="O110" i="9" s="1"/>
  <c r="P27" i="9"/>
  <c r="P110" i="9" s="1"/>
  <c r="Q27" i="9"/>
  <c r="Q110" i="9" s="1"/>
  <c r="R27" i="9"/>
  <c r="R110" i="9" s="1"/>
  <c r="S27" i="9"/>
  <c r="S110" i="9" s="1"/>
  <c r="T27" i="9"/>
  <c r="T110" i="9" s="1"/>
  <c r="U27" i="9"/>
  <c r="U110" i="9" s="1"/>
  <c r="V27" i="9"/>
  <c r="V110" i="9" s="1"/>
  <c r="W27" i="9"/>
  <c r="W110" i="9" s="1"/>
  <c r="X27" i="9"/>
  <c r="X110" i="9" s="1"/>
  <c r="Y27" i="9"/>
  <c r="Y110" i="9" s="1"/>
  <c r="Z27" i="9"/>
  <c r="Z110" i="9" s="1"/>
  <c r="AA27" i="9"/>
  <c r="AA110" i="9" s="1"/>
  <c r="AB27" i="9"/>
  <c r="AB110" i="9" s="1"/>
  <c r="AC27" i="9"/>
  <c r="AC110" i="9" s="1"/>
  <c r="AD27" i="9"/>
  <c r="AD110" i="9" s="1"/>
  <c r="AE27" i="9"/>
  <c r="AE110" i="9" s="1"/>
  <c r="AF27" i="9"/>
  <c r="AF110" i="9" s="1"/>
  <c r="AG27" i="9"/>
  <c r="AG110" i="9" s="1"/>
  <c r="AH27" i="9"/>
  <c r="AH110" i="9" s="1"/>
  <c r="AI27" i="9"/>
  <c r="AI110" i="9" s="1"/>
  <c r="AJ27" i="9"/>
  <c r="AJ110" i="9" s="1"/>
  <c r="AK27" i="9"/>
  <c r="AK110" i="9" s="1"/>
  <c r="AL27" i="9"/>
  <c r="AL110" i="9" s="1"/>
  <c r="AM27" i="9"/>
  <c r="AM110" i="9" s="1"/>
  <c r="AN27" i="9"/>
  <c r="AN110" i="9" s="1"/>
  <c r="AO27" i="9"/>
  <c r="AO110" i="9" s="1"/>
  <c r="AP27" i="9"/>
  <c r="AP110" i="9" s="1"/>
  <c r="AQ27" i="9"/>
  <c r="AQ110" i="9" s="1"/>
  <c r="AR27" i="9"/>
  <c r="AR110" i="9" s="1"/>
  <c r="AS27" i="9"/>
  <c r="AS110" i="9" s="1"/>
  <c r="AT27" i="9"/>
  <c r="AT110" i="9" s="1"/>
  <c r="AU27" i="9"/>
  <c r="AU110" i="9" s="1"/>
  <c r="AV27" i="9"/>
  <c r="AV110" i="9" s="1"/>
  <c r="AW27" i="9"/>
  <c r="AW110" i="9" s="1"/>
  <c r="AX27" i="9"/>
  <c r="AX110" i="9" s="1"/>
  <c r="AY27" i="9"/>
  <c r="AY110" i="9" s="1"/>
  <c r="AZ27" i="9"/>
  <c r="AZ110" i="9" s="1"/>
  <c r="BA27" i="9"/>
  <c r="BA110" i="9" s="1"/>
  <c r="BB27" i="9"/>
  <c r="BB110" i="9" s="1"/>
  <c r="BC27" i="9"/>
  <c r="BC110" i="9" s="1"/>
  <c r="BD27" i="9"/>
  <c r="BD110" i="9" s="1"/>
  <c r="BE27" i="9"/>
  <c r="BE110" i="9" s="1"/>
  <c r="BF27" i="9"/>
  <c r="BF110" i="9" s="1"/>
  <c r="BG27" i="9"/>
  <c r="BG110" i="9" s="1"/>
  <c r="BH27" i="9"/>
  <c r="BH110" i="9" s="1"/>
  <c r="G27" i="9"/>
  <c r="G110" i="9" s="1"/>
  <c r="BL27" i="9"/>
  <c r="BL110" i="9" s="1"/>
  <c r="BK27" i="9"/>
  <c r="BK110" i="9" s="1"/>
  <c r="BM27" i="9"/>
  <c r="BM110" i="9" s="1"/>
  <c r="BJ27" i="9"/>
  <c r="BJ110" i="9" s="1"/>
  <c r="BN27" i="9"/>
  <c r="BN110" i="9" s="1"/>
  <c r="BO27" i="9"/>
  <c r="BO110" i="9" s="1"/>
  <c r="G275" i="9"/>
  <c r="D188" i="18"/>
  <c r="H15" i="16"/>
  <c r="H16" i="16"/>
  <c r="H17" i="16"/>
  <c r="H18" i="16"/>
  <c r="H19" i="16"/>
  <c r="H20" i="16"/>
  <c r="H21" i="16"/>
  <c r="H22" i="16"/>
  <c r="H23" i="16"/>
  <c r="D157" i="20"/>
  <c r="E152" i="20"/>
  <c r="D137" i="18"/>
  <c r="D138" i="18"/>
  <c r="E78" i="18"/>
  <c r="G68" i="18"/>
  <c r="G78" i="18" s="1"/>
  <c r="D80" i="18" s="1"/>
  <c r="G122" i="15"/>
  <c r="F122" i="15"/>
  <c r="E122" i="15"/>
  <c r="D122" i="15"/>
  <c r="C122" i="15"/>
  <c r="G121" i="15"/>
  <c r="F121" i="15"/>
  <c r="E121" i="15"/>
  <c r="D121" i="15"/>
  <c r="C121" i="15"/>
  <c r="G120" i="15"/>
  <c r="F120" i="15"/>
  <c r="E120" i="15"/>
  <c r="C137" i="15" s="1"/>
  <c r="C138" i="15" s="1"/>
  <c r="D120" i="15"/>
  <c r="C120" i="15"/>
  <c r="G119" i="15"/>
  <c r="F119" i="15"/>
  <c r="E119" i="15"/>
  <c r="D119" i="15"/>
  <c r="C119" i="15"/>
  <c r="G118" i="15"/>
  <c r="F118" i="15"/>
  <c r="E118" i="15"/>
  <c r="D118" i="15"/>
  <c r="C118" i="15"/>
  <c r="G191" i="9"/>
  <c r="H143" i="9"/>
  <c r="D80" i="20"/>
  <c r="H142" i="9"/>
  <c r="G190" i="9"/>
  <c r="J16" i="16"/>
  <c r="M16" i="16" s="1"/>
  <c r="L16" i="16"/>
  <c r="J18" i="16"/>
  <c r="M18" i="16" s="1"/>
  <c r="L18" i="16"/>
  <c r="J19" i="16"/>
  <c r="M19" i="16" s="1"/>
  <c r="L19" i="16"/>
  <c r="J20" i="16"/>
  <c r="M20" i="16" s="1"/>
  <c r="L20" i="16"/>
  <c r="J21" i="16"/>
  <c r="M21" i="16" s="1"/>
  <c r="L21" i="16"/>
  <c r="I73" i="8"/>
  <c r="I74" i="8" s="1"/>
  <c r="H194" i="9"/>
  <c r="I146" i="9"/>
  <c r="D38" i="18"/>
  <c r="D39" i="18"/>
  <c r="D187" i="18" s="1"/>
  <c r="H197" i="9"/>
  <c r="I149" i="9"/>
  <c r="G24" i="16"/>
  <c r="I40" i="14"/>
  <c r="H144" i="9"/>
  <c r="G192" i="9"/>
  <c r="G36" i="17"/>
  <c r="I64" i="14"/>
  <c r="I77" i="11" s="1"/>
  <c r="G40" i="12"/>
  <c r="G41" i="12" s="1"/>
  <c r="S29" i="12"/>
  <c r="S78" i="6" s="1"/>
  <c r="S42" i="12"/>
  <c r="H62" i="8"/>
  <c r="H89" i="10" s="1"/>
  <c r="I48" i="14"/>
  <c r="I46" i="14"/>
  <c r="I63" i="8" s="1"/>
  <c r="I90" i="10" s="1"/>
  <c r="I49" i="14"/>
  <c r="I47" i="14"/>
  <c r="I64" i="8" s="1"/>
  <c r="I91" i="10" s="1"/>
  <c r="J63" i="14"/>
  <c r="J62" i="14"/>
  <c r="J61" i="14"/>
  <c r="J60" i="14"/>
  <c r="J59" i="14"/>
  <c r="J58" i="14"/>
  <c r="J57" i="14"/>
  <c r="J56" i="14"/>
  <c r="J55" i="14"/>
  <c r="J54" i="14"/>
  <c r="J53" i="14"/>
  <c r="J52" i="14"/>
  <c r="J36" i="14"/>
  <c r="J35" i="14"/>
  <c r="J34" i="14"/>
  <c r="J33" i="14"/>
  <c r="J32" i="14"/>
  <c r="J31" i="14"/>
  <c r="J30" i="14"/>
  <c r="J29" i="14"/>
  <c r="J39" i="14" s="1"/>
  <c r="J28" i="14"/>
  <c r="J27" i="14"/>
  <c r="J26" i="14"/>
  <c r="J25" i="14"/>
  <c r="I5" i="13"/>
  <c r="I5" i="14"/>
  <c r="S93" i="6"/>
  <c r="G101" i="6"/>
  <c r="G27" i="13"/>
  <c r="G21" i="13"/>
  <c r="T20" i="13"/>
  <c r="T27" i="13" s="1"/>
  <c r="T32" i="13"/>
  <c r="T80" i="6" s="1"/>
  <c r="T10" i="13"/>
  <c r="I5" i="12"/>
  <c r="I5" i="6"/>
  <c r="T28" i="12"/>
  <c r="T17" i="7"/>
  <c r="T27" i="6" s="1"/>
  <c r="U16" i="7"/>
  <c r="U8" i="13" s="1"/>
  <c r="I179" i="9"/>
  <c r="I195" i="9" s="1"/>
  <c r="H183" i="9"/>
  <c r="I27" i="10"/>
  <c r="I50" i="12"/>
  <c r="I60" i="8"/>
  <c r="J147" i="9"/>
  <c r="W49" i="10"/>
  <c r="W64" i="10" s="1"/>
  <c r="J59" i="8"/>
  <c r="K22" i="7"/>
  <c r="G139" i="9"/>
  <c r="I65" i="8"/>
  <c r="I92" i="10" s="1"/>
  <c r="I38" i="17" s="1"/>
  <c r="I29" i="11"/>
  <c r="I18" i="11"/>
  <c r="I21" i="11"/>
  <c r="I24" i="11"/>
  <c r="I62" i="11"/>
  <c r="I100" i="9" s="1"/>
  <c r="V49" i="10"/>
  <c r="U49" i="10"/>
  <c r="R49" i="10"/>
  <c r="Q49" i="10"/>
  <c r="O49" i="10"/>
  <c r="K49" i="10"/>
  <c r="G49" i="10"/>
  <c r="G65" i="11"/>
  <c r="G17" i="17" s="1"/>
  <c r="G30" i="17" s="1"/>
  <c r="X49" i="10"/>
  <c r="T49" i="10"/>
  <c r="S49" i="10"/>
  <c r="P49" i="10"/>
  <c r="N49" i="10"/>
  <c r="M49" i="10"/>
  <c r="L49" i="10"/>
  <c r="J49" i="10"/>
  <c r="I49" i="10"/>
  <c r="H49" i="10"/>
  <c r="J58" i="8"/>
  <c r="J57" i="8"/>
  <c r="J66" i="8" s="1"/>
  <c r="I5" i="11"/>
  <c r="I5" i="10"/>
  <c r="I5" i="9"/>
  <c r="I55" i="8"/>
  <c r="J171" i="9"/>
  <c r="K11" i="7"/>
  <c r="J13" i="7"/>
  <c r="J12" i="7"/>
  <c r="J5" i="17" s="1"/>
  <c r="J17" i="16" l="1"/>
  <c r="M17" i="16" s="1"/>
  <c r="L17" i="16"/>
  <c r="E75" i="9"/>
  <c r="E78" i="9" s="1"/>
  <c r="E81" i="9" s="1"/>
  <c r="F82" i="9" s="1"/>
  <c r="E297" i="9"/>
  <c r="E298" i="9" s="1"/>
  <c r="J22" i="16"/>
  <c r="M22" i="16" s="1"/>
  <c r="L22" i="16"/>
  <c r="J23" i="16"/>
  <c r="M23" i="16" s="1"/>
  <c r="L23" i="16"/>
  <c r="J93" i="10"/>
  <c r="J80" i="11"/>
  <c r="L15" i="16"/>
  <c r="J15" i="16"/>
  <c r="M15" i="16" s="1"/>
  <c r="H24" i="16"/>
  <c r="D30" i="16" s="1"/>
  <c r="D38" i="16" s="1"/>
  <c r="I75" i="8"/>
  <c r="I27" i="11"/>
  <c r="D194" i="18"/>
  <c r="G277" i="9"/>
  <c r="D189" i="18"/>
  <c r="D193" i="18" s="1"/>
  <c r="E157" i="20"/>
  <c r="D141" i="18"/>
  <c r="D140" i="18"/>
  <c r="D139" i="18"/>
  <c r="D88" i="18"/>
  <c r="D89" i="18" s="1"/>
  <c r="D70" i="7" s="1"/>
  <c r="D86" i="18"/>
  <c r="D90" i="18" s="1"/>
  <c r="D82" i="18"/>
  <c r="D83" i="18" s="1"/>
  <c r="I143" i="9"/>
  <c r="H191" i="9"/>
  <c r="I142" i="9"/>
  <c r="H190" i="9"/>
  <c r="L24" i="16"/>
  <c r="J73" i="8"/>
  <c r="J74" i="8" s="1"/>
  <c r="J146" i="9"/>
  <c r="I194" i="9"/>
  <c r="D40" i="18"/>
  <c r="D44" i="18"/>
  <c r="D56" i="18"/>
  <c r="D47" i="18"/>
  <c r="D54" i="18"/>
  <c r="J149" i="9"/>
  <c r="I197" i="9"/>
  <c r="W83" i="10"/>
  <c r="W118" i="10"/>
  <c r="J40" i="14"/>
  <c r="I144" i="9"/>
  <c r="H192" i="9"/>
  <c r="J64" i="14"/>
  <c r="J77" i="11" s="1"/>
  <c r="T29" i="12"/>
  <c r="T78" i="6" s="1"/>
  <c r="T42" i="12"/>
  <c r="I62" i="8"/>
  <c r="I89" i="10" s="1"/>
  <c r="H36" i="17"/>
  <c r="J46" i="14"/>
  <c r="J63" i="8" s="1"/>
  <c r="J90" i="10" s="1"/>
  <c r="J49" i="14"/>
  <c r="J47" i="14"/>
  <c r="J64" i="8" s="1"/>
  <c r="J91" i="10" s="1"/>
  <c r="J48" i="14"/>
  <c r="K63" i="14"/>
  <c r="K62" i="14"/>
  <c r="K61" i="14"/>
  <c r="K60" i="14"/>
  <c r="K59" i="14"/>
  <c r="K58" i="14"/>
  <c r="K57" i="14"/>
  <c r="K56" i="14"/>
  <c r="K55" i="14"/>
  <c r="K54" i="14"/>
  <c r="K53" i="14"/>
  <c r="K52" i="14"/>
  <c r="W63" i="10"/>
  <c r="W65" i="10"/>
  <c r="W107" i="10" s="1"/>
  <c r="W66" i="10"/>
  <c r="K36" i="14"/>
  <c r="K35" i="14"/>
  <c r="K34" i="14"/>
  <c r="K33" i="14"/>
  <c r="K32" i="14"/>
  <c r="K31" i="14"/>
  <c r="K30" i="14"/>
  <c r="K29" i="14"/>
  <c r="K39" i="14" s="1"/>
  <c r="K28" i="14"/>
  <c r="K27" i="14"/>
  <c r="K26" i="14"/>
  <c r="K25" i="14"/>
  <c r="J5" i="13"/>
  <c r="J5" i="14"/>
  <c r="W20" i="11"/>
  <c r="W23" i="11" s="1"/>
  <c r="W26" i="11"/>
  <c r="W54" i="10"/>
  <c r="T93" i="6"/>
  <c r="H65" i="11"/>
  <c r="H17" i="17" s="1"/>
  <c r="H30" i="17" s="1"/>
  <c r="H19" i="13"/>
  <c r="H21" i="13" s="1"/>
  <c r="G37" i="13"/>
  <c r="G61" i="6" s="1"/>
  <c r="U10" i="13"/>
  <c r="U32" i="13"/>
  <c r="U80" i="6" s="1"/>
  <c r="U20" i="13"/>
  <c r="U27" i="13" s="1"/>
  <c r="J5" i="12"/>
  <c r="J5" i="6"/>
  <c r="J179" i="9"/>
  <c r="J195" i="9" s="1"/>
  <c r="I183" i="9"/>
  <c r="U28" i="12"/>
  <c r="U17" i="7"/>
  <c r="U27" i="6" s="1"/>
  <c r="V16" i="7"/>
  <c r="V8" i="13" s="1"/>
  <c r="W106" i="10"/>
  <c r="W105" i="10"/>
  <c r="W62" i="10"/>
  <c r="W116" i="10" s="1"/>
  <c r="W39" i="17" s="1"/>
  <c r="J27" i="10"/>
  <c r="J50" i="12"/>
  <c r="K147" i="9"/>
  <c r="J60" i="8"/>
  <c r="K59" i="8"/>
  <c r="L22" i="7"/>
  <c r="W56" i="10"/>
  <c r="G187" i="9"/>
  <c r="H139" i="9"/>
  <c r="V54" i="10"/>
  <c r="V26" i="11"/>
  <c r="V20" i="11"/>
  <c r="V66" i="10"/>
  <c r="V65" i="10"/>
  <c r="V107" i="10" s="1"/>
  <c r="V64" i="10"/>
  <c r="V63" i="10"/>
  <c r="V62" i="10"/>
  <c r="V116" i="10" s="1"/>
  <c r="V39" i="17" s="1"/>
  <c r="V105" i="10"/>
  <c r="V106" i="10"/>
  <c r="U54" i="10"/>
  <c r="U56" i="10" s="1"/>
  <c r="U26" i="11"/>
  <c r="U20" i="11"/>
  <c r="U66" i="10"/>
  <c r="U65" i="10"/>
  <c r="U107" i="10" s="1"/>
  <c r="U64" i="10"/>
  <c r="U63" i="10"/>
  <c r="U62" i="10"/>
  <c r="U116" i="10" s="1"/>
  <c r="U39" i="17" s="1"/>
  <c r="U105" i="10"/>
  <c r="U106" i="10"/>
  <c r="R54" i="10"/>
  <c r="R26" i="11"/>
  <c r="R20" i="11"/>
  <c r="R108" i="10"/>
  <c r="R68" i="10"/>
  <c r="R66" i="10"/>
  <c r="R65" i="10"/>
  <c r="R107" i="10" s="1"/>
  <c r="R64" i="10"/>
  <c r="R63" i="10"/>
  <c r="R62" i="10"/>
  <c r="R116" i="10" s="1"/>
  <c r="R39" i="17" s="1"/>
  <c r="R105" i="10"/>
  <c r="Q54" i="10"/>
  <c r="Q26" i="11"/>
  <c r="Q20" i="11"/>
  <c r="Q108" i="10"/>
  <c r="Q68" i="10"/>
  <c r="Q66" i="10"/>
  <c r="Q65" i="10"/>
  <c r="Q107" i="10" s="1"/>
  <c r="Q64" i="10"/>
  <c r="Q63" i="10"/>
  <c r="Q62" i="10"/>
  <c r="Q116" i="10" s="1"/>
  <c r="Q39" i="17" s="1"/>
  <c r="Q105" i="10"/>
  <c r="O54" i="10"/>
  <c r="O26" i="11"/>
  <c r="O20" i="11"/>
  <c r="O108" i="10"/>
  <c r="O68" i="10"/>
  <c r="O66" i="10"/>
  <c r="O65" i="10"/>
  <c r="O107" i="10" s="1"/>
  <c r="O64" i="10"/>
  <c r="O63" i="10"/>
  <c r="O62" i="10"/>
  <c r="O116" i="10" s="1"/>
  <c r="O39" i="17" s="1"/>
  <c r="O105" i="10"/>
  <c r="K54" i="10"/>
  <c r="K26" i="11"/>
  <c r="K20" i="11"/>
  <c r="K108" i="10"/>
  <c r="K68" i="10"/>
  <c r="K66" i="10"/>
  <c r="K65" i="10"/>
  <c r="K107" i="10" s="1"/>
  <c r="K64" i="10"/>
  <c r="K63" i="10"/>
  <c r="K62" i="10"/>
  <c r="K116" i="10" s="1"/>
  <c r="K39" i="17" s="1"/>
  <c r="K105" i="10"/>
  <c r="G54" i="10"/>
  <c r="G53" i="10" s="1"/>
  <c r="G26" i="11"/>
  <c r="G28" i="11" s="1"/>
  <c r="G20" i="11"/>
  <c r="G12" i="11"/>
  <c r="G11" i="11"/>
  <c r="G108" i="10"/>
  <c r="G68" i="10"/>
  <c r="G66" i="10"/>
  <c r="G65" i="10"/>
  <c r="G107" i="10" s="1"/>
  <c r="G64" i="10"/>
  <c r="G63" i="10"/>
  <c r="G62" i="10"/>
  <c r="G116" i="10" s="1"/>
  <c r="G39" i="17" s="1"/>
  <c r="G105" i="10"/>
  <c r="X54" i="10"/>
  <c r="X26" i="11"/>
  <c r="X20" i="11"/>
  <c r="X66" i="10"/>
  <c r="X65" i="10"/>
  <c r="X107" i="10" s="1"/>
  <c r="X64" i="10"/>
  <c r="X63" i="10"/>
  <c r="X62" i="10"/>
  <c r="X116" i="10" s="1"/>
  <c r="X39" i="17" s="1"/>
  <c r="X105" i="10"/>
  <c r="X106" i="10"/>
  <c r="T54" i="10"/>
  <c r="T26" i="11"/>
  <c r="T20" i="11"/>
  <c r="T66" i="10"/>
  <c r="T65" i="10"/>
  <c r="T107" i="10" s="1"/>
  <c r="T64" i="10"/>
  <c r="T63" i="10"/>
  <c r="T62" i="10"/>
  <c r="T116" i="10" s="1"/>
  <c r="T39" i="17" s="1"/>
  <c r="T105" i="10"/>
  <c r="T106" i="10"/>
  <c r="S54" i="10"/>
  <c r="S56" i="10" s="1"/>
  <c r="S26" i="11"/>
  <c r="S20" i="11"/>
  <c r="S66" i="10"/>
  <c r="S65" i="10"/>
  <c r="S107" i="10" s="1"/>
  <c r="S64" i="10"/>
  <c r="S63" i="10"/>
  <c r="S62" i="10"/>
  <c r="S116" i="10" s="1"/>
  <c r="S39" i="17" s="1"/>
  <c r="S105" i="10"/>
  <c r="S106" i="10"/>
  <c r="P54" i="10"/>
  <c r="P26" i="11"/>
  <c r="P20" i="11"/>
  <c r="P108" i="10"/>
  <c r="P68" i="10"/>
  <c r="P66" i="10"/>
  <c r="P65" i="10"/>
  <c r="P107" i="10" s="1"/>
  <c r="P64" i="10"/>
  <c r="P63" i="10"/>
  <c r="P62" i="10"/>
  <c r="P116" i="10" s="1"/>
  <c r="P39" i="17" s="1"/>
  <c r="P105" i="10"/>
  <c r="N54" i="10"/>
  <c r="N26" i="11"/>
  <c r="N20" i="11"/>
  <c r="N108" i="10"/>
  <c r="N68" i="10"/>
  <c r="N66" i="10"/>
  <c r="N65" i="10"/>
  <c r="N107" i="10" s="1"/>
  <c r="N64" i="10"/>
  <c r="N63" i="10"/>
  <c r="N62" i="10"/>
  <c r="N116" i="10" s="1"/>
  <c r="N39" i="17" s="1"/>
  <c r="N105" i="10"/>
  <c r="M54" i="10"/>
  <c r="M26" i="11"/>
  <c r="M20" i="11"/>
  <c r="M108" i="10"/>
  <c r="M68" i="10"/>
  <c r="M66" i="10"/>
  <c r="M65" i="10"/>
  <c r="M107" i="10" s="1"/>
  <c r="M64" i="10"/>
  <c r="M63" i="10"/>
  <c r="M62" i="10"/>
  <c r="M116" i="10" s="1"/>
  <c r="M39" i="17" s="1"/>
  <c r="M105" i="10"/>
  <c r="L54" i="10"/>
  <c r="L26" i="11"/>
  <c r="L20" i="11"/>
  <c r="L108" i="10"/>
  <c r="L68" i="10"/>
  <c r="L66" i="10"/>
  <c r="L65" i="10"/>
  <c r="L107" i="10" s="1"/>
  <c r="L64" i="10"/>
  <c r="L63" i="10"/>
  <c r="L62" i="10"/>
  <c r="L116" i="10" s="1"/>
  <c r="L39" i="17" s="1"/>
  <c r="L105" i="10"/>
  <c r="J54" i="10"/>
  <c r="J26" i="11"/>
  <c r="J20" i="11"/>
  <c r="J12" i="11"/>
  <c r="J11" i="11"/>
  <c r="J108" i="10"/>
  <c r="J68" i="10"/>
  <c r="J66" i="10"/>
  <c r="J65" i="10"/>
  <c r="J107" i="10" s="1"/>
  <c r="J64" i="10"/>
  <c r="J63" i="10"/>
  <c r="J62" i="10"/>
  <c r="J116" i="10" s="1"/>
  <c r="J39" i="17" s="1"/>
  <c r="J105" i="10"/>
  <c r="I54" i="10"/>
  <c r="I26" i="11"/>
  <c r="I20" i="11"/>
  <c r="I12" i="11"/>
  <c r="I11" i="11"/>
  <c r="I108" i="10"/>
  <c r="I68" i="10"/>
  <c r="I66" i="10"/>
  <c r="I65" i="10"/>
  <c r="I107" i="10" s="1"/>
  <c r="I64" i="10"/>
  <c r="I63" i="10"/>
  <c r="I62" i="10"/>
  <c r="I116" i="10" s="1"/>
  <c r="I39" i="17" s="1"/>
  <c r="I105" i="10"/>
  <c r="H54" i="10"/>
  <c r="H26" i="11"/>
  <c r="H28" i="11" s="1"/>
  <c r="H20" i="11"/>
  <c r="H12" i="11"/>
  <c r="H11" i="11"/>
  <c r="H108" i="10"/>
  <c r="H68" i="10"/>
  <c r="H66" i="10"/>
  <c r="H65" i="10"/>
  <c r="H107" i="10" s="1"/>
  <c r="H64" i="10"/>
  <c r="H63" i="10"/>
  <c r="H62" i="10"/>
  <c r="H116" i="10" s="1"/>
  <c r="H39" i="17" s="1"/>
  <c r="H105" i="10"/>
  <c r="J65" i="8"/>
  <c r="J92" i="10" s="1"/>
  <c r="J38" i="17" s="1"/>
  <c r="J29" i="11"/>
  <c r="J18" i="11"/>
  <c r="J21" i="11"/>
  <c r="J24" i="11"/>
  <c r="J62" i="11"/>
  <c r="J100" i="9" s="1"/>
  <c r="K57" i="8"/>
  <c r="K58" i="8"/>
  <c r="J5" i="9"/>
  <c r="J55" i="8"/>
  <c r="J5" i="10"/>
  <c r="J5" i="11"/>
  <c r="K171" i="9"/>
  <c r="L11" i="7"/>
  <c r="K12" i="7"/>
  <c r="K5" i="17" s="1"/>
  <c r="K13" i="7"/>
  <c r="M24" i="16" l="1"/>
  <c r="BD82" i="9"/>
  <c r="AV82" i="9"/>
  <c r="AR82" i="9"/>
  <c r="AA82" i="9"/>
  <c r="BB82" i="9"/>
  <c r="AM82" i="9"/>
  <c r="AE82" i="9"/>
  <c r="V82" i="9"/>
  <c r="T82" i="9"/>
  <c r="AS82" i="9"/>
  <c r="AO82" i="9"/>
  <c r="Z82" i="9"/>
  <c r="N82" i="9"/>
  <c r="AP82" i="9"/>
  <c r="AY82" i="9"/>
  <c r="BO82" i="9"/>
  <c r="BN82" i="9"/>
  <c r="BM82" i="9"/>
  <c r="BL82" i="9"/>
  <c r="BJ82" i="9"/>
  <c r="BK82" i="9"/>
  <c r="AI82" i="9"/>
  <c r="AF82" i="9"/>
  <c r="AD82" i="9"/>
  <c r="W82" i="9"/>
  <c r="R82" i="9"/>
  <c r="I82" i="9"/>
  <c r="M82" i="9"/>
  <c r="AT82" i="9"/>
  <c r="AH82" i="9"/>
  <c r="X82" i="9"/>
  <c r="S82" i="9"/>
  <c r="O82" i="9"/>
  <c r="J82" i="9"/>
  <c r="BE82" i="9"/>
  <c r="AZ82" i="9"/>
  <c r="AX82" i="9"/>
  <c r="AQ82" i="9"/>
  <c r="AL82" i="9"/>
  <c r="AJ82" i="9"/>
  <c r="AG82" i="9"/>
  <c r="Y82" i="9"/>
  <c r="BI82" i="9"/>
  <c r="BH82" i="9"/>
  <c r="BG82" i="9"/>
  <c r="BF82" i="9"/>
  <c r="AC82" i="9"/>
  <c r="K82" i="9"/>
  <c r="F114" i="9"/>
  <c r="H82" i="9"/>
  <c r="AN82" i="9"/>
  <c r="L82" i="9"/>
  <c r="AB82" i="9"/>
  <c r="AU82" i="9"/>
  <c r="AK82" i="9"/>
  <c r="U82" i="9"/>
  <c r="BA82" i="9"/>
  <c r="P82" i="9"/>
  <c r="BC82" i="9"/>
  <c r="G82" i="9"/>
  <c r="AW82" i="9"/>
  <c r="Q82" i="9"/>
  <c r="K80" i="11"/>
  <c r="K66" i="8"/>
  <c r="H57" i="10"/>
  <c r="G57" i="10"/>
  <c r="G59" i="10" s="1"/>
  <c r="G8" i="11" s="1"/>
  <c r="I57" i="10"/>
  <c r="F312" i="9"/>
  <c r="D225" i="7"/>
  <c r="F44" i="9"/>
  <c r="F43" i="9"/>
  <c r="F38" i="9"/>
  <c r="F37" i="9"/>
  <c r="F36" i="9"/>
  <c r="F35" i="9"/>
  <c r="F32" i="9"/>
  <c r="F31" i="9"/>
  <c r="AW128" i="9"/>
  <c r="AW114" i="9"/>
  <c r="Q128" i="9"/>
  <c r="Q114" i="9"/>
  <c r="H128" i="9"/>
  <c r="H114" i="9"/>
  <c r="BC128" i="9"/>
  <c r="BC114" i="9"/>
  <c r="AU114" i="9"/>
  <c r="AU128" i="9"/>
  <c r="AN114" i="9"/>
  <c r="AN128" i="9"/>
  <c r="AK128" i="9"/>
  <c r="AK114" i="9"/>
  <c r="G114" i="9"/>
  <c r="G128" i="9"/>
  <c r="G145" i="9" s="1"/>
  <c r="L114" i="9"/>
  <c r="L128" i="9"/>
  <c r="BA114" i="9"/>
  <c r="BA128" i="9"/>
  <c r="AB114" i="9"/>
  <c r="AB128" i="9"/>
  <c r="P128" i="9"/>
  <c r="P114" i="9"/>
  <c r="BD114" i="9"/>
  <c r="BD128" i="9"/>
  <c r="AV128" i="9"/>
  <c r="AV114" i="9"/>
  <c r="AR114" i="9"/>
  <c r="AR128" i="9"/>
  <c r="AA128" i="9"/>
  <c r="AA114" i="9"/>
  <c r="BB128" i="9"/>
  <c r="BB114" i="9"/>
  <c r="AM114" i="9"/>
  <c r="AM128" i="9"/>
  <c r="AE128" i="9"/>
  <c r="AE114" i="9"/>
  <c r="V128" i="9"/>
  <c r="V114" i="9"/>
  <c r="T128" i="9"/>
  <c r="T114" i="9"/>
  <c r="I28" i="11"/>
  <c r="J143" i="9"/>
  <c r="I191" i="9"/>
  <c r="J142" i="9"/>
  <c r="I190" i="9"/>
  <c r="V17" i="11"/>
  <c r="W17" i="11"/>
  <c r="F33" i="9"/>
  <c r="F34" i="9"/>
  <c r="F39" i="9"/>
  <c r="F41" i="9"/>
  <c r="F40" i="9"/>
  <c r="F42" i="9"/>
  <c r="E167" i="20"/>
  <c r="F167" i="20"/>
  <c r="F168" i="20"/>
  <c r="E168" i="20"/>
  <c r="F166" i="20"/>
  <c r="E166" i="20"/>
  <c r="E165" i="20"/>
  <c r="F165" i="20"/>
  <c r="M17" i="11"/>
  <c r="X17" i="11"/>
  <c r="T17" i="11"/>
  <c r="S17" i="11"/>
  <c r="P17" i="11"/>
  <c r="N17" i="11"/>
  <c r="L17" i="11"/>
  <c r="J17" i="11"/>
  <c r="J19" i="11" s="1"/>
  <c r="J24" i="17" s="1"/>
  <c r="I17" i="11"/>
  <c r="I19" i="11" s="1"/>
  <c r="I24" i="17" s="1"/>
  <c r="H17" i="11"/>
  <c r="H19" i="11" s="1"/>
  <c r="H24" i="17" s="1"/>
  <c r="U17" i="11"/>
  <c r="R17" i="11"/>
  <c r="Q17" i="11"/>
  <c r="O17" i="11"/>
  <c r="K17" i="11"/>
  <c r="G17" i="11"/>
  <c r="G19" i="11" s="1"/>
  <c r="G24" i="17" s="1"/>
  <c r="J194" i="9"/>
  <c r="K146" i="9"/>
  <c r="J27" i="11"/>
  <c r="J28" i="11" s="1"/>
  <c r="J75" i="8"/>
  <c r="J57" i="10" s="1"/>
  <c r="K73" i="8"/>
  <c r="K74" i="8" s="1"/>
  <c r="K93" i="10"/>
  <c r="J197" i="9"/>
  <c r="K149" i="9"/>
  <c r="D49" i="18"/>
  <c r="D46" i="18"/>
  <c r="D45" i="18"/>
  <c r="D59" i="18"/>
  <c r="H42" i="17"/>
  <c r="W73" i="17"/>
  <c r="W79" i="17"/>
  <c r="W76" i="17"/>
  <c r="W70" i="17"/>
  <c r="V70" i="17"/>
  <c r="V79" i="17"/>
  <c r="V76" i="17"/>
  <c r="V73" i="17"/>
  <c r="U70" i="17"/>
  <c r="U79" i="17"/>
  <c r="U76" i="17"/>
  <c r="U73" i="17"/>
  <c r="R70" i="17"/>
  <c r="R79" i="17"/>
  <c r="R76" i="17"/>
  <c r="R73" i="17"/>
  <c r="Q79" i="17"/>
  <c r="Q70" i="17"/>
  <c r="Q73" i="17"/>
  <c r="Q76" i="17"/>
  <c r="O79" i="17"/>
  <c r="O70" i="17"/>
  <c r="O73" i="17"/>
  <c r="O76" i="17"/>
  <c r="K70" i="17"/>
  <c r="K79" i="17"/>
  <c r="K73" i="17"/>
  <c r="K76" i="17"/>
  <c r="G42" i="17"/>
  <c r="G70" i="17"/>
  <c r="G73" i="17"/>
  <c r="G76" i="17"/>
  <c r="G79" i="17"/>
  <c r="X73" i="17"/>
  <c r="X76" i="17"/>
  <c r="X70" i="17"/>
  <c r="X79" i="17"/>
  <c r="T70" i="17"/>
  <c r="T73" i="17"/>
  <c r="T76" i="17"/>
  <c r="T79" i="17"/>
  <c r="S73" i="17"/>
  <c r="S76" i="17"/>
  <c r="S70" i="17"/>
  <c r="S79" i="17"/>
  <c r="P70" i="17"/>
  <c r="P76" i="17"/>
  <c r="P73" i="17"/>
  <c r="P79" i="17"/>
  <c r="N79" i="17"/>
  <c r="N76" i="17"/>
  <c r="N73" i="17"/>
  <c r="N70" i="17"/>
  <c r="M70" i="17"/>
  <c r="M73" i="17"/>
  <c r="M79" i="17"/>
  <c r="M76" i="17"/>
  <c r="L70" i="17"/>
  <c r="L79" i="17"/>
  <c r="L76" i="17"/>
  <c r="L73" i="17"/>
  <c r="J76" i="17"/>
  <c r="J79" i="17"/>
  <c r="J70" i="17"/>
  <c r="J73" i="17"/>
  <c r="I79" i="17"/>
  <c r="I70" i="17"/>
  <c r="I73" i="17"/>
  <c r="I76" i="17"/>
  <c r="H70" i="17"/>
  <c r="H73" i="17"/>
  <c r="H76" i="17"/>
  <c r="H79" i="17"/>
  <c r="W123" i="10"/>
  <c r="W41" i="17"/>
  <c r="W71" i="10"/>
  <c r="W117" i="10"/>
  <c r="W119" i="10" s="1"/>
  <c r="W124" i="10" s="1"/>
  <c r="W121" i="10"/>
  <c r="V83" i="10"/>
  <c r="V118" i="10"/>
  <c r="V71" i="10"/>
  <c r="V72" i="10" s="1"/>
  <c r="V117" i="10"/>
  <c r="V119" i="10" s="1"/>
  <c r="V124" i="10" s="1"/>
  <c r="V121" i="10"/>
  <c r="U83" i="10"/>
  <c r="U118" i="10"/>
  <c r="U71" i="10"/>
  <c r="U72" i="10" s="1"/>
  <c r="U117" i="10"/>
  <c r="U121" i="10"/>
  <c r="R83" i="10"/>
  <c r="R119" i="11" s="1"/>
  <c r="R118" i="10"/>
  <c r="R71" i="10"/>
  <c r="R117" i="10"/>
  <c r="R119" i="10" s="1"/>
  <c r="R124" i="10" s="1"/>
  <c r="R121" i="10"/>
  <c r="Q83" i="10"/>
  <c r="Q119" i="11" s="1"/>
  <c r="Q118" i="10"/>
  <c r="Q71" i="10"/>
  <c r="Q117" i="10"/>
  <c r="Q121" i="10"/>
  <c r="O83" i="10"/>
  <c r="O119" i="11" s="1"/>
  <c r="O118" i="10"/>
  <c r="O71" i="10"/>
  <c r="O72" i="10" s="1"/>
  <c r="O117" i="10"/>
  <c r="O121" i="10"/>
  <c r="K83" i="10"/>
  <c r="K119" i="11" s="1"/>
  <c r="K118" i="10"/>
  <c r="K71" i="10"/>
  <c r="K72" i="10" s="1"/>
  <c r="K75" i="10" s="1"/>
  <c r="K81" i="10" s="1"/>
  <c r="K117" i="10"/>
  <c r="K40" i="17" s="1"/>
  <c r="K121" i="10"/>
  <c r="G83" i="10"/>
  <c r="G118" i="10"/>
  <c r="G71" i="10"/>
  <c r="G117" i="10"/>
  <c r="G121" i="10"/>
  <c r="X83" i="10"/>
  <c r="X118" i="10"/>
  <c r="X71" i="10"/>
  <c r="X117" i="10"/>
  <c r="X119" i="10" s="1"/>
  <c r="X124" i="10" s="1"/>
  <c r="X121" i="10"/>
  <c r="T83" i="10"/>
  <c r="T118" i="10"/>
  <c r="T71" i="10"/>
  <c r="T117" i="10"/>
  <c r="T40" i="17" s="1"/>
  <c r="T121" i="10"/>
  <c r="S83" i="10"/>
  <c r="S118" i="10"/>
  <c r="S71" i="10"/>
  <c r="S72" i="10" s="1"/>
  <c r="S75" i="10" s="1"/>
  <c r="S81" i="10" s="1"/>
  <c r="S117" i="10"/>
  <c r="S40" i="17" s="1"/>
  <c r="S121" i="10"/>
  <c r="P83" i="10"/>
  <c r="P119" i="11" s="1"/>
  <c r="P118" i="10"/>
  <c r="P71" i="10"/>
  <c r="P72" i="10" s="1"/>
  <c r="P117" i="10"/>
  <c r="P119" i="10" s="1"/>
  <c r="P124" i="10" s="1"/>
  <c r="P121" i="10"/>
  <c r="N83" i="10"/>
  <c r="N119" i="11" s="1"/>
  <c r="N118" i="10"/>
  <c r="N71" i="10"/>
  <c r="N117" i="10"/>
  <c r="N121" i="10"/>
  <c r="M83" i="10"/>
  <c r="M119" i="11" s="1"/>
  <c r="M118" i="10"/>
  <c r="M71" i="10"/>
  <c r="M117" i="10"/>
  <c r="M121" i="10"/>
  <c r="L83" i="10"/>
  <c r="L119" i="11" s="1"/>
  <c r="L118" i="10"/>
  <c r="L71" i="10"/>
  <c r="L72" i="10" s="1"/>
  <c r="L75" i="10" s="1"/>
  <c r="L81" i="10" s="1"/>
  <c r="L117" i="10"/>
  <c r="L40" i="17" s="1"/>
  <c r="L121" i="10"/>
  <c r="J83" i="10"/>
  <c r="J118" i="10"/>
  <c r="J71" i="10"/>
  <c r="J72" i="10" s="1"/>
  <c r="J75" i="10" s="1"/>
  <c r="J81" i="10" s="1"/>
  <c r="J117" i="10"/>
  <c r="J121" i="10"/>
  <c r="I83" i="10"/>
  <c r="I118" i="10"/>
  <c r="I71" i="10"/>
  <c r="I117" i="10"/>
  <c r="I119" i="10" s="1"/>
  <c r="I124" i="10" s="1"/>
  <c r="I121" i="10"/>
  <c r="H83" i="10"/>
  <c r="H118" i="10"/>
  <c r="H71" i="10"/>
  <c r="H117" i="10"/>
  <c r="H121" i="10"/>
  <c r="H119" i="10"/>
  <c r="H124" i="10" s="1"/>
  <c r="K40" i="14"/>
  <c r="K64" i="14"/>
  <c r="K77" i="11" s="1"/>
  <c r="I192" i="9"/>
  <c r="J144" i="9"/>
  <c r="I36" i="17"/>
  <c r="I42" i="17" s="1"/>
  <c r="I134" i="11"/>
  <c r="U29" i="12"/>
  <c r="U78" i="6" s="1"/>
  <c r="U42" i="12"/>
  <c r="J62" i="8"/>
  <c r="J89" i="10" s="1"/>
  <c r="K48" i="14"/>
  <c r="K47" i="14"/>
  <c r="K64" i="8" s="1"/>
  <c r="K91" i="10" s="1"/>
  <c r="K46" i="14"/>
  <c r="K63" i="8" s="1"/>
  <c r="K90" i="10" s="1"/>
  <c r="K49" i="14"/>
  <c r="L63" i="14"/>
  <c r="L62" i="14"/>
  <c r="L61" i="14"/>
  <c r="L60" i="14"/>
  <c r="L59" i="14"/>
  <c r="L58" i="14"/>
  <c r="L57" i="14"/>
  <c r="L56" i="14"/>
  <c r="L55" i="14"/>
  <c r="L54" i="14"/>
  <c r="L53" i="14"/>
  <c r="L52" i="14"/>
  <c r="L36" i="14"/>
  <c r="L35" i="14"/>
  <c r="L34" i="14"/>
  <c r="L33" i="14"/>
  <c r="L32" i="14"/>
  <c r="L31" i="14"/>
  <c r="L30" i="14"/>
  <c r="L29" i="14"/>
  <c r="L39" i="14" s="1"/>
  <c r="L28" i="14"/>
  <c r="L27" i="14"/>
  <c r="L26" i="14"/>
  <c r="L25" i="14"/>
  <c r="K5" i="13"/>
  <c r="K5" i="14"/>
  <c r="U93" i="6"/>
  <c r="K179" i="9"/>
  <c r="K183" i="9" s="1"/>
  <c r="J183" i="9"/>
  <c r="I19" i="13"/>
  <c r="I21" i="13" s="1"/>
  <c r="H37" i="13"/>
  <c r="H61" i="6" s="1"/>
  <c r="V10" i="13"/>
  <c r="V20" i="13"/>
  <c r="V27" i="13" s="1"/>
  <c r="V32" i="13"/>
  <c r="V80" i="6" s="1"/>
  <c r="K5" i="12"/>
  <c r="K5" i="6"/>
  <c r="V28" i="12"/>
  <c r="W16" i="7"/>
  <c r="V17" i="7"/>
  <c r="V27" i="6" s="1"/>
  <c r="W67" i="10"/>
  <c r="W68" i="10" s="1"/>
  <c r="W80" i="10"/>
  <c r="K60" i="8"/>
  <c r="L147" i="9"/>
  <c r="K27" i="10"/>
  <c r="K50" i="12"/>
  <c r="K12" i="11"/>
  <c r="K11" i="11"/>
  <c r="L59" i="8"/>
  <c r="M22" i="7"/>
  <c r="I139" i="9"/>
  <c r="H187" i="9"/>
  <c r="V56" i="10"/>
  <c r="V23" i="11"/>
  <c r="V67" i="10"/>
  <c r="V68" i="10" s="1"/>
  <c r="V80" i="10"/>
  <c r="U23" i="11"/>
  <c r="U67" i="10"/>
  <c r="U68" i="10" s="1"/>
  <c r="U80" i="10"/>
  <c r="R23" i="11"/>
  <c r="R120" i="11"/>
  <c r="R67" i="10"/>
  <c r="R80" i="10"/>
  <c r="Q23" i="11"/>
  <c r="Q120" i="11"/>
  <c r="Q80" i="10"/>
  <c r="Q67" i="10"/>
  <c r="O23" i="11"/>
  <c r="O120" i="11"/>
  <c r="O67" i="10"/>
  <c r="O80" i="10"/>
  <c r="K23" i="11"/>
  <c r="K120" i="11"/>
  <c r="K80" i="10"/>
  <c r="K67" i="10"/>
  <c r="G55" i="10"/>
  <c r="G23" i="11"/>
  <c r="G25" i="11" s="1"/>
  <c r="G22" i="11"/>
  <c r="G120" i="11"/>
  <c r="G134" i="11"/>
  <c r="G67" i="10"/>
  <c r="G80" i="10"/>
  <c r="X56" i="10"/>
  <c r="X23" i="11"/>
  <c r="X67" i="10"/>
  <c r="X68" i="10" s="1"/>
  <c r="X80" i="10"/>
  <c r="T56" i="10"/>
  <c r="T23" i="11"/>
  <c r="T67" i="10"/>
  <c r="T68" i="10" s="1"/>
  <c r="T80" i="10"/>
  <c r="S23" i="11"/>
  <c r="S67" i="10"/>
  <c r="S68" i="10" s="1"/>
  <c r="S80" i="10"/>
  <c r="P23" i="11"/>
  <c r="P120" i="11"/>
  <c r="P80" i="10"/>
  <c r="P67" i="10"/>
  <c r="N23" i="11"/>
  <c r="N120" i="11"/>
  <c r="N80" i="10"/>
  <c r="N67" i="10"/>
  <c r="M23" i="11"/>
  <c r="M120" i="11"/>
  <c r="M80" i="10"/>
  <c r="M67" i="10"/>
  <c r="L23" i="11"/>
  <c r="L120" i="11"/>
  <c r="L80" i="10"/>
  <c r="L67" i="10"/>
  <c r="J22" i="11"/>
  <c r="J23" i="11"/>
  <c r="J25" i="11" s="1"/>
  <c r="J120" i="11"/>
  <c r="J67" i="10"/>
  <c r="J80" i="10"/>
  <c r="I22" i="11"/>
  <c r="I23" i="11"/>
  <c r="I25" i="11" s="1"/>
  <c r="I120" i="11"/>
  <c r="I80" i="10"/>
  <c r="I67" i="10"/>
  <c r="H22" i="11"/>
  <c r="H23" i="11"/>
  <c r="H25" i="11" s="1"/>
  <c r="H120" i="11"/>
  <c r="H134" i="11"/>
  <c r="H80" i="10"/>
  <c r="H67" i="10"/>
  <c r="K65" i="8"/>
  <c r="K92" i="10" s="1"/>
  <c r="K38" i="17" s="1"/>
  <c r="K29" i="11"/>
  <c r="K18" i="11"/>
  <c r="K21" i="11"/>
  <c r="K22" i="11" s="1"/>
  <c r="K24" i="11"/>
  <c r="K62" i="11"/>
  <c r="K100" i="9" s="1"/>
  <c r="I65" i="11"/>
  <c r="I17" i="17" s="1"/>
  <c r="I30" i="17" s="1"/>
  <c r="L58" i="8"/>
  <c r="L57" i="8"/>
  <c r="K5" i="11"/>
  <c r="K5" i="10"/>
  <c r="K5" i="9"/>
  <c r="K55" i="8"/>
  <c r="L171" i="9"/>
  <c r="L12" i="7"/>
  <c r="L5" i="17" s="1"/>
  <c r="L13" i="7"/>
  <c r="M11" i="7"/>
  <c r="J24" i="16" l="1"/>
  <c r="D36" i="16"/>
  <c r="D50" i="18"/>
  <c r="AS114" i="9"/>
  <c r="AS128" i="9"/>
  <c r="U128" i="9"/>
  <c r="U114" i="9"/>
  <c r="AO128" i="9"/>
  <c r="AO114" i="9"/>
  <c r="Z128" i="9"/>
  <c r="Z114" i="9"/>
  <c r="N128" i="9"/>
  <c r="N114" i="9"/>
  <c r="BO114" i="9"/>
  <c r="BO128" i="9"/>
  <c r="BN114" i="9"/>
  <c r="BN128" i="9"/>
  <c r="AP128" i="9"/>
  <c r="AP114" i="9"/>
  <c r="AY128" i="9"/>
  <c r="AY114" i="9"/>
  <c r="BM114" i="9"/>
  <c r="BM128" i="9"/>
  <c r="BL128" i="9"/>
  <c r="BL114" i="9"/>
  <c r="BJ114" i="9"/>
  <c r="BJ128" i="9"/>
  <c r="BK128" i="9"/>
  <c r="BK114" i="9"/>
  <c r="AI128" i="9"/>
  <c r="AI114" i="9"/>
  <c r="AF128" i="9"/>
  <c r="AF114" i="9"/>
  <c r="AD128" i="9"/>
  <c r="AD114" i="9"/>
  <c r="W128" i="9"/>
  <c r="W114" i="9"/>
  <c r="R128" i="9"/>
  <c r="R114" i="9"/>
  <c r="I128" i="9"/>
  <c r="I114" i="9"/>
  <c r="M128" i="9"/>
  <c r="M114" i="9"/>
  <c r="AT128" i="9"/>
  <c r="AT114" i="9"/>
  <c r="AH128" i="9"/>
  <c r="AH114" i="9"/>
  <c r="X128" i="9"/>
  <c r="X114" i="9"/>
  <c r="S128" i="9"/>
  <c r="S114" i="9"/>
  <c r="O114" i="9"/>
  <c r="O128" i="9"/>
  <c r="J128" i="9"/>
  <c r="J114" i="9"/>
  <c r="BE128" i="9"/>
  <c r="BE114" i="9"/>
  <c r="AZ128" i="9"/>
  <c r="AZ114" i="9"/>
  <c r="AX128" i="9"/>
  <c r="AX114" i="9"/>
  <c r="AQ128" i="9"/>
  <c r="AQ114" i="9"/>
  <c r="AL128" i="9"/>
  <c r="AL114" i="9"/>
  <c r="AJ128" i="9"/>
  <c r="AJ114" i="9"/>
  <c r="AG128" i="9"/>
  <c r="AG114" i="9"/>
  <c r="Y128" i="9"/>
  <c r="Y114" i="9"/>
  <c r="BI128" i="9"/>
  <c r="BI114" i="9"/>
  <c r="BH128" i="9"/>
  <c r="BH114" i="9"/>
  <c r="BG128" i="9"/>
  <c r="BG114" i="9"/>
  <c r="BF128" i="9"/>
  <c r="BF114" i="9"/>
  <c r="AC128" i="9"/>
  <c r="AC114" i="9"/>
  <c r="K128" i="9"/>
  <c r="K114" i="9"/>
  <c r="F45" i="9"/>
  <c r="N119" i="10"/>
  <c r="N124" i="10" s="1"/>
  <c r="L80" i="11"/>
  <c r="L66" i="8"/>
  <c r="AG314" i="9"/>
  <c r="AG38" i="12" s="1"/>
  <c r="Y314" i="9"/>
  <c r="Y38" i="12" s="1"/>
  <c r="AC314" i="9"/>
  <c r="AC38" i="12" s="1"/>
  <c r="AF314" i="9"/>
  <c r="AF38" i="12" s="1"/>
  <c r="AI314" i="9"/>
  <c r="AI38" i="12" s="1"/>
  <c r="BO314" i="9"/>
  <c r="BO38" i="12" s="1"/>
  <c r="BL314" i="9"/>
  <c r="BL38" i="12" s="1"/>
  <c r="BK314" i="9"/>
  <c r="BK38" i="12" s="1"/>
  <c r="BH314" i="9"/>
  <c r="BH38" i="12" s="1"/>
  <c r="BC314" i="9"/>
  <c r="BC38" i="12" s="1"/>
  <c r="AR314" i="9"/>
  <c r="AR38" i="12" s="1"/>
  <c r="AO314" i="9"/>
  <c r="AO38" i="12" s="1"/>
  <c r="AM314" i="9"/>
  <c r="AM38" i="12" s="1"/>
  <c r="AJ314" i="9"/>
  <c r="AJ38" i="12" s="1"/>
  <c r="AL314" i="9"/>
  <c r="AL38" i="12" s="1"/>
  <c r="AE314" i="9"/>
  <c r="AE38" i="12" s="1"/>
  <c r="AB314" i="9"/>
  <c r="AB38" i="12" s="1"/>
  <c r="AP314" i="9"/>
  <c r="AP38" i="12" s="1"/>
  <c r="AS314" i="9"/>
  <c r="AS38" i="12" s="1"/>
  <c r="AW314" i="9"/>
  <c r="AW38" i="12" s="1"/>
  <c r="AZ314" i="9"/>
  <c r="AZ38" i="12" s="1"/>
  <c r="BE314" i="9"/>
  <c r="BE38" i="12" s="1"/>
  <c r="BN314" i="9"/>
  <c r="BN38" i="12" s="1"/>
  <c r="BM314" i="9"/>
  <c r="BM38" i="12" s="1"/>
  <c r="BJ314" i="9"/>
  <c r="BJ38" i="12" s="1"/>
  <c r="BI314" i="9"/>
  <c r="BI38" i="12" s="1"/>
  <c r="BG314" i="9"/>
  <c r="BG38" i="12" s="1"/>
  <c r="BF314" i="9"/>
  <c r="BF38" i="12" s="1"/>
  <c r="BD314" i="9"/>
  <c r="BD38" i="12" s="1"/>
  <c r="BB314" i="9"/>
  <c r="BB38" i="12" s="1"/>
  <c r="BA314" i="9"/>
  <c r="BA38" i="12" s="1"/>
  <c r="AY314" i="9"/>
  <c r="AY38" i="12" s="1"/>
  <c r="AX314" i="9"/>
  <c r="AX38" i="12" s="1"/>
  <c r="AV314" i="9"/>
  <c r="AV38" i="12" s="1"/>
  <c r="AU314" i="9"/>
  <c r="AU38" i="12" s="1"/>
  <c r="AT314" i="9"/>
  <c r="AT38" i="12" s="1"/>
  <c r="AQ314" i="9"/>
  <c r="AQ38" i="12" s="1"/>
  <c r="AN314" i="9"/>
  <c r="AN38" i="12" s="1"/>
  <c r="AK314" i="9"/>
  <c r="AK38" i="12" s="1"/>
  <c r="AH314" i="9"/>
  <c r="AH38" i="12" s="1"/>
  <c r="AD314" i="9"/>
  <c r="AD38" i="12" s="1"/>
  <c r="AA314" i="9"/>
  <c r="AA38" i="12" s="1"/>
  <c r="Z314" i="9"/>
  <c r="Z38" i="12" s="1"/>
  <c r="M119" i="10"/>
  <c r="M124" i="10" s="1"/>
  <c r="G193" i="9"/>
  <c r="H145" i="9"/>
  <c r="U119" i="10"/>
  <c r="U124" i="10" s="1"/>
  <c r="J191" i="9"/>
  <c r="K143" i="9"/>
  <c r="J190" i="9"/>
  <c r="K142" i="9"/>
  <c r="O119" i="10"/>
  <c r="O124" i="10" s="1"/>
  <c r="D35" i="16"/>
  <c r="D33" i="16"/>
  <c r="D32" i="16"/>
  <c r="G119" i="10"/>
  <c r="G124" i="10" s="1"/>
  <c r="BN31" i="9"/>
  <c r="BK31" i="9"/>
  <c r="BL31" i="9"/>
  <c r="BM31" i="9"/>
  <c r="BJ31" i="9"/>
  <c r="BO31" i="9"/>
  <c r="G31" i="9"/>
  <c r="AD31" i="9"/>
  <c r="BE31" i="9"/>
  <c r="BD31" i="9"/>
  <c r="BB31" i="9"/>
  <c r="Y31" i="9"/>
  <c r="Z31" i="9"/>
  <c r="AB31" i="9"/>
  <c r="AP31" i="9"/>
  <c r="H31" i="9"/>
  <c r="I31" i="9"/>
  <c r="J31" i="9"/>
  <c r="K31" i="9"/>
  <c r="L31" i="9"/>
  <c r="M31" i="9"/>
  <c r="N31" i="9"/>
  <c r="O31" i="9"/>
  <c r="P31" i="9"/>
  <c r="Q31" i="9"/>
  <c r="R31" i="9"/>
  <c r="S31" i="9"/>
  <c r="T31" i="9"/>
  <c r="U31" i="9"/>
  <c r="V31" i="9"/>
  <c r="W31" i="9"/>
  <c r="X31" i="9"/>
  <c r="AA31" i="9"/>
  <c r="AC31" i="9"/>
  <c r="AQ31" i="9"/>
  <c r="AE31" i="9"/>
  <c r="AF31" i="9"/>
  <c r="AG31" i="9"/>
  <c r="AH31" i="9"/>
  <c r="AI31" i="9"/>
  <c r="AJ31" i="9"/>
  <c r="AK31" i="9"/>
  <c r="AL31" i="9"/>
  <c r="AM31" i="9"/>
  <c r="AN31" i="9"/>
  <c r="AO31" i="9"/>
  <c r="AT31" i="9"/>
  <c r="AU31" i="9"/>
  <c r="AV31" i="9"/>
  <c r="BI31" i="9"/>
  <c r="BA31" i="9"/>
  <c r="AZ31" i="9"/>
  <c r="AY31" i="9"/>
  <c r="AX31" i="9"/>
  <c r="AW31" i="9"/>
  <c r="AS31" i="9"/>
  <c r="AR31" i="9"/>
  <c r="BG31" i="9"/>
  <c r="BH31" i="9"/>
  <c r="BF31" i="9"/>
  <c r="BC31" i="9"/>
  <c r="BL32" i="9"/>
  <c r="BK32" i="9"/>
  <c r="BJ32" i="9"/>
  <c r="BO32" i="9"/>
  <c r="U32" i="9"/>
  <c r="BB32" i="9"/>
  <c r="BD32" i="9"/>
  <c r="BE32" i="9"/>
  <c r="AX32" i="9"/>
  <c r="AU32" i="9"/>
  <c r="AT32" i="9"/>
  <c r="AQ32" i="9"/>
  <c r="AP32" i="9"/>
  <c r="AO32" i="9"/>
  <c r="AM32" i="9"/>
  <c r="AL32" i="9"/>
  <c r="AI32" i="9"/>
  <c r="AG32" i="9"/>
  <c r="AE32" i="9"/>
  <c r="T32" i="9"/>
  <c r="S32" i="9"/>
  <c r="R32" i="9"/>
  <c r="P32" i="9"/>
  <c r="BH32" i="9"/>
  <c r="K32" i="9"/>
  <c r="L32" i="9"/>
  <c r="N32" i="9"/>
  <c r="V32" i="9"/>
  <c r="W32" i="9"/>
  <c r="X32" i="9"/>
  <c r="Z32" i="9"/>
  <c r="AB32" i="9"/>
  <c r="BF32" i="9"/>
  <c r="AZ32" i="9"/>
  <c r="BN32" i="9"/>
  <c r="BM32" i="9"/>
  <c r="G32" i="9"/>
  <c r="AW32" i="9"/>
  <c r="BC32" i="9"/>
  <c r="BI32" i="9"/>
  <c r="AY32" i="9"/>
  <c r="AV32" i="9"/>
  <c r="AS32" i="9"/>
  <c r="AR32" i="9"/>
  <c r="AN32" i="9"/>
  <c r="AK32" i="9"/>
  <c r="AJ32" i="9"/>
  <c r="AF32" i="9"/>
  <c r="AD32" i="9"/>
  <c r="H32" i="9"/>
  <c r="Q32" i="9"/>
  <c r="O32" i="9"/>
  <c r="I32" i="9"/>
  <c r="J32" i="9"/>
  <c r="M32" i="9"/>
  <c r="Y32" i="9"/>
  <c r="AA32" i="9"/>
  <c r="AC32" i="9"/>
  <c r="AH32" i="9"/>
  <c r="BG32" i="9"/>
  <c r="BA32" i="9"/>
  <c r="AB33" i="9"/>
  <c r="AX33" i="9"/>
  <c r="AN33" i="9"/>
  <c r="H33" i="9"/>
  <c r="BD33" i="9"/>
  <c r="AY33" i="9"/>
  <c r="AV33" i="9"/>
  <c r="AT33" i="9"/>
  <c r="AR33" i="9"/>
  <c r="AO33" i="9"/>
  <c r="AM33" i="9"/>
  <c r="AL33" i="9"/>
  <c r="AJ33" i="9"/>
  <c r="AG33" i="9"/>
  <c r="AE33" i="9"/>
  <c r="BF33" i="9"/>
  <c r="AA33" i="9"/>
  <c r="W33" i="9"/>
  <c r="V33" i="9"/>
  <c r="Q33" i="9"/>
  <c r="P33" i="9"/>
  <c r="O33" i="9"/>
  <c r="M33" i="9"/>
  <c r="K33" i="9"/>
  <c r="I33" i="9"/>
  <c r="G33" i="9"/>
  <c r="BI33" i="9"/>
  <c r="BJ33" i="9"/>
  <c r="BK33" i="9"/>
  <c r="BL33" i="9"/>
  <c r="BM33" i="9"/>
  <c r="BN33" i="9"/>
  <c r="BO33" i="9"/>
  <c r="AZ33" i="9"/>
  <c r="BG33" i="9"/>
  <c r="BE33" i="9"/>
  <c r="BC33" i="9"/>
  <c r="BB33" i="9"/>
  <c r="AW33" i="9"/>
  <c r="AU33" i="9"/>
  <c r="AS33" i="9"/>
  <c r="AQ33" i="9"/>
  <c r="AP33" i="9"/>
  <c r="AK33" i="9"/>
  <c r="AI33" i="9"/>
  <c r="AH33" i="9"/>
  <c r="AF33" i="9"/>
  <c r="AD33" i="9"/>
  <c r="AC33" i="9"/>
  <c r="BH33" i="9"/>
  <c r="Y33" i="9"/>
  <c r="X33" i="9"/>
  <c r="U33" i="9"/>
  <c r="T33" i="9"/>
  <c r="S33" i="9"/>
  <c r="R33" i="9"/>
  <c r="N33" i="9"/>
  <c r="L33" i="9"/>
  <c r="J33" i="9"/>
  <c r="Z33" i="9"/>
  <c r="BA33" i="9"/>
  <c r="BJ34" i="9"/>
  <c r="BK34" i="9"/>
  <c r="BL34" i="9"/>
  <c r="BM34" i="9"/>
  <c r="BN34" i="9"/>
  <c r="BO34" i="9"/>
  <c r="BE34" i="9"/>
  <c r="BI34" i="9"/>
  <c r="BA34" i="9"/>
  <c r="AZ34" i="9"/>
  <c r="AW34" i="9"/>
  <c r="AV34" i="9"/>
  <c r="AS34" i="9"/>
  <c r="AQ34" i="9"/>
  <c r="AP34" i="9"/>
  <c r="AO34" i="9"/>
  <c r="AN34" i="9"/>
  <c r="AM34" i="9"/>
  <c r="AL34" i="9"/>
  <c r="AK34" i="9"/>
  <c r="AI34" i="9"/>
  <c r="AH34" i="9"/>
  <c r="AG34" i="9"/>
  <c r="AF34" i="9"/>
  <c r="AE34" i="9"/>
  <c r="AD34" i="9"/>
  <c r="AC34" i="9"/>
  <c r="AB34" i="9"/>
  <c r="AA34" i="9"/>
  <c r="Z34" i="9"/>
  <c r="Y34" i="9"/>
  <c r="X34" i="9"/>
  <c r="W34" i="9"/>
  <c r="V34" i="9"/>
  <c r="T34" i="9"/>
  <c r="S34" i="9"/>
  <c r="R34" i="9"/>
  <c r="P34" i="9"/>
  <c r="O34" i="9"/>
  <c r="N34" i="9"/>
  <c r="M34" i="9"/>
  <c r="L34" i="9"/>
  <c r="K34" i="9"/>
  <c r="J34" i="9"/>
  <c r="I34" i="9"/>
  <c r="H34" i="9"/>
  <c r="G34" i="9"/>
  <c r="BH34" i="9"/>
  <c r="Q34" i="9"/>
  <c r="U34" i="9"/>
  <c r="AR34" i="9"/>
  <c r="AT34" i="9"/>
  <c r="AU34" i="9"/>
  <c r="AX34" i="9"/>
  <c r="AY34" i="9"/>
  <c r="BB34" i="9"/>
  <c r="BC34" i="9"/>
  <c r="BD34" i="9"/>
  <c r="BF34" i="9"/>
  <c r="BG34" i="9"/>
  <c r="AJ34" i="9"/>
  <c r="BK35" i="9"/>
  <c r="BJ35" i="9"/>
  <c r="BL35" i="9"/>
  <c r="BM35" i="9"/>
  <c r="BO35" i="9"/>
  <c r="BN35" i="9"/>
  <c r="BD35" i="9"/>
  <c r="G35" i="9"/>
  <c r="H35" i="9"/>
  <c r="I35" i="9"/>
  <c r="K35" i="9"/>
  <c r="BI35" i="9"/>
  <c r="BA35" i="9"/>
  <c r="AZ35" i="9"/>
  <c r="AO35" i="9"/>
  <c r="AN35" i="9"/>
  <c r="AI35" i="9"/>
  <c r="AH35" i="9"/>
  <c r="AG35" i="9"/>
  <c r="AF35" i="9"/>
  <c r="Q35" i="9"/>
  <c r="P35" i="9"/>
  <c r="O35" i="9"/>
  <c r="N35" i="9"/>
  <c r="M35" i="9"/>
  <c r="L35" i="9"/>
  <c r="J35" i="9"/>
  <c r="R35" i="9"/>
  <c r="S35" i="9"/>
  <c r="T35" i="9"/>
  <c r="U35" i="9"/>
  <c r="V35" i="9"/>
  <c r="W35" i="9"/>
  <c r="X35" i="9"/>
  <c r="Y35" i="9"/>
  <c r="Z35" i="9"/>
  <c r="AA35" i="9"/>
  <c r="AB35" i="9"/>
  <c r="AC35" i="9"/>
  <c r="AD35" i="9"/>
  <c r="AE35" i="9"/>
  <c r="AJ35" i="9"/>
  <c r="AK35" i="9"/>
  <c r="AL35" i="9"/>
  <c r="AM35" i="9"/>
  <c r="AP35" i="9"/>
  <c r="AQ35" i="9"/>
  <c r="AR35" i="9"/>
  <c r="AS35" i="9"/>
  <c r="AT35" i="9"/>
  <c r="AU35" i="9"/>
  <c r="AV35" i="9"/>
  <c r="AW35" i="9"/>
  <c r="AX35" i="9"/>
  <c r="AY35" i="9"/>
  <c r="BB35" i="9"/>
  <c r="BH35" i="9"/>
  <c r="BG35" i="9"/>
  <c r="BF35" i="9"/>
  <c r="BE35" i="9"/>
  <c r="BC35" i="9"/>
  <c r="BO36" i="9"/>
  <c r="BJ36" i="9"/>
  <c r="BK36" i="9"/>
  <c r="BL36" i="9"/>
  <c r="BM36" i="9"/>
  <c r="BN36" i="9"/>
  <c r="AW36" i="9"/>
  <c r="AQ36" i="9"/>
  <c r="S36" i="9"/>
  <c r="AX36" i="9"/>
  <c r="AV36" i="9"/>
  <c r="AU36" i="9"/>
  <c r="AT36" i="9"/>
  <c r="AS36" i="9"/>
  <c r="AR36" i="9"/>
  <c r="R36" i="9"/>
  <c r="H36" i="9"/>
  <c r="I36" i="9"/>
  <c r="J36" i="9"/>
  <c r="K36" i="9"/>
  <c r="L36" i="9"/>
  <c r="M36" i="9"/>
  <c r="AD36" i="9"/>
  <c r="AY36" i="9"/>
  <c r="AZ36" i="9"/>
  <c r="BA36" i="9"/>
  <c r="BB36" i="9"/>
  <c r="BC36" i="9"/>
  <c r="BD36" i="9"/>
  <c r="BE36" i="9"/>
  <c r="BF36" i="9"/>
  <c r="BG36" i="9"/>
  <c r="BI36" i="9"/>
  <c r="AF36" i="9"/>
  <c r="AE36" i="9"/>
  <c r="AC36" i="9"/>
  <c r="AB36" i="9"/>
  <c r="AA36" i="9"/>
  <c r="Z36" i="9"/>
  <c r="Y36" i="9"/>
  <c r="AJ36" i="9"/>
  <c r="X36" i="9"/>
  <c r="AK36" i="9"/>
  <c r="W36" i="9"/>
  <c r="V36" i="9"/>
  <c r="U36" i="9"/>
  <c r="T36" i="9"/>
  <c r="N36" i="9"/>
  <c r="O36" i="9"/>
  <c r="P36" i="9"/>
  <c r="BH36" i="9"/>
  <c r="AG36" i="9"/>
  <c r="AH36" i="9"/>
  <c r="AI36" i="9"/>
  <c r="G36" i="9"/>
  <c r="AM36" i="9"/>
  <c r="Q36" i="9"/>
  <c r="AN36" i="9"/>
  <c r="AO36" i="9"/>
  <c r="AP36" i="9"/>
  <c r="AL36" i="9"/>
  <c r="BO37" i="9"/>
  <c r="BJ37" i="9"/>
  <c r="G37" i="9"/>
  <c r="AT37" i="9"/>
  <c r="AU37" i="9"/>
  <c r="AV37" i="9"/>
  <c r="AW37" i="9"/>
  <c r="AX37" i="9"/>
  <c r="AY37" i="9"/>
  <c r="AZ37" i="9"/>
  <c r="BB37" i="9"/>
  <c r="BD37" i="9"/>
  <c r="BE37" i="9"/>
  <c r="BI37" i="9"/>
  <c r="P37" i="9"/>
  <c r="H37" i="9"/>
  <c r="I37" i="9"/>
  <c r="J37" i="9"/>
  <c r="K37" i="9"/>
  <c r="L37" i="9"/>
  <c r="M37" i="9"/>
  <c r="N37" i="9"/>
  <c r="O37" i="9"/>
  <c r="AR37" i="9"/>
  <c r="S37" i="9"/>
  <c r="T37" i="9"/>
  <c r="U37" i="9"/>
  <c r="W37" i="9"/>
  <c r="X37" i="9"/>
  <c r="Z37" i="9"/>
  <c r="AA37" i="9"/>
  <c r="AB37" i="9"/>
  <c r="AC37" i="9"/>
  <c r="AF37" i="9"/>
  <c r="AH37" i="9"/>
  <c r="AJ37" i="9"/>
  <c r="AO37" i="9"/>
  <c r="BK37" i="9"/>
  <c r="BN37" i="9"/>
  <c r="Q37" i="9"/>
  <c r="AD37" i="9"/>
  <c r="AG37" i="9"/>
  <c r="AI37" i="9"/>
  <c r="AK37" i="9"/>
  <c r="AN37" i="9"/>
  <c r="R37" i="9"/>
  <c r="BH37" i="9"/>
  <c r="BF37" i="9"/>
  <c r="AL37" i="9"/>
  <c r="AM37" i="9"/>
  <c r="AP37" i="9"/>
  <c r="AQ37" i="9"/>
  <c r="BL37" i="9"/>
  <c r="BM37" i="9"/>
  <c r="BA37" i="9"/>
  <c r="BC37" i="9"/>
  <c r="BG37" i="9"/>
  <c r="AS37" i="9"/>
  <c r="V37" i="9"/>
  <c r="Y37" i="9"/>
  <c r="AE37" i="9"/>
  <c r="BN38" i="9"/>
  <c r="BM38" i="9"/>
  <c r="BL38" i="9"/>
  <c r="BJ38" i="9"/>
  <c r="BK38" i="9"/>
  <c r="AH38" i="9"/>
  <c r="BI38" i="9"/>
  <c r="BC38" i="9"/>
  <c r="BA38" i="9"/>
  <c r="AZ38" i="9"/>
  <c r="AY38" i="9"/>
  <c r="AW38" i="9"/>
  <c r="H38" i="9"/>
  <c r="I38" i="9"/>
  <c r="J38" i="9"/>
  <c r="K38" i="9"/>
  <c r="L38" i="9"/>
  <c r="M38" i="9"/>
  <c r="P38" i="9"/>
  <c r="Q38" i="9"/>
  <c r="S38" i="9"/>
  <c r="G38" i="9"/>
  <c r="Y38" i="9"/>
  <c r="Z38" i="9"/>
  <c r="AA38" i="9"/>
  <c r="AE38" i="9"/>
  <c r="AF38" i="9"/>
  <c r="AU38" i="9"/>
  <c r="AT38" i="9"/>
  <c r="AS38" i="9"/>
  <c r="AR38" i="9"/>
  <c r="AP38" i="9"/>
  <c r="AI38" i="9"/>
  <c r="AG38" i="9"/>
  <c r="BD38" i="9"/>
  <c r="AV38" i="9"/>
  <c r="R38" i="9"/>
  <c r="AD38" i="9"/>
  <c r="AQ38" i="9"/>
  <c r="AN38" i="9"/>
  <c r="AK38" i="9"/>
  <c r="BH38" i="9"/>
  <c r="BG38" i="9"/>
  <c r="BE38" i="9"/>
  <c r="AX38" i="9"/>
  <c r="T38" i="9"/>
  <c r="U38" i="9"/>
  <c r="AC38" i="9"/>
  <c r="AO38" i="9"/>
  <c r="AL38" i="9"/>
  <c r="BO38" i="9"/>
  <c r="BF38" i="9"/>
  <c r="BB38" i="9"/>
  <c r="N38" i="9"/>
  <c r="O38" i="9"/>
  <c r="V38" i="9"/>
  <c r="W38" i="9"/>
  <c r="X38" i="9"/>
  <c r="AB38" i="9"/>
  <c r="AM38" i="9"/>
  <c r="AJ38" i="9"/>
  <c r="AU39" i="9"/>
  <c r="AX39" i="9"/>
  <c r="BB39" i="9"/>
  <c r="H39" i="9"/>
  <c r="BH39" i="9"/>
  <c r="AW39" i="9"/>
  <c r="AO39" i="9"/>
  <c r="AN39" i="9"/>
  <c r="AJ39" i="9"/>
  <c r="W39" i="9"/>
  <c r="T39" i="9"/>
  <c r="R39" i="9"/>
  <c r="P39" i="9"/>
  <c r="N39" i="9"/>
  <c r="M39" i="9"/>
  <c r="BE39" i="9"/>
  <c r="I39" i="9"/>
  <c r="AG39" i="9"/>
  <c r="G39" i="9"/>
  <c r="AV39" i="9"/>
  <c r="AY39" i="9"/>
  <c r="BA39" i="9"/>
  <c r="BD39" i="9"/>
  <c r="BG39" i="9"/>
  <c r="AZ39" i="9"/>
  <c r="AS39" i="9"/>
  <c r="AQ39" i="9"/>
  <c r="AM39" i="9"/>
  <c r="S39" i="9"/>
  <c r="Q39" i="9"/>
  <c r="O39" i="9"/>
  <c r="L39" i="9"/>
  <c r="J39" i="9"/>
  <c r="BI39" i="9"/>
  <c r="U39" i="9"/>
  <c r="BO39" i="9"/>
  <c r="BJ39" i="9"/>
  <c r="BK39" i="9"/>
  <c r="BL39" i="9"/>
  <c r="BM39" i="9"/>
  <c r="BN39" i="9"/>
  <c r="BF39" i="9"/>
  <c r="AP39" i="9"/>
  <c r="X39" i="9"/>
  <c r="Y39" i="9"/>
  <c r="Z39" i="9"/>
  <c r="AA39" i="9"/>
  <c r="AB39" i="9"/>
  <c r="AC39" i="9"/>
  <c r="AD39" i="9"/>
  <c r="AE39" i="9"/>
  <c r="AF39" i="9"/>
  <c r="AH39" i="9"/>
  <c r="AK39" i="9"/>
  <c r="AL39" i="9"/>
  <c r="BC39" i="9"/>
  <c r="AR39" i="9"/>
  <c r="AT39" i="9"/>
  <c r="K39" i="9"/>
  <c r="AI39" i="9"/>
  <c r="V39" i="9"/>
  <c r="BJ41" i="9"/>
  <c r="BK41" i="9"/>
  <c r="BL41" i="9"/>
  <c r="BM41" i="9"/>
  <c r="BN41" i="9"/>
  <c r="BO41" i="9"/>
  <c r="AC41" i="9"/>
  <c r="BD41" i="9"/>
  <c r="BE41" i="9"/>
  <c r="BF41" i="9"/>
  <c r="BG41" i="9"/>
  <c r="BI41" i="9"/>
  <c r="AL41" i="9"/>
  <c r="AN41" i="9"/>
  <c r="AK41" i="9"/>
  <c r="AJ41" i="9"/>
  <c r="AI41" i="9"/>
  <c r="T41" i="9"/>
  <c r="S41" i="9"/>
  <c r="R41" i="9"/>
  <c r="Q41" i="9"/>
  <c r="P41" i="9"/>
  <c r="O41" i="9"/>
  <c r="N41" i="9"/>
  <c r="M41" i="9"/>
  <c r="L41" i="9"/>
  <c r="J41" i="9"/>
  <c r="I41" i="9"/>
  <c r="H41" i="9"/>
  <c r="AP41" i="9"/>
  <c r="AQ41" i="9"/>
  <c r="AR41" i="9"/>
  <c r="AS41" i="9"/>
  <c r="AT41" i="9"/>
  <c r="AU41" i="9"/>
  <c r="AV41" i="9"/>
  <c r="AW41" i="9"/>
  <c r="AX41" i="9"/>
  <c r="AY41" i="9"/>
  <c r="BH41" i="9"/>
  <c r="AD41" i="9"/>
  <c r="K41" i="9"/>
  <c r="U41" i="9"/>
  <c r="V41" i="9"/>
  <c r="W41" i="9"/>
  <c r="X41" i="9"/>
  <c r="Y41" i="9"/>
  <c r="Z41" i="9"/>
  <c r="G41" i="9"/>
  <c r="AA41" i="9"/>
  <c r="AB41" i="9"/>
  <c r="AE41" i="9"/>
  <c r="AF41" i="9"/>
  <c r="AG41" i="9"/>
  <c r="AH41" i="9"/>
  <c r="AM41" i="9"/>
  <c r="AO41" i="9"/>
  <c r="AZ41" i="9"/>
  <c r="BA41" i="9"/>
  <c r="BB41" i="9"/>
  <c r="BC41" i="9"/>
  <c r="BO43" i="9"/>
  <c r="BJ43" i="9"/>
  <c r="BK43" i="9"/>
  <c r="BL43" i="9"/>
  <c r="BM43" i="9"/>
  <c r="BN43" i="9"/>
  <c r="W43" i="9"/>
  <c r="AW43" i="9"/>
  <c r="AA43" i="9"/>
  <c r="Y43" i="9"/>
  <c r="AV43" i="9"/>
  <c r="BI43" i="9"/>
  <c r="BG43" i="9"/>
  <c r="H43" i="9"/>
  <c r="J43" i="9"/>
  <c r="L43" i="9"/>
  <c r="Z43" i="9"/>
  <c r="AC43" i="9"/>
  <c r="AD43" i="9"/>
  <c r="AF43" i="9"/>
  <c r="AH43" i="9"/>
  <c r="AI43" i="9"/>
  <c r="AJ43" i="9"/>
  <c r="BH43" i="9"/>
  <c r="BF43" i="9"/>
  <c r="BE43" i="9"/>
  <c r="BD43" i="9"/>
  <c r="BC43" i="9"/>
  <c r="BB43" i="9"/>
  <c r="BA43" i="9"/>
  <c r="AX43" i="9"/>
  <c r="G43" i="9"/>
  <c r="AU43" i="9"/>
  <c r="AT43" i="9"/>
  <c r="AS43" i="9"/>
  <c r="AR43" i="9"/>
  <c r="AQ43" i="9"/>
  <c r="AP43" i="9"/>
  <c r="AO43" i="9"/>
  <c r="AN43" i="9"/>
  <c r="AM43" i="9"/>
  <c r="AL43" i="9"/>
  <c r="AK43" i="9"/>
  <c r="AG43" i="9"/>
  <c r="AE43" i="9"/>
  <c r="AB43" i="9"/>
  <c r="X43" i="9"/>
  <c r="AZ43" i="9"/>
  <c r="V43" i="9"/>
  <c r="U43" i="9"/>
  <c r="T43" i="9"/>
  <c r="S43" i="9"/>
  <c r="R43" i="9"/>
  <c r="Q43" i="9"/>
  <c r="P43" i="9"/>
  <c r="O43" i="9"/>
  <c r="N43" i="9"/>
  <c r="M43" i="9"/>
  <c r="K43" i="9"/>
  <c r="I43" i="9"/>
  <c r="AY43" i="9"/>
  <c r="BK44" i="9"/>
  <c r="BL44" i="9"/>
  <c r="BM44" i="9"/>
  <c r="BN44" i="9"/>
  <c r="BO44" i="9"/>
  <c r="BJ44" i="9"/>
  <c r="X44" i="9"/>
  <c r="AF44" i="9"/>
  <c r="BG44" i="9"/>
  <c r="AC44" i="9"/>
  <c r="AA44" i="9"/>
  <c r="Y44" i="9"/>
  <c r="W44" i="9"/>
  <c r="V44" i="9"/>
  <c r="U44" i="9"/>
  <c r="T44" i="9"/>
  <c r="I44" i="9"/>
  <c r="BI44" i="9"/>
  <c r="G44" i="9"/>
  <c r="H44" i="9"/>
  <c r="J44" i="9"/>
  <c r="S44" i="9"/>
  <c r="K44" i="9"/>
  <c r="R44" i="9"/>
  <c r="L44" i="9"/>
  <c r="M44" i="9"/>
  <c r="N44" i="9"/>
  <c r="O44" i="9"/>
  <c r="P44" i="9"/>
  <c r="Q44" i="9"/>
  <c r="Z44" i="9"/>
  <c r="AB44" i="9"/>
  <c r="AD44" i="9"/>
  <c r="AE44" i="9"/>
  <c r="BH44" i="9"/>
  <c r="AG44" i="9"/>
  <c r="AH44" i="9"/>
  <c r="AI44" i="9"/>
  <c r="AJ44" i="9"/>
  <c r="AK44" i="9"/>
  <c r="AL44" i="9"/>
  <c r="AM44" i="9"/>
  <c r="AN44" i="9"/>
  <c r="AO44" i="9"/>
  <c r="AP44" i="9"/>
  <c r="AQ44" i="9"/>
  <c r="AR44" i="9"/>
  <c r="AT44" i="9"/>
  <c r="AU44" i="9"/>
  <c r="AV44" i="9"/>
  <c r="AW44" i="9"/>
  <c r="AX44" i="9"/>
  <c r="AY44" i="9"/>
  <c r="AZ44" i="9"/>
  <c r="BA44" i="9"/>
  <c r="BB44" i="9"/>
  <c r="BC44" i="9"/>
  <c r="BD44" i="9"/>
  <c r="BE44" i="9"/>
  <c r="BF44" i="9"/>
  <c r="AS44" i="9"/>
  <c r="BO40" i="9"/>
  <c r="BK40" i="9"/>
  <c r="BN40" i="9"/>
  <c r="BL40" i="9"/>
  <c r="BJ40" i="9"/>
  <c r="BM40" i="9"/>
  <c r="AA40" i="9"/>
  <c r="AB40" i="9"/>
  <c r="G40" i="9"/>
  <c r="Y40" i="9"/>
  <c r="X40" i="9"/>
  <c r="W40" i="9"/>
  <c r="V40" i="9"/>
  <c r="U40" i="9"/>
  <c r="T40" i="9"/>
  <c r="S40" i="9"/>
  <c r="R40" i="9"/>
  <c r="Q40" i="9"/>
  <c r="P40" i="9"/>
  <c r="O40" i="9"/>
  <c r="N40" i="9"/>
  <c r="M40" i="9"/>
  <c r="L40" i="9"/>
  <c r="K40" i="9"/>
  <c r="J40" i="9"/>
  <c r="I40" i="9"/>
  <c r="AC40" i="9"/>
  <c r="AG40" i="9"/>
  <c r="H40" i="9"/>
  <c r="Z40" i="9"/>
  <c r="BH40" i="9"/>
  <c r="AD40" i="9"/>
  <c r="AE40" i="9"/>
  <c r="BI40" i="9"/>
  <c r="BG40" i="9"/>
  <c r="BE40" i="9"/>
  <c r="BA40" i="9"/>
  <c r="AZ40" i="9"/>
  <c r="AY40" i="9"/>
  <c r="AX40" i="9"/>
  <c r="AW40" i="9"/>
  <c r="AV40" i="9"/>
  <c r="AU40" i="9"/>
  <c r="AT40" i="9"/>
  <c r="AS40" i="9"/>
  <c r="AR40" i="9"/>
  <c r="AQ40" i="9"/>
  <c r="AO40" i="9"/>
  <c r="AM40" i="9"/>
  <c r="AI40" i="9"/>
  <c r="AJ40" i="9"/>
  <c r="AK40" i="9"/>
  <c r="AL40" i="9"/>
  <c r="AN40" i="9"/>
  <c r="AP40" i="9"/>
  <c r="BB40" i="9"/>
  <c r="BC40" i="9"/>
  <c r="BD40" i="9"/>
  <c r="BF40" i="9"/>
  <c r="AH40" i="9"/>
  <c r="AF40" i="9"/>
  <c r="BK42" i="9"/>
  <c r="BL42" i="9"/>
  <c r="BM42" i="9"/>
  <c r="BN42" i="9"/>
  <c r="BJ42" i="9"/>
  <c r="BO42" i="9"/>
  <c r="G42" i="9"/>
  <c r="T42" i="9"/>
  <c r="Q42" i="9"/>
  <c r="U42" i="9"/>
  <c r="W42" i="9"/>
  <c r="X42" i="9"/>
  <c r="Y42" i="9"/>
  <c r="Z42" i="9"/>
  <c r="AA42" i="9"/>
  <c r="AB42" i="9"/>
  <c r="AC42" i="9"/>
  <c r="AD42" i="9"/>
  <c r="AE42" i="9"/>
  <c r="AF42" i="9"/>
  <c r="AG42" i="9"/>
  <c r="AH42" i="9"/>
  <c r="AJ42" i="9"/>
  <c r="AK42" i="9"/>
  <c r="AL42" i="9"/>
  <c r="AX42" i="9"/>
  <c r="BH42" i="9"/>
  <c r="AI42" i="9"/>
  <c r="AM42" i="9"/>
  <c r="AN42" i="9"/>
  <c r="AO42" i="9"/>
  <c r="AP42" i="9"/>
  <c r="AQ42" i="9"/>
  <c r="AR42" i="9"/>
  <c r="S42" i="9"/>
  <c r="R42" i="9"/>
  <c r="AS42" i="9"/>
  <c r="AT42" i="9"/>
  <c r="AU42" i="9"/>
  <c r="AV42" i="9"/>
  <c r="AW42" i="9"/>
  <c r="AY42" i="9"/>
  <c r="AZ42" i="9"/>
  <c r="BA42" i="9"/>
  <c r="BB42" i="9"/>
  <c r="BC42" i="9"/>
  <c r="BD42" i="9"/>
  <c r="BE42" i="9"/>
  <c r="BF42" i="9"/>
  <c r="BG42" i="9"/>
  <c r="BI42" i="9"/>
  <c r="H42" i="9"/>
  <c r="I42" i="9"/>
  <c r="J42" i="9"/>
  <c r="K42" i="9"/>
  <c r="L42" i="9"/>
  <c r="M42" i="9"/>
  <c r="N42" i="9"/>
  <c r="O42" i="9"/>
  <c r="P42" i="9"/>
  <c r="V42" i="9"/>
  <c r="K19" i="11"/>
  <c r="K24" i="17" s="1"/>
  <c r="K75" i="8"/>
  <c r="K57" i="10" s="1"/>
  <c r="K27" i="11"/>
  <c r="K28" i="11" s="1"/>
  <c r="L146" i="9"/>
  <c r="K194" i="9"/>
  <c r="L73" i="8"/>
  <c r="L74" i="8" s="1"/>
  <c r="L149" i="9"/>
  <c r="K197" i="9"/>
  <c r="J119" i="10"/>
  <c r="J124" i="10" s="1"/>
  <c r="Q119" i="10"/>
  <c r="Q124" i="10" s="1"/>
  <c r="W81" i="17"/>
  <c r="W78" i="17"/>
  <c r="W75" i="17"/>
  <c r="W72" i="17"/>
  <c r="K80" i="17"/>
  <c r="K77" i="17"/>
  <c r="K74" i="17"/>
  <c r="K71" i="17"/>
  <c r="K90" i="17" s="1"/>
  <c r="T80" i="17"/>
  <c r="T77" i="17"/>
  <c r="T74" i="17"/>
  <c r="T71" i="17"/>
  <c r="T90" i="17" s="1"/>
  <c r="S80" i="17"/>
  <c r="S77" i="17"/>
  <c r="S74" i="17"/>
  <c r="S71" i="17"/>
  <c r="S90" i="17" s="1"/>
  <c r="L80" i="17"/>
  <c r="L77" i="17"/>
  <c r="L74" i="17"/>
  <c r="L71" i="17"/>
  <c r="L90" i="17" s="1"/>
  <c r="W52" i="17"/>
  <c r="W128" i="10"/>
  <c r="G46" i="12"/>
  <c r="G9" i="17"/>
  <c r="W122" i="10"/>
  <c r="W40" i="17"/>
  <c r="W126" i="10"/>
  <c r="W50" i="17"/>
  <c r="V123" i="10"/>
  <c r="V41" i="17"/>
  <c r="V122" i="10"/>
  <c r="V40" i="17"/>
  <c r="V126" i="10"/>
  <c r="V50" i="17"/>
  <c r="U123" i="10"/>
  <c r="U41" i="17"/>
  <c r="U122" i="10"/>
  <c r="U40" i="17"/>
  <c r="U126" i="10"/>
  <c r="U50" i="17"/>
  <c r="R123" i="10"/>
  <c r="R41" i="17"/>
  <c r="R122" i="10"/>
  <c r="R40" i="17"/>
  <c r="R126" i="10"/>
  <c r="R50" i="17"/>
  <c r="Q123" i="10"/>
  <c r="Q41" i="17"/>
  <c r="Q122" i="10"/>
  <c r="Q40" i="17"/>
  <c r="Q126" i="10"/>
  <c r="Q50" i="17"/>
  <c r="O123" i="10"/>
  <c r="O41" i="17"/>
  <c r="O122" i="10"/>
  <c r="O40" i="17"/>
  <c r="O126" i="10"/>
  <c r="O50" i="17"/>
  <c r="K123" i="10"/>
  <c r="K41" i="17"/>
  <c r="K126" i="10"/>
  <c r="K50" i="17"/>
  <c r="G123" i="10"/>
  <c r="G41" i="17"/>
  <c r="G122" i="10"/>
  <c r="G40" i="17"/>
  <c r="G126" i="10"/>
  <c r="G50" i="17"/>
  <c r="X123" i="10"/>
  <c r="X41" i="17"/>
  <c r="X122" i="10"/>
  <c r="X40" i="17"/>
  <c r="X126" i="10"/>
  <c r="X50" i="17"/>
  <c r="T123" i="10"/>
  <c r="T41" i="17"/>
  <c r="T126" i="10"/>
  <c r="T50" i="17"/>
  <c r="S123" i="10"/>
  <c r="S41" i="17"/>
  <c r="S126" i="10"/>
  <c r="S50" i="17"/>
  <c r="P123" i="10"/>
  <c r="P41" i="17"/>
  <c r="P122" i="10"/>
  <c r="P40" i="17"/>
  <c r="P126" i="10"/>
  <c r="P50" i="17"/>
  <c r="N123" i="10"/>
  <c r="N41" i="17"/>
  <c r="N122" i="10"/>
  <c r="N40" i="17"/>
  <c r="N126" i="10"/>
  <c r="N50" i="17"/>
  <c r="M123" i="10"/>
  <c r="M41" i="17"/>
  <c r="M122" i="10"/>
  <c r="M40" i="17"/>
  <c r="M126" i="10"/>
  <c r="M50" i="17"/>
  <c r="L123" i="10"/>
  <c r="L41" i="17"/>
  <c r="L126" i="10"/>
  <c r="L50" i="17"/>
  <c r="J123" i="10"/>
  <c r="J41" i="17"/>
  <c r="J122" i="10"/>
  <c r="J40" i="17"/>
  <c r="J126" i="10"/>
  <c r="J50" i="17"/>
  <c r="I123" i="10"/>
  <c r="I41" i="17"/>
  <c r="I122" i="10"/>
  <c r="I40" i="17"/>
  <c r="I126" i="10"/>
  <c r="I50" i="17"/>
  <c r="H123" i="10"/>
  <c r="H41" i="17"/>
  <c r="H122" i="10"/>
  <c r="H40" i="17"/>
  <c r="H126" i="10"/>
  <c r="H50" i="17"/>
  <c r="T122" i="10"/>
  <c r="T119" i="10"/>
  <c r="T124" i="10" s="1"/>
  <c r="N72" i="10"/>
  <c r="N75" i="10" s="1"/>
  <c r="N81" i="10" s="1"/>
  <c r="N117" i="11" s="1"/>
  <c r="M72" i="10"/>
  <c r="L122" i="10"/>
  <c r="L119" i="10"/>
  <c r="L124" i="10" s="1"/>
  <c r="J119" i="11"/>
  <c r="J99" i="10"/>
  <c r="J133" i="11" s="1"/>
  <c r="I119" i="11"/>
  <c r="I99" i="10"/>
  <c r="I133" i="11" s="1"/>
  <c r="I72" i="10"/>
  <c r="L93" i="10"/>
  <c r="K99" i="10"/>
  <c r="K133" i="11" s="1"/>
  <c r="W72" i="10"/>
  <c r="W75" i="10" s="1"/>
  <c r="W81" i="10" s="1"/>
  <c r="R72" i="10"/>
  <c r="R75" i="10" s="1"/>
  <c r="R81" i="10" s="1"/>
  <c r="Q72" i="10"/>
  <c r="G119" i="11"/>
  <c r="G99" i="10"/>
  <c r="G133" i="11" s="1"/>
  <c r="G72" i="10"/>
  <c r="G75" i="10" s="1"/>
  <c r="G81" i="10" s="1"/>
  <c r="X72" i="10"/>
  <c r="T72" i="10"/>
  <c r="T75" i="10" s="1"/>
  <c r="T81" i="10" s="1"/>
  <c r="S122" i="10"/>
  <c r="S119" i="10"/>
  <c r="S124" i="10" s="1"/>
  <c r="H119" i="11"/>
  <c r="H99" i="10"/>
  <c r="H133" i="11" s="1"/>
  <c r="H72" i="10"/>
  <c r="K122" i="10"/>
  <c r="K119" i="10"/>
  <c r="K124" i="10" s="1"/>
  <c r="J192" i="9"/>
  <c r="K144" i="9"/>
  <c r="L64" i="14"/>
  <c r="L77" i="11" s="1"/>
  <c r="J134" i="11"/>
  <c r="L40" i="14"/>
  <c r="V29" i="12"/>
  <c r="V78" i="6" s="1"/>
  <c r="V42" i="12"/>
  <c r="K62" i="8"/>
  <c r="K89" i="10" s="1"/>
  <c r="L48" i="14"/>
  <c r="L49" i="14"/>
  <c r="L46" i="14"/>
  <c r="L63" i="8" s="1"/>
  <c r="L90" i="10" s="1"/>
  <c r="L97" i="10" s="1"/>
  <c r="L131" i="11" s="1"/>
  <c r="L47" i="14"/>
  <c r="L64" i="8" s="1"/>
  <c r="L91" i="10" s="1"/>
  <c r="M63" i="14"/>
  <c r="M62" i="14"/>
  <c r="M61" i="14"/>
  <c r="M60" i="14"/>
  <c r="M59" i="14"/>
  <c r="M58" i="14"/>
  <c r="M57" i="14"/>
  <c r="M56" i="14"/>
  <c r="M55" i="14"/>
  <c r="M54" i="14"/>
  <c r="M53" i="14"/>
  <c r="M52" i="14"/>
  <c r="L5" i="13"/>
  <c r="L5" i="14"/>
  <c r="M36" i="14"/>
  <c r="M35" i="14"/>
  <c r="M34" i="14"/>
  <c r="M33" i="14"/>
  <c r="M32" i="14"/>
  <c r="M31" i="14"/>
  <c r="M30" i="14"/>
  <c r="M29" i="14"/>
  <c r="M39" i="14" s="1"/>
  <c r="M28" i="14"/>
  <c r="M27" i="14"/>
  <c r="M26" i="14"/>
  <c r="M25" i="14"/>
  <c r="W17" i="7"/>
  <c r="W27" i="6" s="1"/>
  <c r="X16" i="7"/>
  <c r="V93" i="6"/>
  <c r="L179" i="9"/>
  <c r="K195" i="9"/>
  <c r="J19" i="13"/>
  <c r="J21" i="13" s="1"/>
  <c r="I37" i="13"/>
  <c r="I61" i="6" s="1"/>
  <c r="W28" i="12"/>
  <c r="W8" i="13"/>
  <c r="L5" i="12"/>
  <c r="L5" i="6"/>
  <c r="G30" i="11"/>
  <c r="G16" i="17" s="1"/>
  <c r="M147" i="9"/>
  <c r="H52" i="10"/>
  <c r="G48" i="12"/>
  <c r="L27" i="10"/>
  <c r="L50" i="12"/>
  <c r="L60" i="8"/>
  <c r="M59" i="8"/>
  <c r="N22" i="7"/>
  <c r="J139" i="9"/>
  <c r="I187" i="9"/>
  <c r="R116" i="11"/>
  <c r="Q116" i="11"/>
  <c r="O116" i="11"/>
  <c r="K9" i="11"/>
  <c r="K10" i="17" s="1"/>
  <c r="K117" i="11"/>
  <c r="K97" i="10"/>
  <c r="K131" i="11" s="1"/>
  <c r="K73" i="10"/>
  <c r="K116" i="11"/>
  <c r="G96" i="10"/>
  <c r="G130" i="11" s="1"/>
  <c r="G116" i="11"/>
  <c r="S73" i="10"/>
  <c r="P116" i="11"/>
  <c r="N116" i="11"/>
  <c r="M116" i="11"/>
  <c r="L9" i="11"/>
  <c r="L10" i="17" s="1"/>
  <c r="L117" i="11"/>
  <c r="L73" i="10"/>
  <c r="L116" i="11"/>
  <c r="J9" i="11"/>
  <c r="J10" i="17" s="1"/>
  <c r="J117" i="11"/>
  <c r="J97" i="10"/>
  <c r="J131" i="11" s="1"/>
  <c r="J73" i="10"/>
  <c r="J116" i="11"/>
  <c r="I96" i="10"/>
  <c r="I130" i="11" s="1"/>
  <c r="I116" i="11"/>
  <c r="H96" i="10"/>
  <c r="H130" i="11" s="1"/>
  <c r="H116" i="11"/>
  <c r="L12" i="11"/>
  <c r="L11" i="11"/>
  <c r="L65" i="8"/>
  <c r="L92" i="10" s="1"/>
  <c r="L29" i="11"/>
  <c r="L18" i="11"/>
  <c r="L19" i="11" s="1"/>
  <c r="L24" i="17" s="1"/>
  <c r="L21" i="11"/>
  <c r="L22" i="11" s="1"/>
  <c r="L24" i="11"/>
  <c r="L25" i="11" s="1"/>
  <c r="L62" i="11"/>
  <c r="L100" i="9" s="1"/>
  <c r="K25" i="11"/>
  <c r="J30" i="11"/>
  <c r="J16" i="17" s="1"/>
  <c r="I30" i="11"/>
  <c r="I16" i="17" s="1"/>
  <c r="H30" i="11"/>
  <c r="H16" i="17" s="1"/>
  <c r="J65" i="11"/>
  <c r="J17" i="17" s="1"/>
  <c r="J30" i="17" s="1"/>
  <c r="V73" i="10"/>
  <c r="V84" i="17" s="1"/>
  <c r="V75" i="10"/>
  <c r="V81" i="10" s="1"/>
  <c r="U73" i="10"/>
  <c r="U84" i="17" s="1"/>
  <c r="U75" i="10"/>
  <c r="U81" i="10" s="1"/>
  <c r="O73" i="10"/>
  <c r="O84" i="17" s="1"/>
  <c r="O75" i="10"/>
  <c r="O81" i="10" s="1"/>
  <c r="P73" i="10"/>
  <c r="P84" i="17" s="1"/>
  <c r="P75" i="10"/>
  <c r="P81" i="10" s="1"/>
  <c r="L5" i="11"/>
  <c r="L5" i="10"/>
  <c r="L5" i="9"/>
  <c r="L55" i="8"/>
  <c r="M58" i="8"/>
  <c r="M57" i="8"/>
  <c r="M171" i="9"/>
  <c r="M12" i="7"/>
  <c r="M5" i="17" s="1"/>
  <c r="N11" i="7"/>
  <c r="M13" i="7"/>
  <c r="M80" i="11" l="1"/>
  <c r="M66" i="8"/>
  <c r="F314" i="9"/>
  <c r="I145" i="9"/>
  <c r="H193" i="9"/>
  <c r="L143" i="9"/>
  <c r="K191" i="9"/>
  <c r="K190" i="9"/>
  <c r="L142" i="9"/>
  <c r="D39" i="16"/>
  <c r="D35" i="7"/>
  <c r="F111" i="9"/>
  <c r="BN45" i="9"/>
  <c r="BK45" i="9"/>
  <c r="BL45" i="9"/>
  <c r="BM45" i="9"/>
  <c r="BJ45" i="9"/>
  <c r="BO45" i="9"/>
  <c r="G45" i="9"/>
  <c r="AD45" i="9"/>
  <c r="BE45" i="9"/>
  <c r="BD45" i="9"/>
  <c r="BB45" i="9"/>
  <c r="Y45" i="9"/>
  <c r="Z45" i="9"/>
  <c r="AB45" i="9"/>
  <c r="AP45" i="9"/>
  <c r="H45" i="9"/>
  <c r="I45" i="9"/>
  <c r="J45" i="9"/>
  <c r="L45" i="9"/>
  <c r="M45" i="9"/>
  <c r="N45" i="9"/>
  <c r="O45" i="9"/>
  <c r="P45" i="9"/>
  <c r="Q45" i="9"/>
  <c r="R45" i="9"/>
  <c r="S45" i="9"/>
  <c r="T45" i="9"/>
  <c r="U45" i="9"/>
  <c r="V45" i="9"/>
  <c r="W45" i="9"/>
  <c r="X45" i="9"/>
  <c r="AA45" i="9"/>
  <c r="AC45" i="9"/>
  <c r="AQ45" i="9"/>
  <c r="AE45" i="9"/>
  <c r="AF45" i="9"/>
  <c r="AG45" i="9"/>
  <c r="AH45" i="9"/>
  <c r="AI45" i="9"/>
  <c r="AJ45" i="9"/>
  <c r="AK45" i="9"/>
  <c r="AL45" i="9"/>
  <c r="AM45" i="9"/>
  <c r="AN45" i="9"/>
  <c r="AO45" i="9"/>
  <c r="AT45" i="9"/>
  <c r="AV45" i="9"/>
  <c r="BI45" i="9"/>
  <c r="AZ45" i="9"/>
  <c r="AY45" i="9"/>
  <c r="AW45" i="9"/>
  <c r="AR45" i="9"/>
  <c r="BH45" i="9"/>
  <c r="BC45" i="9"/>
  <c r="K45" i="9"/>
  <c r="AU45" i="9"/>
  <c r="BA45" i="9"/>
  <c r="AX45" i="9"/>
  <c r="AS45" i="9"/>
  <c r="BG45" i="9"/>
  <c r="BF45" i="9"/>
  <c r="D192" i="18"/>
  <c r="K30" i="11"/>
  <c r="K16" i="17" s="1"/>
  <c r="M146" i="9"/>
  <c r="L194" i="9"/>
  <c r="M73" i="8"/>
  <c r="M74" i="8" s="1"/>
  <c r="L27" i="11"/>
  <c r="L28" i="11" s="1"/>
  <c r="L30" i="11" s="1"/>
  <c r="L16" i="17" s="1"/>
  <c r="L75" i="8"/>
  <c r="L57" i="10" s="1"/>
  <c r="L197" i="9"/>
  <c r="M149" i="9"/>
  <c r="I73" i="10"/>
  <c r="I75" i="10"/>
  <c r="I81" i="10" s="1"/>
  <c r="Q73" i="10"/>
  <c r="Q75" i="10"/>
  <c r="Q81" i="10" s="1"/>
  <c r="Q117" i="11" s="1"/>
  <c r="X73" i="10"/>
  <c r="X75" i="10"/>
  <c r="X81" i="10" s="1"/>
  <c r="H73" i="10"/>
  <c r="H75" i="10"/>
  <c r="H81" i="10" s="1"/>
  <c r="M73" i="10"/>
  <c r="M75" i="10"/>
  <c r="M81" i="10" s="1"/>
  <c r="Q77" i="10"/>
  <c r="Q82" i="10"/>
  <c r="L37" i="17"/>
  <c r="L43" i="17" s="1"/>
  <c r="N73" i="10"/>
  <c r="N74" i="10" s="1"/>
  <c r="W80" i="17"/>
  <c r="W77" i="17"/>
  <c r="W74" i="17"/>
  <c r="W71" i="17"/>
  <c r="W90" i="17" s="1"/>
  <c r="V81" i="17"/>
  <c r="V72" i="17"/>
  <c r="V75" i="17"/>
  <c r="V78" i="17"/>
  <c r="V80" i="17"/>
  <c r="V77" i="17"/>
  <c r="V74" i="17"/>
  <c r="V71" i="17"/>
  <c r="V90" i="17" s="1"/>
  <c r="U78" i="17"/>
  <c r="U75" i="17"/>
  <c r="U72" i="17"/>
  <c r="U81" i="17"/>
  <c r="U74" i="17"/>
  <c r="U80" i="17"/>
  <c r="U77" i="17"/>
  <c r="U71" i="17"/>
  <c r="U90" i="17" s="1"/>
  <c r="R78" i="17"/>
  <c r="R75" i="17"/>
  <c r="R72" i="17"/>
  <c r="R81" i="17"/>
  <c r="R80" i="17"/>
  <c r="R71" i="17"/>
  <c r="R90" i="17" s="1"/>
  <c r="R77" i="17"/>
  <c r="R74" i="17"/>
  <c r="Q72" i="17"/>
  <c r="Q78" i="17"/>
  <c r="Q81" i="17"/>
  <c r="Q75" i="17"/>
  <c r="Q77" i="17"/>
  <c r="Q71" i="17"/>
  <c r="Q90" i="17" s="1"/>
  <c r="Q74" i="17"/>
  <c r="Q80" i="17"/>
  <c r="O72" i="17"/>
  <c r="O75" i="17"/>
  <c r="O81" i="17"/>
  <c r="O78" i="17"/>
  <c r="O77" i="17"/>
  <c r="O74" i="17"/>
  <c r="O71" i="17"/>
  <c r="O90" i="17" s="1"/>
  <c r="O80" i="17"/>
  <c r="K44" i="17"/>
  <c r="K72" i="17"/>
  <c r="K75" i="17"/>
  <c r="K81" i="17"/>
  <c r="K78" i="17"/>
  <c r="G44" i="17"/>
  <c r="G78" i="17"/>
  <c r="G81" i="17"/>
  <c r="G72" i="17"/>
  <c r="G75" i="17"/>
  <c r="G77" i="17"/>
  <c r="G80" i="17"/>
  <c r="G74" i="17"/>
  <c r="G71" i="17"/>
  <c r="G90" i="17" s="1"/>
  <c r="X81" i="17"/>
  <c r="X78" i="17"/>
  <c r="X75" i="17"/>
  <c r="X72" i="17"/>
  <c r="X74" i="17"/>
  <c r="X71" i="17"/>
  <c r="X90" i="17" s="1"/>
  <c r="X80" i="17"/>
  <c r="X77" i="17"/>
  <c r="T78" i="17"/>
  <c r="T72" i="17"/>
  <c r="T81" i="17"/>
  <c r="T75" i="17"/>
  <c r="S72" i="17"/>
  <c r="S81" i="17"/>
  <c r="S75" i="17"/>
  <c r="S78" i="17"/>
  <c r="P72" i="17"/>
  <c r="P81" i="17"/>
  <c r="P75" i="17"/>
  <c r="P78" i="17"/>
  <c r="P80" i="17"/>
  <c r="P74" i="17"/>
  <c r="P71" i="17"/>
  <c r="P90" i="17" s="1"/>
  <c r="P77" i="17"/>
  <c r="N78" i="17"/>
  <c r="N81" i="17"/>
  <c r="N75" i="17"/>
  <c r="N72" i="17"/>
  <c r="N71" i="17"/>
  <c r="N90" i="17" s="1"/>
  <c r="N80" i="17"/>
  <c r="N74" i="17"/>
  <c r="N77" i="17"/>
  <c r="M78" i="17"/>
  <c r="M75" i="17"/>
  <c r="M72" i="17"/>
  <c r="M81" i="17"/>
  <c r="M77" i="17"/>
  <c r="M80" i="17"/>
  <c r="M71" i="17"/>
  <c r="M90" i="17" s="1"/>
  <c r="M74" i="17"/>
  <c r="L81" i="17"/>
  <c r="L75" i="17"/>
  <c r="L72" i="17"/>
  <c r="L78" i="17"/>
  <c r="J44" i="17"/>
  <c r="J75" i="17"/>
  <c r="J72" i="17"/>
  <c r="J78" i="17"/>
  <c r="J81" i="17"/>
  <c r="J77" i="17"/>
  <c r="J71" i="17"/>
  <c r="J90" i="17" s="1"/>
  <c r="J80" i="17"/>
  <c r="J74" i="17"/>
  <c r="I44" i="17"/>
  <c r="I72" i="17"/>
  <c r="I75" i="17"/>
  <c r="I78" i="17"/>
  <c r="I81" i="17"/>
  <c r="I74" i="17"/>
  <c r="I80" i="17"/>
  <c r="I71" i="17"/>
  <c r="I90" i="17" s="1"/>
  <c r="I77" i="17"/>
  <c r="H44" i="17"/>
  <c r="H81" i="17"/>
  <c r="H72" i="17"/>
  <c r="H75" i="17"/>
  <c r="H78" i="17"/>
  <c r="H74" i="17"/>
  <c r="H80" i="17"/>
  <c r="H71" i="17"/>
  <c r="H90" i="17" s="1"/>
  <c r="H77" i="17"/>
  <c r="G73" i="10"/>
  <c r="G117" i="11"/>
  <c r="G97" i="10"/>
  <c r="G131" i="11" s="1"/>
  <c r="G9" i="11"/>
  <c r="G10" i="17" s="1"/>
  <c r="T73" i="10"/>
  <c r="T74" i="10" s="1"/>
  <c r="K74" i="10"/>
  <c r="K13" i="11" s="1"/>
  <c r="K13" i="17" s="1"/>
  <c r="K37" i="17"/>
  <c r="K43" i="17" s="1"/>
  <c r="K84" i="17"/>
  <c r="S74" i="10"/>
  <c r="S84" i="17"/>
  <c r="L74" i="10"/>
  <c r="L13" i="11" s="1"/>
  <c r="L13" i="17" s="1"/>
  <c r="L84" i="17"/>
  <c r="J74" i="10"/>
  <c r="J13" i="11" s="1"/>
  <c r="J13" i="17" s="1"/>
  <c r="J84" i="17"/>
  <c r="J37" i="17"/>
  <c r="J43" i="17" s="1"/>
  <c r="V86" i="17"/>
  <c r="V89" i="17"/>
  <c r="U86" i="17"/>
  <c r="U89" i="17"/>
  <c r="O86" i="17"/>
  <c r="O89" i="17"/>
  <c r="P86" i="17"/>
  <c r="P89" i="17"/>
  <c r="W51" i="17"/>
  <c r="W127" i="10"/>
  <c r="V52" i="17"/>
  <c r="V128" i="10"/>
  <c r="V51" i="17"/>
  <c r="V127" i="10"/>
  <c r="U52" i="17"/>
  <c r="U128" i="10"/>
  <c r="U51" i="17"/>
  <c r="U127" i="10"/>
  <c r="R52" i="17"/>
  <c r="R128" i="10"/>
  <c r="R51" i="17"/>
  <c r="R127" i="10"/>
  <c r="Q52" i="17"/>
  <c r="Q128" i="10"/>
  <c r="Q51" i="17"/>
  <c r="Q127" i="10"/>
  <c r="O52" i="17"/>
  <c r="O128" i="10"/>
  <c r="O51" i="17"/>
  <c r="O127" i="10"/>
  <c r="K52" i="17"/>
  <c r="K128" i="10"/>
  <c r="G52" i="17"/>
  <c r="G128" i="10"/>
  <c r="G51" i="17"/>
  <c r="G127" i="10"/>
  <c r="X52" i="17"/>
  <c r="X128" i="10"/>
  <c r="X51" i="17"/>
  <c r="X127" i="10"/>
  <c r="T52" i="17"/>
  <c r="T128" i="10"/>
  <c r="S52" i="17"/>
  <c r="S128" i="10"/>
  <c r="P52" i="17"/>
  <c r="P128" i="10"/>
  <c r="P51" i="17"/>
  <c r="P127" i="10"/>
  <c r="N52" i="17"/>
  <c r="N128" i="10"/>
  <c r="N51" i="17"/>
  <c r="N127" i="10"/>
  <c r="M52" i="17"/>
  <c r="M128" i="10"/>
  <c r="M51" i="17"/>
  <c r="M127" i="10"/>
  <c r="L52" i="17"/>
  <c r="L128" i="10"/>
  <c r="J52" i="17"/>
  <c r="J128" i="10"/>
  <c r="J51" i="17"/>
  <c r="J127" i="10"/>
  <c r="I52" i="17"/>
  <c r="I128" i="10"/>
  <c r="I51" i="17"/>
  <c r="I127" i="10"/>
  <c r="H52" i="17"/>
  <c r="H128" i="10"/>
  <c r="H51" i="17"/>
  <c r="H127" i="10"/>
  <c r="T127" i="10"/>
  <c r="T51" i="17"/>
  <c r="L127" i="10"/>
  <c r="L51" i="17"/>
  <c r="S127" i="10"/>
  <c r="S51" i="17"/>
  <c r="K127" i="10"/>
  <c r="K51" i="17"/>
  <c r="J96" i="10"/>
  <c r="J130" i="11" s="1"/>
  <c r="J36" i="17"/>
  <c r="J42" i="17" s="1"/>
  <c r="L99" i="10"/>
  <c r="L133" i="11" s="1"/>
  <c r="L38" i="17"/>
  <c r="L44" i="17" s="1"/>
  <c r="R73" i="10"/>
  <c r="R117" i="11"/>
  <c r="W73" i="10"/>
  <c r="M93" i="10"/>
  <c r="K192" i="9"/>
  <c r="L144" i="9"/>
  <c r="W29" i="12"/>
  <c r="W78" i="6" s="1"/>
  <c r="W42" i="12"/>
  <c r="M64" i="14"/>
  <c r="M77" i="11" s="1"/>
  <c r="M40" i="14"/>
  <c r="K134" i="11"/>
  <c r="L62" i="8"/>
  <c r="L89" i="10" s="1"/>
  <c r="M46" i="14"/>
  <c r="M63" i="8" s="1"/>
  <c r="M90" i="10" s="1"/>
  <c r="M47" i="14"/>
  <c r="M64" i="8" s="1"/>
  <c r="M91" i="10" s="1"/>
  <c r="M49" i="14"/>
  <c r="M48" i="14"/>
  <c r="N63" i="14"/>
  <c r="N62" i="14"/>
  <c r="N61" i="14"/>
  <c r="N60" i="14"/>
  <c r="N59" i="14"/>
  <c r="N58" i="14"/>
  <c r="N57" i="14"/>
  <c r="N56" i="14"/>
  <c r="N55" i="14"/>
  <c r="N54" i="14"/>
  <c r="N53" i="14"/>
  <c r="N52" i="14"/>
  <c r="M5" i="13"/>
  <c r="M5" i="14"/>
  <c r="N36" i="14"/>
  <c r="N35" i="14"/>
  <c r="N34" i="14"/>
  <c r="N33" i="14"/>
  <c r="N32" i="14"/>
  <c r="N31" i="14"/>
  <c r="N30" i="14"/>
  <c r="N29" i="14"/>
  <c r="N39" i="14" s="1"/>
  <c r="N28" i="14"/>
  <c r="N27" i="14"/>
  <c r="N26" i="14"/>
  <c r="N25" i="14"/>
  <c r="W93" i="6"/>
  <c r="X28" i="12"/>
  <c r="X8" i="13"/>
  <c r="Y16" i="7"/>
  <c r="Y34" i="7" s="1"/>
  <c r="Y29" i="10" s="1"/>
  <c r="Y30" i="10" s="1"/>
  <c r="X17" i="7"/>
  <c r="X27" i="6" s="1"/>
  <c r="M179" i="9"/>
  <c r="M195" i="9" s="1"/>
  <c r="L183" i="9"/>
  <c r="L195" i="9"/>
  <c r="K19" i="13"/>
  <c r="K21" i="13" s="1"/>
  <c r="J37" i="13"/>
  <c r="J61" i="6" s="1"/>
  <c r="W20" i="13"/>
  <c r="W27" i="13" s="1"/>
  <c r="W32" i="13"/>
  <c r="W10" i="13"/>
  <c r="M5" i="12"/>
  <c r="M5" i="6"/>
  <c r="M60" i="8"/>
  <c r="H53" i="10"/>
  <c r="N147" i="9"/>
  <c r="M27" i="10"/>
  <c r="M50" i="12"/>
  <c r="N59" i="8"/>
  <c r="O22" i="7"/>
  <c r="J187" i="9"/>
  <c r="K139" i="9"/>
  <c r="K82" i="10"/>
  <c r="K77" i="10"/>
  <c r="S82" i="10"/>
  <c r="S77" i="10"/>
  <c r="L77" i="10"/>
  <c r="L82" i="10"/>
  <c r="J82" i="10"/>
  <c r="J77" i="10"/>
  <c r="V74" i="10"/>
  <c r="V77" i="10"/>
  <c r="V82" i="10"/>
  <c r="U74" i="10"/>
  <c r="U77" i="10"/>
  <c r="U82" i="10"/>
  <c r="O74" i="10"/>
  <c r="O77" i="10"/>
  <c r="O82" i="10"/>
  <c r="O117" i="11"/>
  <c r="P74" i="10"/>
  <c r="P82" i="10"/>
  <c r="P77" i="10"/>
  <c r="P117" i="11"/>
  <c r="M12" i="11"/>
  <c r="M11" i="11"/>
  <c r="M65" i="8"/>
  <c r="M92" i="10" s="1"/>
  <c r="M29" i="11"/>
  <c r="M18" i="11"/>
  <c r="M19" i="11" s="1"/>
  <c r="M24" i="17" s="1"/>
  <c r="M21" i="11"/>
  <c r="M22" i="11" s="1"/>
  <c r="M24" i="11"/>
  <c r="M25" i="11" s="1"/>
  <c r="M62" i="11"/>
  <c r="M100" i="9" s="1"/>
  <c r="K65" i="11"/>
  <c r="K17" i="17" s="1"/>
  <c r="K30" i="17" s="1"/>
  <c r="M5" i="11"/>
  <c r="M5" i="10"/>
  <c r="M5" i="9"/>
  <c r="M55" i="8"/>
  <c r="N58" i="8"/>
  <c r="N57" i="8"/>
  <c r="N171" i="9"/>
  <c r="N12" i="7"/>
  <c r="N5" i="17" s="1"/>
  <c r="O11" i="7"/>
  <c r="N13" i="7"/>
  <c r="N80" i="11" l="1"/>
  <c r="N66" i="8"/>
  <c r="B196" i="18"/>
  <c r="D53" i="18"/>
  <c r="I193" i="9"/>
  <c r="J145" i="9"/>
  <c r="L191" i="9"/>
  <c r="M143" i="9"/>
  <c r="M142" i="9"/>
  <c r="L190" i="9"/>
  <c r="D53" i="9"/>
  <c r="F53" i="9" s="1"/>
  <c r="D56" i="9"/>
  <c r="F56" i="9" s="1"/>
  <c r="D52" i="9"/>
  <c r="F52" i="9" s="1"/>
  <c r="D54" i="9"/>
  <c r="F54" i="9" s="1"/>
  <c r="O54" i="9" s="1"/>
  <c r="D55" i="9"/>
  <c r="F55" i="9" s="1"/>
  <c r="BN111" i="9"/>
  <c r="BN123" i="9"/>
  <c r="BK111" i="9"/>
  <c r="BK123" i="9"/>
  <c r="BL111" i="9"/>
  <c r="BL123" i="9"/>
  <c r="BM111" i="9"/>
  <c r="BM123" i="9"/>
  <c r="BJ111" i="9"/>
  <c r="BJ123" i="9"/>
  <c r="BO111" i="9"/>
  <c r="BO123" i="9"/>
  <c r="G111" i="9"/>
  <c r="G123" i="9"/>
  <c r="G140" i="9" s="1"/>
  <c r="AD111" i="9"/>
  <c r="AD123" i="9"/>
  <c r="BE111" i="9"/>
  <c r="BE123" i="9"/>
  <c r="BD111" i="9"/>
  <c r="BD123" i="9"/>
  <c r="BB111" i="9"/>
  <c r="BB123" i="9"/>
  <c r="Y123" i="9"/>
  <c r="Y111" i="9"/>
  <c r="Z123" i="9"/>
  <c r="Z111" i="9"/>
  <c r="AB111" i="9"/>
  <c r="AB123" i="9"/>
  <c r="AP123" i="9"/>
  <c r="AP111" i="9"/>
  <c r="H123" i="9"/>
  <c r="H111" i="9"/>
  <c r="I123" i="9"/>
  <c r="I111" i="9"/>
  <c r="J111" i="9"/>
  <c r="J123" i="9"/>
  <c r="L111" i="9"/>
  <c r="L123" i="9"/>
  <c r="M123" i="9"/>
  <c r="M111" i="9"/>
  <c r="N123" i="9"/>
  <c r="N111" i="9"/>
  <c r="O111" i="9"/>
  <c r="O123" i="9"/>
  <c r="P123" i="9"/>
  <c r="P111" i="9"/>
  <c r="Q123" i="9"/>
  <c r="Q111" i="9"/>
  <c r="R111" i="9"/>
  <c r="R123" i="9"/>
  <c r="S123" i="9"/>
  <c r="S111" i="9"/>
  <c r="T111" i="9"/>
  <c r="T123" i="9"/>
  <c r="U111" i="9"/>
  <c r="U123" i="9"/>
  <c r="V111" i="9"/>
  <c r="V123" i="9"/>
  <c r="W123" i="9"/>
  <c r="W111" i="9"/>
  <c r="X123" i="9"/>
  <c r="X111" i="9"/>
  <c r="AA111" i="9"/>
  <c r="AA123" i="9"/>
  <c r="AC123" i="9"/>
  <c r="AC111" i="9"/>
  <c r="AQ123" i="9"/>
  <c r="AQ111" i="9"/>
  <c r="AE123" i="9"/>
  <c r="AE111" i="9"/>
  <c r="AF123" i="9"/>
  <c r="AF111" i="9"/>
  <c r="AG111" i="9"/>
  <c r="AG123" i="9"/>
  <c r="AH123" i="9"/>
  <c r="AH111" i="9"/>
  <c r="AI123" i="9"/>
  <c r="AI111" i="9"/>
  <c r="AJ111" i="9"/>
  <c r="AJ123" i="9"/>
  <c r="AK111" i="9"/>
  <c r="AK123" i="9"/>
  <c r="AL123" i="9"/>
  <c r="AL111" i="9"/>
  <c r="AM123" i="9"/>
  <c r="AM111" i="9"/>
  <c r="AN111" i="9"/>
  <c r="AN123" i="9"/>
  <c r="AO111" i="9"/>
  <c r="AO123" i="9"/>
  <c r="AT111" i="9"/>
  <c r="AT123" i="9"/>
  <c r="AV123" i="9"/>
  <c r="AV111" i="9"/>
  <c r="BI111" i="9"/>
  <c r="BI123" i="9"/>
  <c r="AZ123" i="9"/>
  <c r="AZ111" i="9"/>
  <c r="AY111" i="9"/>
  <c r="AY123" i="9"/>
  <c r="AW111" i="9"/>
  <c r="AW123" i="9"/>
  <c r="AR123" i="9"/>
  <c r="AR111" i="9"/>
  <c r="BH123" i="9"/>
  <c r="BH111" i="9"/>
  <c r="BC111" i="9"/>
  <c r="BC123" i="9"/>
  <c r="K123" i="9"/>
  <c r="K111" i="9"/>
  <c r="AU111" i="9"/>
  <c r="AU123" i="9"/>
  <c r="BA111" i="9"/>
  <c r="BA123" i="9"/>
  <c r="AX123" i="9"/>
  <c r="AX111" i="9"/>
  <c r="AS123" i="9"/>
  <c r="AS111" i="9"/>
  <c r="BG123" i="9"/>
  <c r="BG111" i="9"/>
  <c r="BF111" i="9"/>
  <c r="BF123" i="9"/>
  <c r="N146" i="9"/>
  <c r="M194" i="9"/>
  <c r="M75" i="8"/>
  <c r="M57" i="10" s="1"/>
  <c r="M27" i="11"/>
  <c r="M28" i="11" s="1"/>
  <c r="M30" i="11" s="1"/>
  <c r="M16" i="17" s="1"/>
  <c r="N149" i="9"/>
  <c r="M197" i="9"/>
  <c r="N73" i="8"/>
  <c r="N74" i="8" s="1"/>
  <c r="I74" i="10"/>
  <c r="I13" i="11" s="1"/>
  <c r="I13" i="17" s="1"/>
  <c r="I82" i="10"/>
  <c r="I85" i="10" s="1"/>
  <c r="I77" i="10"/>
  <c r="I9" i="11"/>
  <c r="I10" i="17" s="1"/>
  <c r="I117" i="11"/>
  <c r="I97" i="10"/>
  <c r="I131" i="11" s="1"/>
  <c r="H74" i="10"/>
  <c r="H13" i="11" s="1"/>
  <c r="H13" i="17" s="1"/>
  <c r="H82" i="10"/>
  <c r="H77" i="10"/>
  <c r="I84" i="17"/>
  <c r="I37" i="17"/>
  <c r="I43" i="17" s="1"/>
  <c r="I45" i="17" s="1"/>
  <c r="X74" i="10"/>
  <c r="X82" i="10"/>
  <c r="X77" i="10"/>
  <c r="X84" i="17"/>
  <c r="H84" i="17"/>
  <c r="H37" i="17"/>
  <c r="H43" i="17" s="1"/>
  <c r="H45" i="17" s="1"/>
  <c r="Q74" i="10"/>
  <c r="Q84" i="17"/>
  <c r="X85" i="10"/>
  <c r="M97" i="10"/>
  <c r="M131" i="11" s="1"/>
  <c r="M37" i="17"/>
  <c r="M43" i="17" s="1"/>
  <c r="N13" i="11"/>
  <c r="N13" i="17" s="1"/>
  <c r="H97" i="10"/>
  <c r="H131" i="11" s="1"/>
  <c r="H117" i="11"/>
  <c r="H9" i="11"/>
  <c r="H10" i="17" s="1"/>
  <c r="M77" i="10"/>
  <c r="M84" i="17"/>
  <c r="M74" i="10"/>
  <c r="M13" i="11" s="1"/>
  <c r="M13" i="17" s="1"/>
  <c r="M82" i="10"/>
  <c r="M117" i="11"/>
  <c r="M9" i="11"/>
  <c r="M10" i="17" s="1"/>
  <c r="Q85" i="10"/>
  <c r="Q118" i="11"/>
  <c r="R84" i="17"/>
  <c r="R74" i="10"/>
  <c r="V91" i="17"/>
  <c r="U91" i="17"/>
  <c r="O91" i="17"/>
  <c r="J45" i="17"/>
  <c r="P91" i="17"/>
  <c r="N77" i="10"/>
  <c r="N82" i="10"/>
  <c r="N10" i="11" s="1"/>
  <c r="N22" i="17" s="1"/>
  <c r="N84" i="17"/>
  <c r="G74" i="10"/>
  <c r="G13" i="11" s="1"/>
  <c r="G13" i="17" s="1"/>
  <c r="G82" i="10"/>
  <c r="G77" i="10"/>
  <c r="W84" i="17"/>
  <c r="W74" i="10"/>
  <c r="G37" i="17"/>
  <c r="G43" i="17" s="1"/>
  <c r="G45" i="17" s="1"/>
  <c r="G84" i="17"/>
  <c r="T82" i="10"/>
  <c r="T85" i="10" s="1"/>
  <c r="T77" i="10"/>
  <c r="T84" i="17"/>
  <c r="K86" i="17"/>
  <c r="K89" i="17"/>
  <c r="K91" i="17" s="1"/>
  <c r="S86" i="17"/>
  <c r="S89" i="17"/>
  <c r="S91" i="17" s="1"/>
  <c r="L86" i="17"/>
  <c r="L89" i="17"/>
  <c r="L91" i="17" s="1"/>
  <c r="J86" i="17"/>
  <c r="J89" i="17"/>
  <c r="J91" i="17" s="1"/>
  <c r="K96" i="10"/>
  <c r="K130" i="11" s="1"/>
  <c r="K36" i="17"/>
  <c r="K42" i="17" s="1"/>
  <c r="K45" i="17" s="1"/>
  <c r="M99" i="10"/>
  <c r="M133" i="11" s="1"/>
  <c r="M38" i="17"/>
  <c r="M44" i="17" s="1"/>
  <c r="R77" i="10"/>
  <c r="R82" i="10"/>
  <c r="W82" i="10"/>
  <c r="W85" i="10" s="1"/>
  <c r="W77" i="10"/>
  <c r="N93" i="10"/>
  <c r="Y48" i="10"/>
  <c r="Y47" i="10"/>
  <c r="Y46" i="10"/>
  <c r="Y45" i="10"/>
  <c r="Y44" i="10"/>
  <c r="Y43" i="10"/>
  <c r="Y42" i="10"/>
  <c r="Y41" i="10"/>
  <c r="Y40" i="10"/>
  <c r="Y39" i="10"/>
  <c r="Y38" i="10"/>
  <c r="Y37" i="10"/>
  <c r="Y36" i="10"/>
  <c r="Y35" i="10"/>
  <c r="Y34" i="10"/>
  <c r="Y33" i="10"/>
  <c r="N64" i="14"/>
  <c r="N77" i="11" s="1"/>
  <c r="L192" i="9"/>
  <c r="M144" i="9"/>
  <c r="X29" i="12"/>
  <c r="X78" i="6" s="1"/>
  <c r="X42" i="12"/>
  <c r="L65" i="11"/>
  <c r="L17" i="17" s="1"/>
  <c r="L30" i="17" s="1"/>
  <c r="N40" i="14"/>
  <c r="M62" i="8"/>
  <c r="M89" i="10" s="1"/>
  <c r="L134" i="11"/>
  <c r="N49" i="14"/>
  <c r="N48" i="14"/>
  <c r="N46" i="14"/>
  <c r="N63" i="8" s="1"/>
  <c r="N90" i="10" s="1"/>
  <c r="N97" i="10" s="1"/>
  <c r="N131" i="11" s="1"/>
  <c r="N47" i="14"/>
  <c r="N64" i="8" s="1"/>
  <c r="N91" i="10" s="1"/>
  <c r="N37" i="17" s="1"/>
  <c r="O63" i="14"/>
  <c r="O62" i="14"/>
  <c r="O61" i="14"/>
  <c r="O60" i="14"/>
  <c r="O59" i="14"/>
  <c r="O58" i="14"/>
  <c r="O57" i="14"/>
  <c r="O56" i="14"/>
  <c r="O55" i="14"/>
  <c r="O54" i="14"/>
  <c r="O53" i="14"/>
  <c r="O52" i="14"/>
  <c r="N5" i="13"/>
  <c r="N5" i="14"/>
  <c r="O36" i="14"/>
  <c r="O35" i="14"/>
  <c r="O34" i="14"/>
  <c r="O33" i="14"/>
  <c r="O32" i="14"/>
  <c r="O31" i="14"/>
  <c r="O30" i="14"/>
  <c r="O29" i="14"/>
  <c r="O39" i="14" s="1"/>
  <c r="O28" i="14"/>
  <c r="O27" i="14"/>
  <c r="O26" i="14"/>
  <c r="O25" i="14"/>
  <c r="Y17" i="7"/>
  <c r="Y27" i="6" s="1"/>
  <c r="Z16" i="7"/>
  <c r="Z34" i="7" s="1"/>
  <c r="Z29" i="10" s="1"/>
  <c r="Z30" i="10" s="1"/>
  <c r="X10" i="13"/>
  <c r="X20" i="13"/>
  <c r="X27" i="13" s="1"/>
  <c r="X32" i="13"/>
  <c r="X80" i="6" s="1"/>
  <c r="Y28" i="12"/>
  <c r="Y8" i="13"/>
  <c r="X93" i="6"/>
  <c r="N179" i="9"/>
  <c r="N195" i="9" s="1"/>
  <c r="M183" i="9"/>
  <c r="W80" i="6"/>
  <c r="L19" i="13"/>
  <c r="L21" i="13" s="1"/>
  <c r="K37" i="13"/>
  <c r="K61" i="6" s="1"/>
  <c r="O147" i="9"/>
  <c r="N5" i="12"/>
  <c r="N5" i="6"/>
  <c r="N60" i="8"/>
  <c r="H59" i="10"/>
  <c r="H8" i="11" s="1"/>
  <c r="H9" i="17" s="1"/>
  <c r="H55" i="10"/>
  <c r="N27" i="10"/>
  <c r="N50" i="12"/>
  <c r="O59" i="8"/>
  <c r="P22" i="7"/>
  <c r="L139" i="9"/>
  <c r="K187" i="9"/>
  <c r="K85" i="10"/>
  <c r="K98" i="10"/>
  <c r="K10" i="11"/>
  <c r="K22" i="17" s="1"/>
  <c r="K118" i="11"/>
  <c r="S85" i="10"/>
  <c r="L85" i="10"/>
  <c r="L98" i="10"/>
  <c r="L10" i="11"/>
  <c r="L22" i="17" s="1"/>
  <c r="L118" i="11"/>
  <c r="J85" i="10"/>
  <c r="J98" i="10"/>
  <c r="J10" i="11"/>
  <c r="J22" i="17" s="1"/>
  <c r="J118" i="11"/>
  <c r="V85" i="10"/>
  <c r="U85" i="10"/>
  <c r="O85" i="10"/>
  <c r="O118" i="11"/>
  <c r="P85" i="10"/>
  <c r="P118" i="11"/>
  <c r="N9" i="11"/>
  <c r="N10" i="17" s="1"/>
  <c r="N12" i="11"/>
  <c r="N11" i="11"/>
  <c r="N65" i="8"/>
  <c r="N92" i="10" s="1"/>
  <c r="N29" i="11"/>
  <c r="N18" i="11"/>
  <c r="N19" i="11" s="1"/>
  <c r="N24" i="17" s="1"/>
  <c r="N21" i="11"/>
  <c r="N22" i="11" s="1"/>
  <c r="N24" i="11"/>
  <c r="N25" i="11" s="1"/>
  <c r="N62" i="11"/>
  <c r="N100" i="9" s="1"/>
  <c r="N5" i="11"/>
  <c r="N5" i="10"/>
  <c r="N5" i="9"/>
  <c r="N55" i="8"/>
  <c r="O58" i="8"/>
  <c r="O57" i="8"/>
  <c r="O171" i="9"/>
  <c r="P11" i="7"/>
  <c r="O12" i="7"/>
  <c r="O5" i="17" s="1"/>
  <c r="O13" i="7"/>
  <c r="F57" i="9" l="1"/>
  <c r="O80" i="11"/>
  <c r="O66" i="8"/>
  <c r="D57" i="18"/>
  <c r="D55" i="18"/>
  <c r="K145" i="9"/>
  <c r="J193" i="9"/>
  <c r="M191" i="9"/>
  <c r="N143" i="9"/>
  <c r="M190" i="9"/>
  <c r="N142" i="9"/>
  <c r="Q86" i="17"/>
  <c r="Q89" i="17"/>
  <c r="Q91" i="17" s="1"/>
  <c r="G53" i="9"/>
  <c r="BA53" i="9"/>
  <c r="AZ53" i="9"/>
  <c r="AX53" i="9"/>
  <c r="AW53" i="9"/>
  <c r="AR53" i="9"/>
  <c r="AQ53" i="9"/>
  <c r="AN53" i="9"/>
  <c r="J53" i="9"/>
  <c r="M53" i="9"/>
  <c r="N53" i="9"/>
  <c r="P53" i="9"/>
  <c r="Q53" i="9"/>
  <c r="R53" i="9"/>
  <c r="U53" i="9"/>
  <c r="W53" i="9"/>
  <c r="X53" i="9"/>
  <c r="Z53" i="9"/>
  <c r="AC53" i="9"/>
  <c r="AE53" i="9"/>
  <c r="AF53" i="9"/>
  <c r="AK53" i="9"/>
  <c r="BL53" i="9"/>
  <c r="BH53" i="9"/>
  <c r="BB53" i="9"/>
  <c r="AS53" i="9"/>
  <c r="BD53" i="9"/>
  <c r="K53" i="9"/>
  <c r="L53" i="9"/>
  <c r="O53" i="9"/>
  <c r="S53" i="9"/>
  <c r="T53" i="9"/>
  <c r="V53" i="9"/>
  <c r="Y53" i="9"/>
  <c r="AA53" i="9"/>
  <c r="AB53" i="9"/>
  <c r="AD53" i="9"/>
  <c r="AL53" i="9"/>
  <c r="BJ53" i="9"/>
  <c r="BK53" i="9"/>
  <c r="BI53" i="9"/>
  <c r="BE53" i="9"/>
  <c r="BC53" i="9"/>
  <c r="AV53" i="9"/>
  <c r="AO53" i="9"/>
  <c r="I53" i="9"/>
  <c r="AI53" i="9"/>
  <c r="BM53" i="9"/>
  <c r="BN53" i="9"/>
  <c r="BO53" i="9"/>
  <c r="AM53" i="9"/>
  <c r="BG53" i="9"/>
  <c r="BF53" i="9"/>
  <c r="AY53" i="9"/>
  <c r="AU53" i="9"/>
  <c r="AT53" i="9"/>
  <c r="AP53" i="9"/>
  <c r="H53" i="9"/>
  <c r="AG53" i="9"/>
  <c r="AH53" i="9"/>
  <c r="AJ53" i="9"/>
  <c r="O56" i="9"/>
  <c r="BK56" i="9"/>
  <c r="J56" i="9"/>
  <c r="BN56" i="9"/>
  <c r="BJ56" i="9"/>
  <c r="G56" i="9"/>
  <c r="I56" i="9"/>
  <c r="U56" i="9"/>
  <c r="P56" i="9"/>
  <c r="BM56" i="9"/>
  <c r="BO56" i="9"/>
  <c r="BL56" i="9"/>
  <c r="H56" i="9"/>
  <c r="K56" i="9"/>
  <c r="L56" i="9"/>
  <c r="M56" i="9"/>
  <c r="N56" i="9"/>
  <c r="Q56" i="9"/>
  <c r="R56" i="9"/>
  <c r="S56" i="9"/>
  <c r="T56" i="9"/>
  <c r="V56" i="9"/>
  <c r="W56" i="9"/>
  <c r="X56" i="9"/>
  <c r="Y56" i="9"/>
  <c r="Z56" i="9"/>
  <c r="AA56" i="9"/>
  <c r="AB56" i="9"/>
  <c r="AC56" i="9"/>
  <c r="AD56" i="9"/>
  <c r="AE56" i="9"/>
  <c r="AF56" i="9"/>
  <c r="AG56" i="9"/>
  <c r="AH56" i="9"/>
  <c r="AI56" i="9"/>
  <c r="AJ56" i="9"/>
  <c r="AK56" i="9"/>
  <c r="AL56" i="9"/>
  <c r="AM56" i="9"/>
  <c r="AN56" i="9"/>
  <c r="AO56" i="9"/>
  <c r="AP56" i="9"/>
  <c r="AQ56" i="9"/>
  <c r="AR56" i="9"/>
  <c r="AS56" i="9"/>
  <c r="AT56" i="9"/>
  <c r="AU56" i="9"/>
  <c r="AV56" i="9"/>
  <c r="AW56" i="9"/>
  <c r="AX56" i="9"/>
  <c r="AY56" i="9"/>
  <c r="AZ56" i="9"/>
  <c r="BA56" i="9"/>
  <c r="BB56" i="9"/>
  <c r="BC56" i="9"/>
  <c r="BD56" i="9"/>
  <c r="BE56" i="9"/>
  <c r="BF56" i="9"/>
  <c r="BG56" i="9"/>
  <c r="BH56" i="9"/>
  <c r="BI56" i="9"/>
  <c r="BK52" i="9"/>
  <c r="BN52" i="9"/>
  <c r="BI52" i="9"/>
  <c r="BH52" i="9"/>
  <c r="BF52" i="9"/>
  <c r="G52" i="9"/>
  <c r="BA52" i="9"/>
  <c r="AY52" i="9"/>
  <c r="Z52" i="9"/>
  <c r="AQ52" i="9"/>
  <c r="I52" i="9"/>
  <c r="K52" i="9"/>
  <c r="M52" i="9"/>
  <c r="P52" i="9"/>
  <c r="Q52" i="9"/>
  <c r="R52" i="9"/>
  <c r="AX52" i="9"/>
  <c r="V52" i="9"/>
  <c r="X52" i="9"/>
  <c r="Y52" i="9"/>
  <c r="AV52" i="9"/>
  <c r="AD52" i="9"/>
  <c r="AE52" i="9"/>
  <c r="AG52" i="9"/>
  <c r="AH52" i="9"/>
  <c r="AI52" i="9"/>
  <c r="AJ52" i="9"/>
  <c r="AK52" i="9"/>
  <c r="AM52" i="9"/>
  <c r="AO52" i="9"/>
  <c r="AR52" i="9"/>
  <c r="BJ52" i="9"/>
  <c r="S52" i="9"/>
  <c r="AU52" i="9"/>
  <c r="BL52" i="9"/>
  <c r="BM52" i="9"/>
  <c r="BO52" i="9"/>
  <c r="BG52" i="9"/>
  <c r="BE52" i="9"/>
  <c r="BB52" i="9"/>
  <c r="AZ52" i="9"/>
  <c r="AB52" i="9"/>
  <c r="BD52" i="9"/>
  <c r="BC52" i="9"/>
  <c r="H52" i="9"/>
  <c r="J52" i="9"/>
  <c r="L52" i="9"/>
  <c r="N52" i="9"/>
  <c r="O52" i="9"/>
  <c r="T52" i="9"/>
  <c r="U52" i="9"/>
  <c r="W52" i="9"/>
  <c r="AW52" i="9"/>
  <c r="AA52" i="9"/>
  <c r="AC52" i="9"/>
  <c r="AF52" i="9"/>
  <c r="AL52" i="9"/>
  <c r="AN52" i="9"/>
  <c r="AP52" i="9"/>
  <c r="AS52" i="9"/>
  <c r="AT52" i="9"/>
  <c r="BC54" i="9"/>
  <c r="BD54" i="9"/>
  <c r="BH54" i="9"/>
  <c r="BE54" i="9"/>
  <c r="BM54" i="9"/>
  <c r="BL54" i="9"/>
  <c r="BJ54" i="9"/>
  <c r="G54" i="9"/>
  <c r="I54" i="9"/>
  <c r="L54" i="9"/>
  <c r="N54" i="9"/>
  <c r="Q54" i="9"/>
  <c r="T54" i="9"/>
  <c r="V54" i="9"/>
  <c r="W54" i="9"/>
  <c r="Y54" i="9"/>
  <c r="AA54" i="9"/>
  <c r="AC54" i="9"/>
  <c r="AF54" i="9"/>
  <c r="AH54" i="9"/>
  <c r="AI54" i="9"/>
  <c r="AK54" i="9"/>
  <c r="AN54" i="9"/>
  <c r="AP54" i="9"/>
  <c r="AQ54" i="9"/>
  <c r="AT54" i="9"/>
  <c r="AU54" i="9"/>
  <c r="AW54" i="9"/>
  <c r="AZ54" i="9"/>
  <c r="BB54" i="9"/>
  <c r="BG54" i="9"/>
  <c r="BF54" i="9"/>
  <c r="BN54" i="9"/>
  <c r="BK54" i="9"/>
  <c r="BO54" i="9"/>
  <c r="H54" i="9"/>
  <c r="J54" i="9"/>
  <c r="K54" i="9"/>
  <c r="M54" i="9"/>
  <c r="P54" i="9"/>
  <c r="R54" i="9"/>
  <c r="S54" i="9"/>
  <c r="U54" i="9"/>
  <c r="X54" i="9"/>
  <c r="AB54" i="9"/>
  <c r="AD54" i="9"/>
  <c r="AE54" i="9"/>
  <c r="AG54" i="9"/>
  <c r="AJ54" i="9"/>
  <c r="AL54" i="9"/>
  <c r="AM54" i="9"/>
  <c r="AO54" i="9"/>
  <c r="AS54" i="9"/>
  <c r="AV54" i="9"/>
  <c r="BA54" i="9"/>
  <c r="BI54" i="9"/>
  <c r="Z54" i="9"/>
  <c r="AR54" i="9"/>
  <c r="AX54" i="9"/>
  <c r="AY54" i="9"/>
  <c r="BO55" i="9"/>
  <c r="BL55" i="9"/>
  <c r="AN55" i="9"/>
  <c r="BH55" i="9"/>
  <c r="BE55" i="9"/>
  <c r="BB55" i="9"/>
  <c r="BA55" i="9"/>
  <c r="AY55" i="9"/>
  <c r="AU55" i="9"/>
  <c r="AT55" i="9"/>
  <c r="AR55" i="9"/>
  <c r="AP55" i="9"/>
  <c r="BM55" i="9"/>
  <c r="H55" i="9"/>
  <c r="I55" i="9"/>
  <c r="K55" i="9"/>
  <c r="N55" i="9"/>
  <c r="P55" i="9"/>
  <c r="Q55" i="9"/>
  <c r="S55" i="9"/>
  <c r="V55" i="9"/>
  <c r="X55" i="9"/>
  <c r="Y55" i="9"/>
  <c r="AA55" i="9"/>
  <c r="AD55" i="9"/>
  <c r="AG55" i="9"/>
  <c r="AI55" i="9"/>
  <c r="AK55" i="9"/>
  <c r="AM55" i="9"/>
  <c r="BI55" i="9"/>
  <c r="BG55" i="9"/>
  <c r="BC55" i="9"/>
  <c r="AZ55" i="9"/>
  <c r="AX55" i="9"/>
  <c r="AV55" i="9"/>
  <c r="AS55" i="9"/>
  <c r="AQ55" i="9"/>
  <c r="G55" i="9"/>
  <c r="J55" i="9"/>
  <c r="L55" i="9"/>
  <c r="M55" i="9"/>
  <c r="O55" i="9"/>
  <c r="R55" i="9"/>
  <c r="T55" i="9"/>
  <c r="U55" i="9"/>
  <c r="W55" i="9"/>
  <c r="Z55" i="9"/>
  <c r="AB55" i="9"/>
  <c r="AC55" i="9"/>
  <c r="AE55" i="9"/>
  <c r="AH55" i="9"/>
  <c r="AJ55" i="9"/>
  <c r="AO55" i="9"/>
  <c r="BK55" i="9"/>
  <c r="BD55" i="9"/>
  <c r="AW55" i="9"/>
  <c r="BJ55" i="9"/>
  <c r="BF55" i="9"/>
  <c r="BN55" i="9"/>
  <c r="AF55" i="9"/>
  <c r="AL55" i="9"/>
  <c r="H140" i="9"/>
  <c r="G188" i="9"/>
  <c r="X104" i="11"/>
  <c r="X103" i="11"/>
  <c r="X102" i="11"/>
  <c r="X98" i="11"/>
  <c r="M89" i="17"/>
  <c r="M91" i="17" s="1"/>
  <c r="M86" i="17"/>
  <c r="X86" i="17"/>
  <c r="X89" i="17"/>
  <c r="X91" i="17" s="1"/>
  <c r="H86" i="17"/>
  <c r="H89" i="17"/>
  <c r="H91" i="17" s="1"/>
  <c r="O73" i="8"/>
  <c r="O74" i="8" s="1"/>
  <c r="N194" i="9"/>
  <c r="O146" i="9"/>
  <c r="I46" i="17"/>
  <c r="I59" i="17" s="1"/>
  <c r="I48" i="17"/>
  <c r="I61" i="17" s="1"/>
  <c r="I47" i="17"/>
  <c r="I60" i="17" s="1"/>
  <c r="I49" i="17"/>
  <c r="O149" i="9"/>
  <c r="N197" i="9"/>
  <c r="N27" i="11"/>
  <c r="N28" i="11" s="1"/>
  <c r="N30" i="11" s="1"/>
  <c r="N16" i="17" s="1"/>
  <c r="N75" i="8"/>
  <c r="N57" i="10" s="1"/>
  <c r="O13" i="11"/>
  <c r="O13" i="17" s="1"/>
  <c r="Y49" i="10"/>
  <c r="I98" i="10"/>
  <c r="I10" i="11"/>
  <c r="I22" i="17" s="1"/>
  <c r="I118" i="11"/>
  <c r="H85" i="10"/>
  <c r="H98" i="10"/>
  <c r="H10" i="11"/>
  <c r="H118" i="11"/>
  <c r="I86" i="17"/>
  <c r="I89" i="17"/>
  <c r="I91" i="17" s="1"/>
  <c r="X106" i="11"/>
  <c r="X105" i="11"/>
  <c r="R89" i="17"/>
  <c r="R91" i="17" s="1"/>
  <c r="R86" i="17"/>
  <c r="I68" i="11"/>
  <c r="I102" i="11"/>
  <c r="I103" i="11"/>
  <c r="I104" i="11"/>
  <c r="I105" i="11"/>
  <c r="I106" i="11"/>
  <c r="I98" i="11"/>
  <c r="I99" i="11" s="1"/>
  <c r="H49" i="17"/>
  <c r="H48" i="17"/>
  <c r="H61" i="17" s="1"/>
  <c r="H47" i="17"/>
  <c r="H60" i="17" s="1"/>
  <c r="H46" i="17"/>
  <c r="H59" i="17" s="1"/>
  <c r="M85" i="10"/>
  <c r="M10" i="11"/>
  <c r="M22" i="17" s="1"/>
  <c r="Q98" i="11"/>
  <c r="Q99" i="11" s="1"/>
  <c r="Q103" i="11"/>
  <c r="Q102" i="11"/>
  <c r="Q105" i="11"/>
  <c r="Q104" i="11"/>
  <c r="Q106" i="11"/>
  <c r="M98" i="10"/>
  <c r="M132" i="11" s="1"/>
  <c r="M118" i="11"/>
  <c r="W89" i="17"/>
  <c r="W91" i="17" s="1"/>
  <c r="W86" i="17"/>
  <c r="J49" i="17"/>
  <c r="J48" i="17"/>
  <c r="J61" i="17" s="1"/>
  <c r="J47" i="17"/>
  <c r="J60" i="17" s="1"/>
  <c r="J46" i="17"/>
  <c r="J59" i="17" s="1"/>
  <c r="N86" i="17"/>
  <c r="N89" i="17"/>
  <c r="N91" i="17" s="1"/>
  <c r="N118" i="11"/>
  <c r="N85" i="10"/>
  <c r="G29" i="17"/>
  <c r="G19" i="17"/>
  <c r="G118" i="11"/>
  <c r="G10" i="11"/>
  <c r="G98" i="10"/>
  <c r="G85" i="10"/>
  <c r="G47" i="17"/>
  <c r="G48" i="17"/>
  <c r="G49" i="17"/>
  <c r="G46" i="17"/>
  <c r="G86" i="17"/>
  <c r="G89" i="17"/>
  <c r="G91" i="17" s="1"/>
  <c r="T98" i="11"/>
  <c r="T105" i="11"/>
  <c r="T102" i="11"/>
  <c r="T104" i="11"/>
  <c r="T103" i="11"/>
  <c r="T106" i="11"/>
  <c r="T86" i="17"/>
  <c r="T89" i="17"/>
  <c r="T91" i="17" s="1"/>
  <c r="K49" i="17"/>
  <c r="K48" i="17"/>
  <c r="K61" i="17" s="1"/>
  <c r="K47" i="17"/>
  <c r="K60" i="17" s="1"/>
  <c r="K46" i="17"/>
  <c r="K59" i="17" s="1"/>
  <c r="L96" i="10"/>
  <c r="L36" i="17"/>
  <c r="L42" i="17" s="1"/>
  <c r="L45" i="17" s="1"/>
  <c r="N98" i="10"/>
  <c r="N132" i="11" s="1"/>
  <c r="N43" i="17"/>
  <c r="H19" i="17"/>
  <c r="H29" i="17"/>
  <c r="K31" i="17"/>
  <c r="K87" i="17" s="1"/>
  <c r="K26" i="17"/>
  <c r="L31" i="17"/>
  <c r="L87" i="17" s="1"/>
  <c r="L26" i="17"/>
  <c r="J31" i="17"/>
  <c r="J87" i="17" s="1"/>
  <c r="J26" i="17"/>
  <c r="N99" i="10"/>
  <c r="N133" i="11" s="1"/>
  <c r="N38" i="17"/>
  <c r="N44" i="17" s="1"/>
  <c r="N31" i="17"/>
  <c r="N26" i="17"/>
  <c r="R118" i="11"/>
  <c r="R85" i="10"/>
  <c r="W106" i="11"/>
  <c r="W98" i="11"/>
  <c r="W102" i="11"/>
  <c r="W103" i="11"/>
  <c r="W104" i="11"/>
  <c r="W105" i="11"/>
  <c r="O10" i="11"/>
  <c r="O22" i="17" s="1"/>
  <c r="O93" i="10"/>
  <c r="Z48" i="10"/>
  <c r="Z47" i="10"/>
  <c r="Z46" i="10"/>
  <c r="Z45" i="10"/>
  <c r="Z44" i="10"/>
  <c r="Z43" i="10"/>
  <c r="Z42" i="10"/>
  <c r="Z41" i="10"/>
  <c r="Z40" i="10"/>
  <c r="Z39" i="10"/>
  <c r="Z38" i="10"/>
  <c r="Z37" i="10"/>
  <c r="Z36" i="10"/>
  <c r="Z35" i="10"/>
  <c r="Z34" i="10"/>
  <c r="Z33" i="10"/>
  <c r="O64" i="14"/>
  <c r="O77" i="11" s="1"/>
  <c r="O40" i="14"/>
  <c r="M192" i="9"/>
  <c r="N144" i="9"/>
  <c r="M134" i="11"/>
  <c r="Y29" i="12"/>
  <c r="Y78" i="6" s="1"/>
  <c r="Y42" i="12"/>
  <c r="N62" i="8"/>
  <c r="N89" i="10" s="1"/>
  <c r="O49" i="14"/>
  <c r="O46" i="14"/>
  <c r="O63" i="8" s="1"/>
  <c r="O90" i="10" s="1"/>
  <c r="O97" i="10" s="1"/>
  <c r="O131" i="11" s="1"/>
  <c r="O47" i="14"/>
  <c r="O64" i="8" s="1"/>
  <c r="O91" i="10" s="1"/>
  <c r="O37" i="17" s="1"/>
  <c r="O48" i="14"/>
  <c r="Z28" i="12"/>
  <c r="Z8" i="13"/>
  <c r="AA16" i="7"/>
  <c r="AA34" i="7" s="1"/>
  <c r="AA29" i="10" s="1"/>
  <c r="AA30" i="10" s="1"/>
  <c r="Z17" i="7"/>
  <c r="Z27" i="6" s="1"/>
  <c r="Y20" i="13"/>
  <c r="Y27" i="13" s="1"/>
  <c r="Y32" i="13"/>
  <c r="Y10" i="13"/>
  <c r="P63" i="14"/>
  <c r="P62" i="14"/>
  <c r="P61" i="14"/>
  <c r="P60" i="14"/>
  <c r="P59" i="14"/>
  <c r="P58" i="14"/>
  <c r="P57" i="14"/>
  <c r="P56" i="14"/>
  <c r="P55" i="14"/>
  <c r="P54" i="14"/>
  <c r="P53" i="14"/>
  <c r="P52" i="14"/>
  <c r="P36" i="14"/>
  <c r="P35" i="14"/>
  <c r="P34" i="14"/>
  <c r="P33" i="14"/>
  <c r="P32" i="14"/>
  <c r="P31" i="14"/>
  <c r="P30" i="14"/>
  <c r="P29" i="14"/>
  <c r="P39" i="14" s="1"/>
  <c r="P28" i="14"/>
  <c r="P27" i="14"/>
  <c r="P26" i="14"/>
  <c r="P25" i="14"/>
  <c r="O5" i="13"/>
  <c r="O5" i="14"/>
  <c r="Y93" i="6"/>
  <c r="O179" i="9"/>
  <c r="O195" i="9" s="1"/>
  <c r="N183" i="9"/>
  <c r="P147" i="9"/>
  <c r="M19" i="13"/>
  <c r="M21" i="13" s="1"/>
  <c r="L37" i="13"/>
  <c r="L61" i="6" s="1"/>
  <c r="O5" i="12"/>
  <c r="O5" i="6"/>
  <c r="H46" i="12"/>
  <c r="I52" i="10"/>
  <c r="H48" i="12"/>
  <c r="K104" i="11"/>
  <c r="K102" i="11"/>
  <c r="K105" i="11"/>
  <c r="K103" i="11"/>
  <c r="K106" i="11"/>
  <c r="S106" i="11"/>
  <c r="S104" i="11"/>
  <c r="S103" i="11"/>
  <c r="S105" i="11"/>
  <c r="S102" i="11"/>
  <c r="L106" i="11"/>
  <c r="L102" i="11"/>
  <c r="L103" i="11"/>
  <c r="L105" i="11"/>
  <c r="L104" i="11"/>
  <c r="J102" i="11"/>
  <c r="J106" i="11"/>
  <c r="J104" i="11"/>
  <c r="J103" i="11"/>
  <c r="J105" i="11"/>
  <c r="V102" i="11"/>
  <c r="V106" i="11"/>
  <c r="V104" i="11"/>
  <c r="V103" i="11"/>
  <c r="V105" i="11"/>
  <c r="U104" i="11"/>
  <c r="U106" i="11"/>
  <c r="U103" i="11"/>
  <c r="U105" i="11"/>
  <c r="U102" i="11"/>
  <c r="O106" i="11"/>
  <c r="O103" i="11"/>
  <c r="O104" i="11"/>
  <c r="O105" i="11"/>
  <c r="O102" i="11"/>
  <c r="P106" i="11"/>
  <c r="P104" i="11"/>
  <c r="P102" i="11"/>
  <c r="P103" i="11"/>
  <c r="P105" i="11"/>
  <c r="O27" i="10"/>
  <c r="O50" i="12"/>
  <c r="O60" i="8"/>
  <c r="P59" i="8"/>
  <c r="Q22" i="7"/>
  <c r="L187" i="9"/>
  <c r="M139" i="9"/>
  <c r="K98" i="11"/>
  <c r="K99" i="11" s="1"/>
  <c r="K68" i="11"/>
  <c r="K132" i="11"/>
  <c r="K101" i="10"/>
  <c r="K9" i="6" s="1"/>
  <c r="S98" i="11"/>
  <c r="L98" i="11"/>
  <c r="L99" i="11" s="1"/>
  <c r="L68" i="11"/>
  <c r="L132" i="11"/>
  <c r="J98" i="11"/>
  <c r="J99" i="11" s="1"/>
  <c r="J68" i="11"/>
  <c r="J132" i="11"/>
  <c r="J101" i="10"/>
  <c r="J9" i="6" s="1"/>
  <c r="V98" i="11"/>
  <c r="U98" i="11"/>
  <c r="O98" i="11"/>
  <c r="O99" i="11" s="1"/>
  <c r="O68" i="11"/>
  <c r="P98" i="11"/>
  <c r="P99" i="11" s="1"/>
  <c r="O9" i="11"/>
  <c r="O10" i="17" s="1"/>
  <c r="O11" i="11"/>
  <c r="O12" i="11"/>
  <c r="O65" i="8"/>
  <c r="O92" i="10" s="1"/>
  <c r="O29" i="11"/>
  <c r="O18" i="11"/>
  <c r="O19" i="11" s="1"/>
  <c r="O24" i="17" s="1"/>
  <c r="O21" i="11"/>
  <c r="O22" i="11" s="1"/>
  <c r="O24" i="11"/>
  <c r="O25" i="11" s="1"/>
  <c r="O62" i="11"/>
  <c r="O100" i="9" s="1"/>
  <c r="M65" i="11"/>
  <c r="M17" i="17" s="1"/>
  <c r="M30" i="17" s="1"/>
  <c r="P58" i="8"/>
  <c r="P57" i="8"/>
  <c r="O5" i="11"/>
  <c r="O5" i="10"/>
  <c r="O5" i="9"/>
  <c r="O55" i="8"/>
  <c r="P171" i="9"/>
  <c r="Q11" i="7"/>
  <c r="P12" i="7"/>
  <c r="P5" i="17" s="1"/>
  <c r="P13" i="7"/>
  <c r="P80" i="11" l="1"/>
  <c r="P66" i="8"/>
  <c r="K193" i="9"/>
  <c r="L145" i="9"/>
  <c r="O143" i="9"/>
  <c r="N191" i="9"/>
  <c r="O142" i="9"/>
  <c r="N190" i="9"/>
  <c r="M31" i="17"/>
  <c r="M87" i="17" s="1"/>
  <c r="M26" i="17"/>
  <c r="E58" i="9"/>
  <c r="I140" i="9"/>
  <c r="H188" i="9"/>
  <c r="P73" i="8"/>
  <c r="P74" i="8" s="1"/>
  <c r="P146" i="9"/>
  <c r="O194" i="9"/>
  <c r="M102" i="11"/>
  <c r="M98" i="11"/>
  <c r="M99" i="11" s="1"/>
  <c r="M68" i="11"/>
  <c r="M103" i="11"/>
  <c r="M105" i="11"/>
  <c r="M106" i="11"/>
  <c r="M104" i="11"/>
  <c r="O75" i="8"/>
  <c r="O57" i="10" s="1"/>
  <c r="O27" i="11"/>
  <c r="O28" i="11" s="1"/>
  <c r="O30" i="11" s="1"/>
  <c r="O16" i="17" s="1"/>
  <c r="I101" i="10"/>
  <c r="I132" i="11"/>
  <c r="I26" i="17"/>
  <c r="I31" i="17"/>
  <c r="I87" i="17" s="1"/>
  <c r="H102" i="11"/>
  <c r="H105" i="11"/>
  <c r="H104" i="11"/>
  <c r="H103" i="11"/>
  <c r="H106" i="11"/>
  <c r="H132" i="11"/>
  <c r="H101" i="10"/>
  <c r="P149" i="9"/>
  <c r="O197" i="9"/>
  <c r="P13" i="11"/>
  <c r="P13" i="17" s="1"/>
  <c r="N87" i="17"/>
  <c r="N88" i="17" s="1"/>
  <c r="H98" i="11"/>
  <c r="H99" i="11" s="1"/>
  <c r="H68" i="11"/>
  <c r="Y106" i="10"/>
  <c r="Y105" i="10"/>
  <c r="Y62" i="10"/>
  <c r="Y63" i="10"/>
  <c r="Y64" i="10"/>
  <c r="Y65" i="10"/>
  <c r="Y107" i="10" s="1"/>
  <c r="Y66" i="10"/>
  <c r="Y17" i="11"/>
  <c r="Y20" i="11"/>
  <c r="Y23" i="11" s="1"/>
  <c r="Y26" i="11"/>
  <c r="Y54" i="10"/>
  <c r="Y56" i="10" s="1"/>
  <c r="H22" i="17"/>
  <c r="H14" i="11"/>
  <c r="H84" i="11" s="1"/>
  <c r="Z49" i="10"/>
  <c r="P40" i="14"/>
  <c r="P64" i="14"/>
  <c r="P77" i="11" s="1"/>
  <c r="N68" i="11"/>
  <c r="N98" i="11"/>
  <c r="N99" i="11" s="1"/>
  <c r="N102" i="11"/>
  <c r="N105" i="11"/>
  <c r="N103" i="11"/>
  <c r="N104" i="11"/>
  <c r="N106" i="11"/>
  <c r="G22" i="17"/>
  <c r="G14" i="11"/>
  <c r="G84" i="11" s="1"/>
  <c r="G101" i="10"/>
  <c r="G132" i="11"/>
  <c r="G98" i="11"/>
  <c r="G99" i="11" s="1"/>
  <c r="G68" i="11"/>
  <c r="G105" i="11"/>
  <c r="G106" i="11"/>
  <c r="G104" i="11"/>
  <c r="G103" i="11"/>
  <c r="G102" i="11"/>
  <c r="K88" i="17"/>
  <c r="L88" i="17"/>
  <c r="J88" i="17"/>
  <c r="L130" i="11"/>
  <c r="L101" i="10"/>
  <c r="G56" i="17"/>
  <c r="G60" i="17"/>
  <c r="G57" i="17"/>
  <c r="G61" i="17"/>
  <c r="G55" i="17"/>
  <c r="G59" i="17"/>
  <c r="H57" i="17"/>
  <c r="H64" i="17" s="1"/>
  <c r="H56" i="17"/>
  <c r="H63" i="17" s="1"/>
  <c r="H55" i="17"/>
  <c r="H62" i="17" s="1"/>
  <c r="L49" i="17"/>
  <c r="L48" i="17"/>
  <c r="L61" i="17" s="1"/>
  <c r="L47" i="17"/>
  <c r="L60" i="17" s="1"/>
  <c r="L46" i="17"/>
  <c r="L59" i="17" s="1"/>
  <c r="O31" i="17"/>
  <c r="O87" i="17" s="1"/>
  <c r="O26" i="17"/>
  <c r="M96" i="10"/>
  <c r="M36" i="17"/>
  <c r="M42" i="17" s="1"/>
  <c r="M45" i="17" s="1"/>
  <c r="O98" i="10"/>
  <c r="O132" i="11" s="1"/>
  <c r="O43" i="17"/>
  <c r="O99" i="10"/>
  <c r="O133" i="11" s="1"/>
  <c r="O38" i="17"/>
  <c r="O44" i="17" s="1"/>
  <c r="R98" i="11"/>
  <c r="R99" i="11" s="1"/>
  <c r="R105" i="11"/>
  <c r="R104" i="11"/>
  <c r="R103" i="11"/>
  <c r="R102" i="11"/>
  <c r="R106" i="11"/>
  <c r="P68" i="11"/>
  <c r="P93" i="10"/>
  <c r="AA48" i="10"/>
  <c r="AA47" i="10"/>
  <c r="AA46" i="10"/>
  <c r="AA45" i="10"/>
  <c r="AA44" i="10"/>
  <c r="AA43" i="10"/>
  <c r="AA42" i="10"/>
  <c r="AA41" i="10"/>
  <c r="AA40" i="10"/>
  <c r="AA39" i="10"/>
  <c r="AA38" i="10"/>
  <c r="AA37" i="10"/>
  <c r="AA36" i="10"/>
  <c r="AA35" i="10"/>
  <c r="AA34" i="10"/>
  <c r="AA33" i="10"/>
  <c r="Z93" i="6"/>
  <c r="Y80" i="6"/>
  <c r="O144" i="9"/>
  <c r="N192" i="9"/>
  <c r="Z10" i="13"/>
  <c r="Z20" i="13"/>
  <c r="Z27" i="13" s="1"/>
  <c r="Z32" i="13"/>
  <c r="N134" i="11"/>
  <c r="AA28" i="12"/>
  <c r="AA8" i="13"/>
  <c r="Z29" i="12"/>
  <c r="Z78" i="6" s="1"/>
  <c r="Z42" i="12"/>
  <c r="AA17" i="7"/>
  <c r="AA27" i="6" s="1"/>
  <c r="AB16" i="7"/>
  <c r="AB34" i="7" s="1"/>
  <c r="AB29" i="10" s="1"/>
  <c r="AB30" i="10" s="1"/>
  <c r="O62" i="8"/>
  <c r="O89" i="10" s="1"/>
  <c r="P47" i="14"/>
  <c r="P64" i="8" s="1"/>
  <c r="P91" i="10" s="1"/>
  <c r="P37" i="17" s="1"/>
  <c r="P48" i="14"/>
  <c r="P49" i="14"/>
  <c r="P46" i="14"/>
  <c r="P63" i="8" s="1"/>
  <c r="P90" i="10" s="1"/>
  <c r="P97" i="10" s="1"/>
  <c r="P131" i="11" s="1"/>
  <c r="Q63" i="14"/>
  <c r="Q62" i="14"/>
  <c r="Q61" i="14"/>
  <c r="Q60" i="14"/>
  <c r="Q59" i="14"/>
  <c r="Q58" i="14"/>
  <c r="Q57" i="14"/>
  <c r="Q56" i="14"/>
  <c r="Q55" i="14"/>
  <c r="Q54" i="14"/>
  <c r="Q53" i="14"/>
  <c r="Q52" i="14"/>
  <c r="Q36" i="14"/>
  <c r="Q35" i="14"/>
  <c r="Q34" i="14"/>
  <c r="Q33" i="14"/>
  <c r="Q32" i="14"/>
  <c r="Q31" i="14"/>
  <c r="Q30" i="14"/>
  <c r="Q29" i="14"/>
  <c r="Q39" i="14" s="1"/>
  <c r="Q28" i="14"/>
  <c r="Q27" i="14"/>
  <c r="Q26" i="14"/>
  <c r="Q25" i="14"/>
  <c r="P5" i="13"/>
  <c r="P5" i="14"/>
  <c r="P179" i="9"/>
  <c r="O183" i="9"/>
  <c r="K8" i="6"/>
  <c r="K128" i="6"/>
  <c r="K176" i="6"/>
  <c r="K134" i="6"/>
  <c r="K122" i="6"/>
  <c r="J8" i="6"/>
  <c r="J134" i="6"/>
  <c r="J122" i="6"/>
  <c r="J176" i="6"/>
  <c r="J128" i="6"/>
  <c r="Q147" i="9"/>
  <c r="N19" i="13"/>
  <c r="N21" i="13" s="1"/>
  <c r="M37" i="13"/>
  <c r="M61" i="6" s="1"/>
  <c r="P5" i="12"/>
  <c r="P5" i="6"/>
  <c r="I53" i="10"/>
  <c r="K51" i="12"/>
  <c r="K41" i="6" s="1"/>
  <c r="K45" i="12"/>
  <c r="K39" i="6" s="1"/>
  <c r="J51" i="12"/>
  <c r="J41" i="6" s="1"/>
  <c r="J45" i="12"/>
  <c r="J39" i="6" s="1"/>
  <c r="P27" i="10"/>
  <c r="P50" i="12"/>
  <c r="N65" i="11"/>
  <c r="N17" i="17" s="1"/>
  <c r="N30" i="17" s="1"/>
  <c r="P60" i="8"/>
  <c r="Q59" i="8"/>
  <c r="R22" i="7"/>
  <c r="N139" i="9"/>
  <c r="M187" i="9"/>
  <c r="K69" i="11"/>
  <c r="K70" i="11" s="1"/>
  <c r="K89" i="11" s="1"/>
  <c r="K15" i="6" s="1"/>
  <c r="K79" i="11"/>
  <c r="K81" i="11" s="1"/>
  <c r="K90" i="11" s="1"/>
  <c r="K16" i="6" s="1"/>
  <c r="J69" i="11"/>
  <c r="J70" i="11" s="1"/>
  <c r="J89" i="11" s="1"/>
  <c r="J15" i="6" s="1"/>
  <c r="J79" i="11"/>
  <c r="J81" i="11" s="1"/>
  <c r="J90" i="11" s="1"/>
  <c r="J16" i="6" s="1"/>
  <c r="P10" i="11"/>
  <c r="P22" i="17" s="1"/>
  <c r="P9" i="11"/>
  <c r="P10" i="17" s="1"/>
  <c r="P11" i="11"/>
  <c r="P12" i="11"/>
  <c r="P65" i="8"/>
  <c r="P92" i="10" s="1"/>
  <c r="P29" i="11"/>
  <c r="P18" i="11"/>
  <c r="P19" i="11" s="1"/>
  <c r="P24" i="17" s="1"/>
  <c r="P21" i="11"/>
  <c r="P22" i="11" s="1"/>
  <c r="P24" i="11"/>
  <c r="P25" i="11" s="1"/>
  <c r="P62" i="11"/>
  <c r="P100" i="9" s="1"/>
  <c r="Q58" i="8"/>
  <c r="Q57" i="8"/>
  <c r="P5" i="11"/>
  <c r="P5" i="10"/>
  <c r="P5" i="9"/>
  <c r="P55" i="8"/>
  <c r="Q171" i="9"/>
  <c r="Q13" i="7"/>
  <c r="R11" i="7"/>
  <c r="Q12" i="7"/>
  <c r="Q5" i="17" s="1"/>
  <c r="K121" i="6" l="1"/>
  <c r="J121" i="6"/>
  <c r="Q80" i="11"/>
  <c r="Q66" i="8"/>
  <c r="M88" i="17"/>
  <c r="L193" i="9"/>
  <c r="M145" i="9"/>
  <c r="P143" i="9"/>
  <c r="O191" i="9"/>
  <c r="P142" i="9"/>
  <c r="O190" i="9"/>
  <c r="I88" i="17"/>
  <c r="Z57" i="9"/>
  <c r="Z58" i="9" s="1"/>
  <c r="V57" i="9"/>
  <c r="V58" i="9" s="1"/>
  <c r="U57" i="9"/>
  <c r="U58" i="9" s="1"/>
  <c r="S57" i="9"/>
  <c r="S58" i="9" s="1"/>
  <c r="R57" i="9"/>
  <c r="R58" i="9" s="1"/>
  <c r="BG57" i="9"/>
  <c r="BG58" i="9" s="1"/>
  <c r="BD57" i="9"/>
  <c r="BD58" i="9" s="1"/>
  <c r="BJ57" i="9"/>
  <c r="BJ58" i="9" s="1"/>
  <c r="BK57" i="9"/>
  <c r="BK58" i="9" s="1"/>
  <c r="BL57" i="9"/>
  <c r="BL58" i="9" s="1"/>
  <c r="P57" i="9"/>
  <c r="P58" i="9" s="1"/>
  <c r="M57" i="9"/>
  <c r="M58" i="9" s="1"/>
  <c r="F58" i="9"/>
  <c r="AI57" i="9"/>
  <c r="AI58" i="9" s="1"/>
  <c r="AH57" i="9"/>
  <c r="AH58" i="9" s="1"/>
  <c r="AE57" i="9"/>
  <c r="AE58" i="9" s="1"/>
  <c r="AA57" i="9"/>
  <c r="AA58" i="9" s="1"/>
  <c r="W57" i="9"/>
  <c r="W58" i="9" s="1"/>
  <c r="BH57" i="9"/>
  <c r="BH58" i="9" s="1"/>
  <c r="BE57" i="9"/>
  <c r="BE58" i="9" s="1"/>
  <c r="BA57" i="9"/>
  <c r="BA58" i="9" s="1"/>
  <c r="AX57" i="9"/>
  <c r="AX58" i="9" s="1"/>
  <c r="BO57" i="9"/>
  <c r="BO58" i="9" s="1"/>
  <c r="Q57" i="9"/>
  <c r="Q58" i="9" s="1"/>
  <c r="L57" i="9"/>
  <c r="L58" i="9" s="1"/>
  <c r="J57" i="9"/>
  <c r="J58" i="9" s="1"/>
  <c r="H57" i="9"/>
  <c r="H58" i="9" s="1"/>
  <c r="AL57" i="9"/>
  <c r="AL58" i="9" s="1"/>
  <c r="AK57" i="9"/>
  <c r="AK58" i="9" s="1"/>
  <c r="AJ57" i="9"/>
  <c r="AJ58" i="9" s="1"/>
  <c r="AG57" i="9"/>
  <c r="AG58" i="9" s="1"/>
  <c r="AF57" i="9"/>
  <c r="AF58" i="9" s="1"/>
  <c r="AD57" i="9"/>
  <c r="AD58" i="9" s="1"/>
  <c r="AC57" i="9"/>
  <c r="AC58" i="9" s="1"/>
  <c r="AB57" i="9"/>
  <c r="AB58" i="9" s="1"/>
  <c r="Y57" i="9"/>
  <c r="Y58" i="9" s="1"/>
  <c r="X57" i="9"/>
  <c r="X58" i="9" s="1"/>
  <c r="T57" i="9"/>
  <c r="T58" i="9" s="1"/>
  <c r="BF57" i="9"/>
  <c r="BF58" i="9" s="1"/>
  <c r="BC57" i="9"/>
  <c r="BC58" i="9" s="1"/>
  <c r="AV57" i="9"/>
  <c r="AV58" i="9" s="1"/>
  <c r="AT57" i="9"/>
  <c r="AT58" i="9" s="1"/>
  <c r="BM57" i="9"/>
  <c r="BM58" i="9" s="1"/>
  <c r="BN57" i="9"/>
  <c r="BN58" i="9" s="1"/>
  <c r="O57" i="9"/>
  <c r="O58" i="9" s="1"/>
  <c r="N57" i="9"/>
  <c r="N58" i="9" s="1"/>
  <c r="K57" i="9"/>
  <c r="K58" i="9" s="1"/>
  <c r="I57" i="9"/>
  <c r="I58" i="9" s="1"/>
  <c r="G57" i="9"/>
  <c r="G58" i="9" s="1"/>
  <c r="BI57" i="9"/>
  <c r="BI58" i="9" s="1"/>
  <c r="BB57" i="9"/>
  <c r="BB58" i="9" s="1"/>
  <c r="AY57" i="9"/>
  <c r="AY58" i="9" s="1"/>
  <c r="AW57" i="9"/>
  <c r="AW58" i="9" s="1"/>
  <c r="AR57" i="9"/>
  <c r="AR58" i="9" s="1"/>
  <c r="AZ57" i="9"/>
  <c r="AZ58" i="9" s="1"/>
  <c r="AU57" i="9"/>
  <c r="AU58" i="9" s="1"/>
  <c r="AS57" i="9"/>
  <c r="AS58" i="9" s="1"/>
  <c r="AQ57" i="9"/>
  <c r="AQ58" i="9" s="1"/>
  <c r="AP57" i="9"/>
  <c r="AP58" i="9" s="1"/>
  <c r="AO57" i="9"/>
  <c r="AO58" i="9" s="1"/>
  <c r="AN57" i="9"/>
  <c r="AN58" i="9" s="1"/>
  <c r="AM57" i="9"/>
  <c r="AM58" i="9" s="1"/>
  <c r="I188" i="9"/>
  <c r="J140" i="9"/>
  <c r="Q146" i="9"/>
  <c r="P194" i="9"/>
  <c r="P197" i="9"/>
  <c r="Q149" i="9"/>
  <c r="P75" i="8"/>
  <c r="P57" i="10" s="1"/>
  <c r="P27" i="11"/>
  <c r="P28" i="11" s="1"/>
  <c r="P30" i="11" s="1"/>
  <c r="P16" i="17" s="1"/>
  <c r="I79" i="11"/>
  <c r="I81" i="11" s="1"/>
  <c r="I90" i="11" s="1"/>
  <c r="I16" i="6" s="1"/>
  <c r="I69" i="11"/>
  <c r="I70" i="11" s="1"/>
  <c r="I89" i="11" s="1"/>
  <c r="I9" i="6"/>
  <c r="I51" i="12"/>
  <c r="I41" i="6" s="1"/>
  <c r="I45" i="12"/>
  <c r="I39" i="6" s="1"/>
  <c r="H9" i="6"/>
  <c r="H69" i="11"/>
  <c r="H70" i="11" s="1"/>
  <c r="H89" i="11" s="1"/>
  <c r="H45" i="12"/>
  <c r="H39" i="6" s="1"/>
  <c r="H79" i="11"/>
  <c r="H81" i="11" s="1"/>
  <c r="H90" i="11" s="1"/>
  <c r="H16" i="6" s="1"/>
  <c r="H51" i="12"/>
  <c r="H41" i="6" s="1"/>
  <c r="Q73" i="8"/>
  <c r="Q74" i="8" s="1"/>
  <c r="Q13" i="11"/>
  <c r="Q13" i="17" s="1"/>
  <c r="Y116" i="10"/>
  <c r="Y67" i="10"/>
  <c r="Y68" i="10" s="1"/>
  <c r="Y80" i="10"/>
  <c r="Y71" i="10"/>
  <c r="Y117" i="10"/>
  <c r="Y83" i="10"/>
  <c r="Y118" i="10"/>
  <c r="H86" i="11"/>
  <c r="H49" i="12"/>
  <c r="H40" i="6" s="1"/>
  <c r="Y72" i="10"/>
  <c r="Y39" i="17"/>
  <c r="Y121" i="10"/>
  <c r="H31" i="17"/>
  <c r="H26" i="17"/>
  <c r="Z106" i="10"/>
  <c r="Z105" i="10"/>
  <c r="Z62" i="10"/>
  <c r="Z63" i="10"/>
  <c r="Z64" i="10"/>
  <c r="Z65" i="10"/>
  <c r="Z107" i="10" s="1"/>
  <c r="Z66" i="10"/>
  <c r="Z17" i="11"/>
  <c r="Z20" i="11"/>
  <c r="Z23" i="11" s="1"/>
  <c r="Z26" i="11"/>
  <c r="Z54" i="10"/>
  <c r="Z56" i="10" s="1"/>
  <c r="AA49" i="10"/>
  <c r="H65" i="17"/>
  <c r="H66" i="17" s="1"/>
  <c r="G26" i="17"/>
  <c r="G31" i="17"/>
  <c r="G49" i="12"/>
  <c r="G40" i="6" s="1"/>
  <c r="G86" i="11"/>
  <c r="G79" i="11"/>
  <c r="G81" i="11" s="1"/>
  <c r="G90" i="11" s="1"/>
  <c r="G16" i="6" s="1"/>
  <c r="G69" i="11"/>
  <c r="G70" i="11" s="1"/>
  <c r="G89" i="11" s="1"/>
  <c r="G45" i="12"/>
  <c r="G39" i="6" s="1"/>
  <c r="G51" i="12"/>
  <c r="G41" i="6" s="1"/>
  <c r="G9" i="6"/>
  <c r="O88" i="17"/>
  <c r="L51" i="12"/>
  <c r="L41" i="6" s="1"/>
  <c r="L45" i="12"/>
  <c r="L39" i="6" s="1"/>
  <c r="L9" i="6"/>
  <c r="L69" i="11"/>
  <c r="L70" i="11" s="1"/>
  <c r="L89" i="11" s="1"/>
  <c r="L79" i="11"/>
  <c r="L81" i="11" s="1"/>
  <c r="L90" i="11" s="1"/>
  <c r="L16" i="6" s="1"/>
  <c r="M130" i="11"/>
  <c r="M101" i="10"/>
  <c r="G63" i="17"/>
  <c r="G64" i="17"/>
  <c r="G62" i="17"/>
  <c r="M49" i="17"/>
  <c r="M48" i="17"/>
  <c r="M61" i="17" s="1"/>
  <c r="M47" i="17"/>
  <c r="M60" i="17" s="1"/>
  <c r="M46" i="17"/>
  <c r="M59" i="17" s="1"/>
  <c r="N96" i="10"/>
  <c r="N36" i="17"/>
  <c r="N42" i="17" s="1"/>
  <c r="N45" i="17" s="1"/>
  <c r="P98" i="10"/>
  <c r="P132" i="11" s="1"/>
  <c r="P43" i="17"/>
  <c r="P31" i="17"/>
  <c r="P87" i="17" s="1"/>
  <c r="P26" i="17"/>
  <c r="P99" i="10"/>
  <c r="P133" i="11" s="1"/>
  <c r="P38" i="17"/>
  <c r="P44" i="17" s="1"/>
  <c r="Q93" i="10"/>
  <c r="Q64" i="14"/>
  <c r="Q77" i="11" s="1"/>
  <c r="AB48" i="10"/>
  <c r="AB47" i="10"/>
  <c r="AB46" i="10"/>
  <c r="AB45" i="10"/>
  <c r="AB44" i="10"/>
  <c r="AB43" i="10"/>
  <c r="AB42" i="10"/>
  <c r="AB41" i="10"/>
  <c r="AB40" i="10"/>
  <c r="AB39" i="10"/>
  <c r="AB38" i="10"/>
  <c r="AB37" i="10"/>
  <c r="AB36" i="10"/>
  <c r="AB35" i="10"/>
  <c r="AB34" i="10"/>
  <c r="AB33" i="10"/>
  <c r="Q40" i="14"/>
  <c r="AA42" i="12"/>
  <c r="AA29" i="12"/>
  <c r="AA78" i="6" s="1"/>
  <c r="O192" i="9"/>
  <c r="P144" i="9"/>
  <c r="AC16" i="7"/>
  <c r="AC34" i="7" s="1"/>
  <c r="AC29" i="10" s="1"/>
  <c r="AC30" i="10" s="1"/>
  <c r="AB17" i="7"/>
  <c r="AB27" i="6" s="1"/>
  <c r="Z80" i="6"/>
  <c r="AA20" i="13"/>
  <c r="AA27" i="13" s="1"/>
  <c r="AA32" i="13"/>
  <c r="AA10" i="13"/>
  <c r="AB28" i="12"/>
  <c r="AB8" i="13"/>
  <c r="AA93" i="6"/>
  <c r="O134" i="11"/>
  <c r="Q179" i="9"/>
  <c r="Q195" i="9" s="1"/>
  <c r="P195" i="9"/>
  <c r="P183" i="9"/>
  <c r="P62" i="8"/>
  <c r="P89" i="10" s="1"/>
  <c r="Q46" i="14"/>
  <c r="Q63" i="8" s="1"/>
  <c r="Q90" i="10" s="1"/>
  <c r="Q97" i="10" s="1"/>
  <c r="Q131" i="11" s="1"/>
  <c r="Q49" i="14"/>
  <c r="Q47" i="14"/>
  <c r="Q64" i="8" s="1"/>
  <c r="Q91" i="10" s="1"/>
  <c r="Q37" i="17" s="1"/>
  <c r="Q48" i="14"/>
  <c r="R63" i="14"/>
  <c r="R62" i="14"/>
  <c r="R61" i="14"/>
  <c r="R60" i="14"/>
  <c r="R59" i="14"/>
  <c r="R58" i="14"/>
  <c r="R57" i="14"/>
  <c r="R56" i="14"/>
  <c r="R55" i="14"/>
  <c r="R54" i="14"/>
  <c r="R53" i="14"/>
  <c r="R52" i="14"/>
  <c r="R36" i="14"/>
  <c r="R35" i="14"/>
  <c r="R34" i="14"/>
  <c r="R33" i="14"/>
  <c r="R32" i="14"/>
  <c r="R31" i="14"/>
  <c r="R30" i="14"/>
  <c r="R29" i="14"/>
  <c r="R39" i="14" s="1"/>
  <c r="R28" i="14"/>
  <c r="R27" i="14"/>
  <c r="R26" i="14"/>
  <c r="R25" i="14"/>
  <c r="Q5" i="13"/>
  <c r="Q5" i="14"/>
  <c r="K143" i="6"/>
  <c r="K165" i="6"/>
  <c r="J143" i="6"/>
  <c r="J165" i="6"/>
  <c r="R147" i="9"/>
  <c r="K126" i="6"/>
  <c r="K157" i="6"/>
  <c r="K127" i="6"/>
  <c r="K158" i="6"/>
  <c r="J157" i="6"/>
  <c r="J126" i="6"/>
  <c r="J158" i="6"/>
  <c r="J127" i="6"/>
  <c r="O19" i="13"/>
  <c r="O21" i="13" s="1"/>
  <c r="N37" i="13"/>
  <c r="N61" i="6" s="1"/>
  <c r="Q5" i="12"/>
  <c r="Q5" i="6"/>
  <c r="K14" i="6"/>
  <c r="K125" i="6" s="1"/>
  <c r="J14" i="6"/>
  <c r="J125" i="6" s="1"/>
  <c r="I59" i="10"/>
  <c r="I8" i="11" s="1"/>
  <c r="I9" i="17" s="1"/>
  <c r="I55" i="10"/>
  <c r="Q27" i="10"/>
  <c r="Q50" i="12"/>
  <c r="Q60" i="8"/>
  <c r="R59" i="8"/>
  <c r="S22" i="7"/>
  <c r="O139" i="9"/>
  <c r="N187" i="9"/>
  <c r="Q68" i="11"/>
  <c r="Q10" i="11"/>
  <c r="Q22" i="17" s="1"/>
  <c r="Q9" i="11"/>
  <c r="Q10" i="17" s="1"/>
  <c r="Q11" i="11"/>
  <c r="Q12" i="11"/>
  <c r="Q65" i="8"/>
  <c r="Q92" i="10" s="1"/>
  <c r="Q29" i="11"/>
  <c r="Q18" i="11"/>
  <c r="Q19" i="11" s="1"/>
  <c r="Q24" i="17" s="1"/>
  <c r="Q21" i="11"/>
  <c r="Q22" i="11" s="1"/>
  <c r="Q24" i="11"/>
  <c r="Q25" i="11" s="1"/>
  <c r="Q62" i="11"/>
  <c r="Q100" i="9" s="1"/>
  <c r="K92" i="11"/>
  <c r="J92" i="11"/>
  <c r="O65" i="11"/>
  <c r="O17" i="17" s="1"/>
  <c r="O30" i="17" s="1"/>
  <c r="R58" i="8"/>
  <c r="R57" i="8"/>
  <c r="Q5" i="11"/>
  <c r="Q5" i="10"/>
  <c r="Q5" i="9"/>
  <c r="Q55" i="8"/>
  <c r="R171" i="9"/>
  <c r="R13" i="7"/>
  <c r="R12" i="7"/>
  <c r="R5" i="17" s="1"/>
  <c r="S11" i="7"/>
  <c r="R80" i="11" l="1"/>
  <c r="R66" i="8"/>
  <c r="Z112" i="9"/>
  <c r="V112" i="9"/>
  <c r="U112" i="9"/>
  <c r="S112" i="9"/>
  <c r="R112" i="9"/>
  <c r="BG112" i="9"/>
  <c r="BD112" i="9"/>
  <c r="BJ112" i="9"/>
  <c r="BK112" i="9"/>
  <c r="BL112" i="9"/>
  <c r="P112" i="9"/>
  <c r="M112" i="9"/>
  <c r="AI112" i="9"/>
  <c r="AH112" i="9"/>
  <c r="AE112" i="9"/>
  <c r="AA112" i="9"/>
  <c r="W112" i="9"/>
  <c r="BH112" i="9"/>
  <c r="BE112" i="9"/>
  <c r="BA112" i="9"/>
  <c r="AX112" i="9"/>
  <c r="BO112" i="9"/>
  <c r="Q112" i="9"/>
  <c r="L112" i="9"/>
  <c r="J112" i="9"/>
  <c r="H112" i="9"/>
  <c r="AL112" i="9"/>
  <c r="AK112" i="9"/>
  <c r="AJ112" i="9"/>
  <c r="AG112" i="9"/>
  <c r="AF112" i="9"/>
  <c r="AD112" i="9"/>
  <c r="AC112" i="9"/>
  <c r="AB112" i="9"/>
  <c r="Y112" i="9"/>
  <c r="X112" i="9"/>
  <c r="T112" i="9"/>
  <c r="BF112" i="9"/>
  <c r="BC112" i="9"/>
  <c r="AV112" i="9"/>
  <c r="AT112" i="9"/>
  <c r="BM112" i="9"/>
  <c r="BN112" i="9"/>
  <c r="O112" i="9"/>
  <c r="N112" i="9"/>
  <c r="K112" i="9"/>
  <c r="I112" i="9"/>
  <c r="G112" i="9"/>
  <c r="BI112" i="9"/>
  <c r="BB112" i="9"/>
  <c r="AY112" i="9"/>
  <c r="AW112" i="9"/>
  <c r="AR112" i="9"/>
  <c r="AZ112" i="9"/>
  <c r="AU112" i="9"/>
  <c r="AS112" i="9"/>
  <c r="AQ112" i="9"/>
  <c r="AP112" i="9"/>
  <c r="AO112" i="9"/>
  <c r="AN112" i="9"/>
  <c r="AM112" i="9"/>
  <c r="M193" i="9"/>
  <c r="N145" i="9"/>
  <c r="Q143" i="9"/>
  <c r="P191" i="9"/>
  <c r="Q142" i="9"/>
  <c r="P190" i="9"/>
  <c r="H143" i="6"/>
  <c r="H165" i="6"/>
  <c r="I15" i="6"/>
  <c r="I92" i="11"/>
  <c r="F112" i="9"/>
  <c r="E98" i="9"/>
  <c r="K140" i="9"/>
  <c r="J188" i="9"/>
  <c r="R146" i="9"/>
  <c r="Q194" i="9"/>
  <c r="R73" i="8"/>
  <c r="R74" i="8" s="1"/>
  <c r="R149" i="9"/>
  <c r="Q197" i="9"/>
  <c r="Q75" i="8"/>
  <c r="Q57" i="10" s="1"/>
  <c r="Q27" i="11"/>
  <c r="Q28" i="11" s="1"/>
  <c r="Q30" i="11" s="1"/>
  <c r="Q16" i="17" s="1"/>
  <c r="I158" i="6"/>
  <c r="I122" i="6"/>
  <c r="I176" i="6"/>
  <c r="I8" i="6"/>
  <c r="I127" i="6"/>
  <c r="I128" i="6"/>
  <c r="I134" i="6"/>
  <c r="I143" i="6"/>
  <c r="I165" i="6"/>
  <c r="H128" i="6"/>
  <c r="H122" i="6"/>
  <c r="H134" i="6"/>
  <c r="H176" i="6"/>
  <c r="H8" i="6"/>
  <c r="H127" i="6"/>
  <c r="H158" i="6"/>
  <c r="H15" i="6"/>
  <c r="H92" i="11"/>
  <c r="H93" i="11" s="1"/>
  <c r="H94" i="11" s="1"/>
  <c r="R13" i="11"/>
  <c r="R13" i="17" s="1"/>
  <c r="Y123" i="10"/>
  <c r="Y41" i="17"/>
  <c r="Y40" i="17"/>
  <c r="Y122" i="10"/>
  <c r="Y119" i="10"/>
  <c r="Y124" i="10" s="1"/>
  <c r="H95" i="17"/>
  <c r="H97" i="11"/>
  <c r="Y73" i="10"/>
  <c r="Y75" i="10"/>
  <c r="Y81" i="10" s="1"/>
  <c r="Y126" i="10"/>
  <c r="Y50" i="17"/>
  <c r="H33" i="17"/>
  <c r="H94" i="17" s="1"/>
  <c r="H87" i="17"/>
  <c r="Z116" i="10"/>
  <c r="Z67" i="10"/>
  <c r="Z68" i="10" s="1"/>
  <c r="Z80" i="10"/>
  <c r="Z71" i="10"/>
  <c r="Z72" i="10" s="1"/>
  <c r="Z117" i="10"/>
  <c r="Z83" i="10"/>
  <c r="Z118" i="10"/>
  <c r="AA106" i="10"/>
  <c r="AA105" i="10"/>
  <c r="AA62" i="10"/>
  <c r="AA63" i="10"/>
  <c r="AA64" i="10"/>
  <c r="AA65" i="10"/>
  <c r="AA107" i="10" s="1"/>
  <c r="AA66" i="10"/>
  <c r="AA17" i="11"/>
  <c r="AA20" i="11"/>
  <c r="AA23" i="11" s="1"/>
  <c r="AA26" i="11"/>
  <c r="AA54" i="10"/>
  <c r="AA56" i="10" s="1"/>
  <c r="G65" i="17"/>
  <c r="H67" i="17"/>
  <c r="L143" i="6"/>
  <c r="G87" i="17"/>
  <c r="G88" i="17" s="1"/>
  <c r="G33" i="17"/>
  <c r="G94" i="17" s="1"/>
  <c r="G97" i="11"/>
  <c r="G95" i="17"/>
  <c r="G158" i="6"/>
  <c r="G127" i="6"/>
  <c r="G92" i="11"/>
  <c r="G93" i="11" s="1"/>
  <c r="G94" i="11" s="1"/>
  <c r="G15" i="6"/>
  <c r="G165" i="6"/>
  <c r="G134" i="6"/>
  <c r="G122" i="6"/>
  <c r="G176" i="6"/>
  <c r="G128" i="6"/>
  <c r="G130" i="6"/>
  <c r="G8" i="6"/>
  <c r="G143" i="6"/>
  <c r="P88" i="17"/>
  <c r="AB49" i="10"/>
  <c r="L165" i="6"/>
  <c r="L8" i="6"/>
  <c r="L176" i="6"/>
  <c r="L134" i="6"/>
  <c r="L128" i="6"/>
  <c r="L122" i="6"/>
  <c r="L15" i="6"/>
  <c r="L92" i="11"/>
  <c r="L127" i="6"/>
  <c r="L158" i="6"/>
  <c r="M69" i="11"/>
  <c r="M70" i="11" s="1"/>
  <c r="M89" i="11" s="1"/>
  <c r="M51" i="12"/>
  <c r="M41" i="6" s="1"/>
  <c r="M45" i="12"/>
  <c r="M39" i="6" s="1"/>
  <c r="M9" i="6"/>
  <c r="M79" i="11"/>
  <c r="M81" i="11" s="1"/>
  <c r="M90" i="11" s="1"/>
  <c r="M16" i="6" s="1"/>
  <c r="N101" i="10"/>
  <c r="N130" i="11"/>
  <c r="N49" i="17"/>
  <c r="N48" i="17"/>
  <c r="N61" i="17" s="1"/>
  <c r="N47" i="17"/>
  <c r="N60" i="17" s="1"/>
  <c r="N46" i="17"/>
  <c r="N59" i="17" s="1"/>
  <c r="O96" i="10"/>
  <c r="O36" i="17"/>
  <c r="O42" i="17" s="1"/>
  <c r="O45" i="17" s="1"/>
  <c r="Q98" i="10"/>
  <c r="Q132" i="11" s="1"/>
  <c r="Q43" i="17"/>
  <c r="I19" i="17"/>
  <c r="I29" i="17"/>
  <c r="Q31" i="17"/>
  <c r="Q87" i="17" s="1"/>
  <c r="Q26" i="17"/>
  <c r="Q99" i="10"/>
  <c r="Q133" i="11" s="1"/>
  <c r="Q38" i="17"/>
  <c r="Q44" i="17" s="1"/>
  <c r="R40" i="14"/>
  <c r="R93" i="10"/>
  <c r="AB42" i="12"/>
  <c r="AB29" i="12"/>
  <c r="AB78" i="6" s="1"/>
  <c r="R64" i="14"/>
  <c r="R77" i="11" s="1"/>
  <c r="AC48" i="10"/>
  <c r="AC47" i="10"/>
  <c r="AC46" i="10"/>
  <c r="AC45" i="10"/>
  <c r="AC44" i="10"/>
  <c r="AC43" i="10"/>
  <c r="AC42" i="10"/>
  <c r="AC41" i="10"/>
  <c r="AC40" i="10"/>
  <c r="AC39" i="10"/>
  <c r="AC38" i="10"/>
  <c r="AC37" i="10"/>
  <c r="AC36" i="10"/>
  <c r="AC35" i="10"/>
  <c r="AC34" i="10"/>
  <c r="AC33" i="10"/>
  <c r="P192" i="9"/>
  <c r="Q144" i="9"/>
  <c r="AC28" i="12"/>
  <c r="AC8" i="13"/>
  <c r="AC17" i="7"/>
  <c r="AC27" i="6" s="1"/>
  <c r="AD16" i="7"/>
  <c r="AD34" i="7" s="1"/>
  <c r="AD29" i="10" s="1"/>
  <c r="AD30" i="10" s="1"/>
  <c r="AB93" i="6"/>
  <c r="AA80" i="6"/>
  <c r="AB20" i="13"/>
  <c r="AB27" i="13" s="1"/>
  <c r="AB10" i="13"/>
  <c r="AB32" i="13"/>
  <c r="P134" i="11"/>
  <c r="R179" i="9"/>
  <c r="Q183" i="9"/>
  <c r="Q62" i="8"/>
  <c r="Q89" i="10" s="1"/>
  <c r="R48" i="14"/>
  <c r="R46" i="14"/>
  <c r="R63" i="8" s="1"/>
  <c r="R90" i="10" s="1"/>
  <c r="R97" i="10" s="1"/>
  <c r="R131" i="11" s="1"/>
  <c r="R49" i="14"/>
  <c r="R47" i="14"/>
  <c r="R64" i="8" s="1"/>
  <c r="R91" i="10" s="1"/>
  <c r="R37" i="17" s="1"/>
  <c r="S63" i="14"/>
  <c r="S62" i="14"/>
  <c r="S61" i="14"/>
  <c r="S60" i="14"/>
  <c r="S59" i="14"/>
  <c r="S58" i="14"/>
  <c r="S57" i="14"/>
  <c r="S56" i="14"/>
  <c r="S55" i="14"/>
  <c r="S54" i="14"/>
  <c r="S53" i="14"/>
  <c r="S52" i="14"/>
  <c r="R5" i="13"/>
  <c r="R5" i="14"/>
  <c r="S36" i="14"/>
  <c r="S35" i="14"/>
  <c r="S34" i="14"/>
  <c r="S33" i="14"/>
  <c r="S32" i="14"/>
  <c r="S31" i="14"/>
  <c r="S30" i="14"/>
  <c r="S29" i="14"/>
  <c r="S39" i="14" s="1"/>
  <c r="S28" i="14"/>
  <c r="S27" i="14"/>
  <c r="S26" i="14"/>
  <c r="S25" i="14"/>
  <c r="S147" i="9"/>
  <c r="T147" i="9" s="1"/>
  <c r="P65" i="11"/>
  <c r="P17" i="17" s="1"/>
  <c r="P30" i="17" s="1"/>
  <c r="P19" i="13"/>
  <c r="P21" i="13" s="1"/>
  <c r="O37" i="13"/>
  <c r="O61" i="6" s="1"/>
  <c r="R60" i="8"/>
  <c r="R5" i="12"/>
  <c r="R5" i="6"/>
  <c r="I46" i="12"/>
  <c r="I14" i="11"/>
  <c r="I84" i="11" s="1"/>
  <c r="J52" i="10"/>
  <c r="I48" i="12"/>
  <c r="R27" i="10"/>
  <c r="R50" i="12"/>
  <c r="S59" i="8"/>
  <c r="T22" i="7"/>
  <c r="P139" i="9"/>
  <c r="O187" i="9"/>
  <c r="R68" i="11"/>
  <c r="R10" i="11"/>
  <c r="R22" i="17" s="1"/>
  <c r="R9" i="11"/>
  <c r="R10" i="17" s="1"/>
  <c r="R11" i="11"/>
  <c r="R12" i="11"/>
  <c r="R65" i="8"/>
  <c r="R92" i="10" s="1"/>
  <c r="R29" i="11"/>
  <c r="R18" i="11"/>
  <c r="R19" i="11" s="1"/>
  <c r="R24" i="17" s="1"/>
  <c r="R21" i="11"/>
  <c r="R22" i="11" s="1"/>
  <c r="R24" i="11"/>
  <c r="R25" i="11" s="1"/>
  <c r="R62" i="11"/>
  <c r="R100" i="9" s="1"/>
  <c r="R5" i="11"/>
  <c r="R5" i="10"/>
  <c r="R5" i="9"/>
  <c r="R55" i="8"/>
  <c r="S58" i="8"/>
  <c r="S57" i="8"/>
  <c r="S165" i="9"/>
  <c r="S181" i="9" s="1"/>
  <c r="S164" i="9"/>
  <c r="S180" i="9" s="1"/>
  <c r="S163" i="9"/>
  <c r="S162" i="9"/>
  <c r="S178" i="9" s="1"/>
  <c r="S159" i="9"/>
  <c r="S175" i="9" s="1"/>
  <c r="S158" i="9"/>
  <c r="S174" i="9" s="1"/>
  <c r="T11" i="7"/>
  <c r="S12" i="7"/>
  <c r="S5" i="17" s="1"/>
  <c r="S13" i="7"/>
  <c r="S27" i="10" s="1"/>
  <c r="I121" i="6" l="1"/>
  <c r="H121" i="6"/>
  <c r="L121" i="6"/>
  <c r="E99" i="9"/>
  <c r="E102" i="9" s="1"/>
  <c r="F98" i="9"/>
  <c r="S80" i="11"/>
  <c r="S66" i="8"/>
  <c r="O145" i="9"/>
  <c r="N193" i="9"/>
  <c r="Q191" i="9"/>
  <c r="R143" i="9"/>
  <c r="R142" i="9"/>
  <c r="Q190" i="9"/>
  <c r="AE98" i="9"/>
  <c r="AK98" i="9"/>
  <c r="AH98" i="9"/>
  <c r="AL98" i="9"/>
  <c r="H96" i="17"/>
  <c r="AR98" i="9"/>
  <c r="AQ98" i="9"/>
  <c r="AO98" i="9"/>
  <c r="AP98" i="9"/>
  <c r="AN98" i="9"/>
  <c r="AW98" i="9"/>
  <c r="AV98" i="9"/>
  <c r="AS98" i="9"/>
  <c r="I14" i="6"/>
  <c r="I125" i="6" s="1"/>
  <c r="I157" i="6"/>
  <c r="I126" i="6"/>
  <c r="K188" i="9"/>
  <c r="L140" i="9"/>
  <c r="S146" i="9"/>
  <c r="R194" i="9"/>
  <c r="S73" i="8"/>
  <c r="S74" i="8" s="1"/>
  <c r="G66" i="17"/>
  <c r="G99" i="17"/>
  <c r="R75" i="8"/>
  <c r="R57" i="10" s="1"/>
  <c r="R27" i="11"/>
  <c r="R28" i="11" s="1"/>
  <c r="R30" i="11" s="1"/>
  <c r="R16" i="17" s="1"/>
  <c r="S149" i="9"/>
  <c r="R197" i="9"/>
  <c r="H47" i="12"/>
  <c r="H49" i="6" s="1"/>
  <c r="H52" i="12"/>
  <c r="H157" i="6"/>
  <c r="H14" i="6"/>
  <c r="H125" i="6" s="1"/>
  <c r="H126" i="6"/>
  <c r="Y52" i="17"/>
  <c r="Y128" i="10"/>
  <c r="Y127" i="10"/>
  <c r="Y51" i="17"/>
  <c r="Z123" i="10"/>
  <c r="Z41" i="17"/>
  <c r="S13" i="11"/>
  <c r="S13" i="17" s="1"/>
  <c r="H112" i="11"/>
  <c r="H126" i="11" s="1"/>
  <c r="H109" i="11"/>
  <c r="H123" i="11" s="1"/>
  <c r="H110" i="11"/>
  <c r="H124" i="11" s="1"/>
  <c r="H113" i="11"/>
  <c r="H127" i="11" s="1"/>
  <c r="H111" i="11"/>
  <c r="H125" i="11" s="1"/>
  <c r="Y84" i="17"/>
  <c r="Y86" i="17" s="1"/>
  <c r="Y82" i="10"/>
  <c r="Y85" i="10" s="1"/>
  <c r="Y77" i="10"/>
  <c r="Y74" i="10"/>
  <c r="Z119" i="10"/>
  <c r="Z124" i="10" s="1"/>
  <c r="Z40" i="17"/>
  <c r="Z122" i="10"/>
  <c r="AA116" i="10"/>
  <c r="AA80" i="10"/>
  <c r="AA67" i="10"/>
  <c r="AA68" i="10" s="1"/>
  <c r="AA71" i="10"/>
  <c r="AA117" i="10"/>
  <c r="AA83" i="10"/>
  <c r="AA118" i="10"/>
  <c r="H99" i="17"/>
  <c r="H88" i="17"/>
  <c r="H97" i="17" s="1"/>
  <c r="Z121" i="10"/>
  <c r="Z39" i="17"/>
  <c r="Z73" i="10"/>
  <c r="Z75" i="10"/>
  <c r="Z81" i="10" s="1"/>
  <c r="AB62" i="10"/>
  <c r="AB63" i="10"/>
  <c r="AB64" i="10"/>
  <c r="AB65" i="10"/>
  <c r="AB107" i="10" s="1"/>
  <c r="AB66" i="10"/>
  <c r="AB17" i="11"/>
  <c r="AB20" i="11"/>
  <c r="AB23" i="11" s="1"/>
  <c r="AB26" i="11"/>
  <c r="AB54" i="10"/>
  <c r="AB56" i="10" s="1"/>
  <c r="G111" i="11"/>
  <c r="G125" i="11" s="1"/>
  <c r="G113" i="11"/>
  <c r="G127" i="11" s="1"/>
  <c r="G112" i="11"/>
  <c r="G126" i="11" s="1"/>
  <c r="G110" i="11"/>
  <c r="G124" i="11" s="1"/>
  <c r="G109" i="11"/>
  <c r="G123" i="11" s="1"/>
  <c r="G52" i="12"/>
  <c r="G50" i="6" s="1"/>
  <c r="G47" i="12"/>
  <c r="G14" i="6"/>
  <c r="G125" i="6" s="1"/>
  <c r="G157" i="6"/>
  <c r="G126" i="6"/>
  <c r="G121" i="6"/>
  <c r="G96" i="17"/>
  <c r="M143" i="6"/>
  <c r="Q88" i="17"/>
  <c r="AB106" i="10"/>
  <c r="AB105" i="10"/>
  <c r="L14" i="6"/>
  <c r="L125" i="6" s="1"/>
  <c r="L126" i="6"/>
  <c r="L157" i="6"/>
  <c r="M15" i="6"/>
  <c r="M14" i="6" s="1"/>
  <c r="M125" i="6" s="1"/>
  <c r="M92" i="11"/>
  <c r="M8" i="6"/>
  <c r="M128" i="6"/>
  <c r="M176" i="6"/>
  <c r="M165" i="6"/>
  <c r="M122" i="6"/>
  <c r="M134" i="6"/>
  <c r="N9" i="6"/>
  <c r="N69" i="11"/>
  <c r="N70" i="11" s="1"/>
  <c r="N89" i="11" s="1"/>
  <c r="N79" i="11"/>
  <c r="N81" i="11" s="1"/>
  <c r="N90" i="11" s="1"/>
  <c r="N16" i="6" s="1"/>
  <c r="N51" i="12"/>
  <c r="N41" i="6" s="1"/>
  <c r="N45" i="12"/>
  <c r="N39" i="6" s="1"/>
  <c r="O130" i="11"/>
  <c r="O101" i="10"/>
  <c r="I33" i="17"/>
  <c r="I57" i="17"/>
  <c r="I64" i="17" s="1"/>
  <c r="I56" i="17"/>
  <c r="I63" i="17" s="1"/>
  <c r="I55" i="17"/>
  <c r="I62" i="17" s="1"/>
  <c r="O49" i="17"/>
  <c r="O48" i="17"/>
  <c r="O61" i="17" s="1"/>
  <c r="O47" i="17"/>
  <c r="O60" i="17" s="1"/>
  <c r="O46" i="17"/>
  <c r="O59" i="17" s="1"/>
  <c r="P96" i="10"/>
  <c r="P36" i="17"/>
  <c r="P42" i="17" s="1"/>
  <c r="P45" i="17" s="1"/>
  <c r="R98" i="10"/>
  <c r="R132" i="11" s="1"/>
  <c r="R43" i="17"/>
  <c r="R31" i="17"/>
  <c r="R87" i="17" s="1"/>
  <c r="R26" i="17"/>
  <c r="R99" i="10"/>
  <c r="R133" i="11" s="1"/>
  <c r="R38" i="17"/>
  <c r="R44" i="17" s="1"/>
  <c r="AC49" i="10"/>
  <c r="S93" i="10"/>
  <c r="S40" i="14"/>
  <c r="AC29" i="12"/>
  <c r="AC78" i="6" s="1"/>
  <c r="AC42" i="12"/>
  <c r="AD48" i="10"/>
  <c r="AD47" i="10"/>
  <c r="AD46" i="10"/>
  <c r="AD45" i="10"/>
  <c r="AD44" i="10"/>
  <c r="AD43" i="10"/>
  <c r="AD42" i="10"/>
  <c r="AD41" i="10"/>
  <c r="AD40" i="10"/>
  <c r="AD39" i="10"/>
  <c r="AD38" i="10"/>
  <c r="AD37" i="10"/>
  <c r="AD36" i="10"/>
  <c r="AD35" i="10"/>
  <c r="AD34" i="10"/>
  <c r="AD33" i="10"/>
  <c r="M158" i="6"/>
  <c r="M127" i="6"/>
  <c r="Q192" i="9"/>
  <c r="R144" i="9"/>
  <c r="AC32" i="13"/>
  <c r="AC20" i="13"/>
  <c r="AC27" i="13" s="1"/>
  <c r="AC10" i="13"/>
  <c r="AC93" i="6"/>
  <c r="AD28" i="12"/>
  <c r="AD8" i="13"/>
  <c r="AE16" i="7"/>
  <c r="AE34" i="7" s="1"/>
  <c r="AE29" i="10" s="1"/>
  <c r="AE30" i="10" s="1"/>
  <c r="AD17" i="7"/>
  <c r="AD27" i="6" s="1"/>
  <c r="S64" i="14"/>
  <c r="S77" i="11" s="1"/>
  <c r="Q134" i="11"/>
  <c r="AB80" i="6"/>
  <c r="R195" i="9"/>
  <c r="R183" i="9"/>
  <c r="R62" i="8"/>
  <c r="R89" i="10" s="1"/>
  <c r="S46" i="14"/>
  <c r="S63" i="8" s="1"/>
  <c r="S90" i="10" s="1"/>
  <c r="S97" i="10" s="1"/>
  <c r="S48" i="14"/>
  <c r="S49" i="14"/>
  <c r="S47" i="14"/>
  <c r="S64" i="8" s="1"/>
  <c r="S91" i="10" s="1"/>
  <c r="S37" i="17" s="1"/>
  <c r="T63" i="14"/>
  <c r="T62" i="14"/>
  <c r="T61" i="14"/>
  <c r="T60" i="14"/>
  <c r="T59" i="14"/>
  <c r="T58" i="14"/>
  <c r="T57" i="14"/>
  <c r="T56" i="14"/>
  <c r="T55" i="14"/>
  <c r="T54" i="14"/>
  <c r="T53" i="14"/>
  <c r="T52" i="14"/>
  <c r="T36" i="14"/>
  <c r="T35" i="14"/>
  <c r="T34" i="14"/>
  <c r="T33" i="14"/>
  <c r="T32" i="14"/>
  <c r="T31" i="14"/>
  <c r="T30" i="14"/>
  <c r="T29" i="14"/>
  <c r="T39" i="14" s="1"/>
  <c r="T28" i="14"/>
  <c r="T27" i="14"/>
  <c r="T26" i="14"/>
  <c r="T25" i="14"/>
  <c r="S5" i="13"/>
  <c r="S5" i="14"/>
  <c r="Q19" i="13"/>
  <c r="Q21" i="13" s="1"/>
  <c r="P37" i="13"/>
  <c r="P61" i="6" s="1"/>
  <c r="S5" i="12"/>
  <c r="S5" i="6"/>
  <c r="I49" i="12"/>
  <c r="I40" i="6" s="1"/>
  <c r="I86" i="11"/>
  <c r="J53" i="10"/>
  <c r="S60" i="8"/>
  <c r="T59" i="8"/>
  <c r="U22" i="7"/>
  <c r="P187" i="9"/>
  <c r="Q139" i="9"/>
  <c r="S68" i="11"/>
  <c r="S10" i="11"/>
  <c r="S22" i="17" s="1"/>
  <c r="S9" i="11"/>
  <c r="S10" i="17" s="1"/>
  <c r="S11" i="11"/>
  <c r="S12" i="11"/>
  <c r="S65" i="8"/>
  <c r="S92" i="10" s="1"/>
  <c r="S34" i="11"/>
  <c r="S35" i="11"/>
  <c r="S36" i="11"/>
  <c r="S37" i="11"/>
  <c r="S38" i="11"/>
  <c r="S39" i="11"/>
  <c r="S23" i="17" s="1"/>
  <c r="S40" i="11"/>
  <c r="S41" i="11"/>
  <c r="S42" i="11"/>
  <c r="S43" i="11"/>
  <c r="S44" i="11"/>
  <c r="S45" i="11"/>
  <c r="S46" i="11"/>
  <c r="S47" i="11"/>
  <c r="S48" i="11"/>
  <c r="S49" i="11"/>
  <c r="S29" i="11"/>
  <c r="S76" i="11"/>
  <c r="S75" i="11"/>
  <c r="S73" i="11"/>
  <c r="S58" i="11"/>
  <c r="S74" i="11"/>
  <c r="S18" i="11"/>
  <c r="S19" i="11" s="1"/>
  <c r="S24" i="17" s="1"/>
  <c r="S21" i="11"/>
  <c r="S22" i="11" s="1"/>
  <c r="S24" i="11"/>
  <c r="S25" i="11" s="1"/>
  <c r="S62" i="11"/>
  <c r="S100" i="9" s="1"/>
  <c r="Q65" i="11"/>
  <c r="Q17" i="17" s="1"/>
  <c r="Q30" i="17" s="1"/>
  <c r="S179" i="9"/>
  <c r="S91" i="11"/>
  <c r="S17" i="6" s="1"/>
  <c r="T58" i="8"/>
  <c r="T57" i="8"/>
  <c r="S5" i="11"/>
  <c r="S5" i="10"/>
  <c r="S5" i="9"/>
  <c r="S55" i="8"/>
  <c r="T165" i="9"/>
  <c r="T181" i="9" s="1"/>
  <c r="T164" i="9"/>
  <c r="T180" i="9" s="1"/>
  <c r="U147" i="9"/>
  <c r="T162" i="9"/>
  <c r="T178" i="9" s="1"/>
  <c r="T159" i="9"/>
  <c r="T175" i="9" s="1"/>
  <c r="T158" i="9"/>
  <c r="T174" i="9" s="1"/>
  <c r="U11" i="7"/>
  <c r="T12" i="7"/>
  <c r="T5" i="17" s="1"/>
  <c r="T13" i="7"/>
  <c r="T27" i="10" s="1"/>
  <c r="AI98" i="9" l="1"/>
  <c r="AI124" i="9" s="1"/>
  <c r="AF98" i="9"/>
  <c r="AF124" i="9" s="1"/>
  <c r="AM98" i="9"/>
  <c r="AM124" i="9" s="1"/>
  <c r="AG98" i="9"/>
  <c r="AG124" i="9" s="1"/>
  <c r="H169" i="6"/>
  <c r="X98" i="9"/>
  <c r="X124" i="9" s="1"/>
  <c r="AJ98" i="9"/>
  <c r="AJ124" i="9" s="1"/>
  <c r="M121" i="6"/>
  <c r="H98" i="17"/>
  <c r="H88" i="11"/>
  <c r="AC98" i="9"/>
  <c r="AC124" i="9" s="1"/>
  <c r="V98" i="9"/>
  <c r="V124" i="9" s="1"/>
  <c r="AA98" i="9"/>
  <c r="AA124" i="9" s="1"/>
  <c r="Z98" i="9"/>
  <c r="Z124" i="9" s="1"/>
  <c r="W98" i="9"/>
  <c r="W124" i="9" s="1"/>
  <c r="T98" i="9"/>
  <c r="T124" i="9" s="1"/>
  <c r="AB98" i="9"/>
  <c r="AB124" i="9" s="1"/>
  <c r="Y98" i="9"/>
  <c r="Y124" i="9" s="1"/>
  <c r="Q98" i="9"/>
  <c r="Q124" i="9" s="1"/>
  <c r="S98" i="9"/>
  <c r="S124" i="9" s="1"/>
  <c r="AD98" i="9"/>
  <c r="AD124" i="9" s="1"/>
  <c r="T73" i="8"/>
  <c r="T74" i="8" s="1"/>
  <c r="AU98" i="9"/>
  <c r="AU124" i="9" s="1"/>
  <c r="AT98" i="9"/>
  <c r="AT124" i="9" s="1"/>
  <c r="BB98" i="9"/>
  <c r="BB124" i="9" s="1"/>
  <c r="BA98" i="9"/>
  <c r="BA124" i="9" s="1"/>
  <c r="AY98" i="9"/>
  <c r="AY124" i="9" s="1"/>
  <c r="AZ98" i="9"/>
  <c r="AZ124" i="9" s="1"/>
  <c r="AX98" i="9"/>
  <c r="AX124" i="9" s="1"/>
  <c r="BF98" i="9"/>
  <c r="BF124" i="9" s="1"/>
  <c r="BD98" i="9"/>
  <c r="BD124" i="9" s="1"/>
  <c r="BC98" i="9"/>
  <c r="BC124" i="9" s="1"/>
  <c r="BE98" i="9"/>
  <c r="BE124" i="9" s="1"/>
  <c r="BN98" i="9"/>
  <c r="BN124" i="9" s="1"/>
  <c r="R98" i="9"/>
  <c r="R124" i="9" s="1"/>
  <c r="BJ98" i="9"/>
  <c r="BJ124" i="9" s="1"/>
  <c r="BG98" i="9"/>
  <c r="BG124" i="9" s="1"/>
  <c r="BM98" i="9"/>
  <c r="BM124" i="9" s="1"/>
  <c r="BK98" i="9"/>
  <c r="BK124" i="9" s="1"/>
  <c r="BH98" i="9"/>
  <c r="BH124" i="9" s="1"/>
  <c r="BL98" i="9"/>
  <c r="BL124" i="9" s="1"/>
  <c r="BI98" i="9"/>
  <c r="BI124" i="9" s="1"/>
  <c r="G98" i="9"/>
  <c r="G124" i="9" s="1"/>
  <c r="G141" i="9" s="1"/>
  <c r="BO98" i="9"/>
  <c r="BO124" i="9" s="1"/>
  <c r="K98" i="9"/>
  <c r="K124" i="9" s="1"/>
  <c r="U98" i="9"/>
  <c r="U124" i="9" s="1"/>
  <c r="P98" i="9"/>
  <c r="P124" i="9" s="1"/>
  <c r="N98" i="9"/>
  <c r="N124" i="9" s="1"/>
  <c r="L98" i="9"/>
  <c r="L124" i="9" s="1"/>
  <c r="I98" i="9"/>
  <c r="I124" i="9" s="1"/>
  <c r="M98" i="9"/>
  <c r="M124" i="9" s="1"/>
  <c r="H98" i="9"/>
  <c r="H124" i="9" s="1"/>
  <c r="J98" i="9"/>
  <c r="J124" i="9" s="1"/>
  <c r="O98" i="9"/>
  <c r="O124" i="9" s="1"/>
  <c r="T80" i="11"/>
  <c r="T66" i="8"/>
  <c r="AE124" i="9"/>
  <c r="AK124" i="9"/>
  <c r="AH124" i="9"/>
  <c r="AL124" i="9"/>
  <c r="AR124" i="9"/>
  <c r="AQ124" i="9"/>
  <c r="AO124" i="9"/>
  <c r="AP124" i="9"/>
  <c r="AN124" i="9"/>
  <c r="AW124" i="9"/>
  <c r="AV124" i="9"/>
  <c r="AS124" i="9"/>
  <c r="O193" i="9"/>
  <c r="P145" i="9"/>
  <c r="S143" i="9"/>
  <c r="R191" i="9"/>
  <c r="R190" i="9"/>
  <c r="S142" i="9"/>
  <c r="L188" i="9"/>
  <c r="M140" i="9"/>
  <c r="T146" i="9"/>
  <c r="S194" i="9"/>
  <c r="N158" i="6"/>
  <c r="G67" i="17"/>
  <c r="G97" i="17"/>
  <c r="Z128" i="10"/>
  <c r="Z52" i="17"/>
  <c r="T149" i="9"/>
  <c r="S197" i="9"/>
  <c r="H50" i="6"/>
  <c r="H53" i="12"/>
  <c r="S75" i="8"/>
  <c r="S57" i="10" s="1"/>
  <c r="S27" i="11"/>
  <c r="S28" i="11" s="1"/>
  <c r="S30" i="11" s="1"/>
  <c r="S16" i="17" s="1"/>
  <c r="T13" i="11"/>
  <c r="T13" i="17" s="1"/>
  <c r="Z127" i="10"/>
  <c r="Z51" i="17"/>
  <c r="AA123" i="10"/>
  <c r="AA41" i="17"/>
  <c r="Y103" i="11"/>
  <c r="Y98" i="11"/>
  <c r="Y106" i="11"/>
  <c r="Y104" i="11"/>
  <c r="Y102" i="11"/>
  <c r="Y105" i="11"/>
  <c r="AA121" i="10"/>
  <c r="AA39" i="17"/>
  <c r="AA72" i="10"/>
  <c r="AA75" i="10" s="1"/>
  <c r="AA81" i="10" s="1"/>
  <c r="AA40" i="17"/>
  <c r="AA122" i="10"/>
  <c r="AA119" i="10"/>
  <c r="AA124" i="10" s="1"/>
  <c r="Z50" i="17"/>
  <c r="Z126" i="10"/>
  <c r="AB67" i="10"/>
  <c r="AB68" i="10" s="1"/>
  <c r="AB117" i="10"/>
  <c r="AB71" i="10"/>
  <c r="Z84" i="17"/>
  <c r="Z86" i="17" s="1"/>
  <c r="Z82" i="10"/>
  <c r="Z85" i="10" s="1"/>
  <c r="Z104" i="11" s="1"/>
  <c r="Z77" i="10"/>
  <c r="Z74" i="10"/>
  <c r="AB116" i="10"/>
  <c r="AB80" i="10"/>
  <c r="AB83" i="10"/>
  <c r="AB118" i="10"/>
  <c r="I65" i="17"/>
  <c r="N8" i="6"/>
  <c r="N128" i="6"/>
  <c r="N122" i="6"/>
  <c r="N176" i="6"/>
  <c r="N134" i="6"/>
  <c r="G53" i="12"/>
  <c r="G49" i="6"/>
  <c r="R88" i="17"/>
  <c r="AD49" i="10"/>
  <c r="N165" i="6"/>
  <c r="N143" i="6"/>
  <c r="O51" i="12"/>
  <c r="O41" i="6" s="1"/>
  <c r="O45" i="12"/>
  <c r="O39" i="6" s="1"/>
  <c r="M157" i="6"/>
  <c r="M126" i="6"/>
  <c r="N15" i="6"/>
  <c r="N14" i="6" s="1"/>
  <c r="N125" i="6" s="1"/>
  <c r="N92" i="11"/>
  <c r="O9" i="6"/>
  <c r="O69" i="11"/>
  <c r="O70" i="11" s="1"/>
  <c r="O89" i="11" s="1"/>
  <c r="O79" i="11"/>
  <c r="O81" i="11" s="1"/>
  <c r="O90" i="11" s="1"/>
  <c r="O16" i="6" s="1"/>
  <c r="P130" i="11"/>
  <c r="P101" i="10"/>
  <c r="S12" i="17"/>
  <c r="S11" i="17"/>
  <c r="S15" i="17"/>
  <c r="AC106" i="10"/>
  <c r="AC105" i="10"/>
  <c r="AC62" i="10"/>
  <c r="AC63" i="10"/>
  <c r="AC64" i="10"/>
  <c r="AC65" i="10"/>
  <c r="AC107" i="10" s="1"/>
  <c r="AC66" i="10"/>
  <c r="AC17" i="11"/>
  <c r="AC20" i="11"/>
  <c r="AC23" i="11" s="1"/>
  <c r="AC26" i="11"/>
  <c r="AC54" i="10"/>
  <c r="AC56" i="10" s="1"/>
  <c r="I95" i="17"/>
  <c r="I94" i="17"/>
  <c r="P49" i="17"/>
  <c r="P48" i="17"/>
  <c r="P61" i="17" s="1"/>
  <c r="P47" i="17"/>
  <c r="P60" i="17" s="1"/>
  <c r="P46" i="17"/>
  <c r="P59" i="17" s="1"/>
  <c r="Q96" i="10"/>
  <c r="Q36" i="17"/>
  <c r="Q42" i="17" s="1"/>
  <c r="Q45" i="17" s="1"/>
  <c r="S98" i="10"/>
  <c r="S43" i="17"/>
  <c r="S31" i="17"/>
  <c r="S99" i="10"/>
  <c r="S38" i="17"/>
  <c r="S44" i="17" s="1"/>
  <c r="T93" i="10"/>
  <c r="AD29" i="12"/>
  <c r="AD78" i="6" s="1"/>
  <c r="AD42" i="12"/>
  <c r="AE48" i="10"/>
  <c r="AE47" i="10"/>
  <c r="AE46" i="10"/>
  <c r="AE45" i="10"/>
  <c r="AE44" i="10"/>
  <c r="AE43" i="10"/>
  <c r="AE42" i="10"/>
  <c r="AE41" i="10"/>
  <c r="AE40" i="10"/>
  <c r="AE39" i="10"/>
  <c r="AE38" i="10"/>
  <c r="AE37" i="10"/>
  <c r="AE36" i="10"/>
  <c r="AE35" i="10"/>
  <c r="AE34" i="10"/>
  <c r="AE33" i="10"/>
  <c r="N127" i="6"/>
  <c r="R192" i="9"/>
  <c r="S144" i="9"/>
  <c r="T144" i="9" s="1"/>
  <c r="AC80" i="6"/>
  <c r="AF16" i="7"/>
  <c r="AE17" i="7"/>
  <c r="AE27" i="6" s="1"/>
  <c r="AD93" i="6"/>
  <c r="AE28" i="12"/>
  <c r="AE42" i="12" s="1"/>
  <c r="AE8" i="13"/>
  <c r="T40" i="14"/>
  <c r="S62" i="8"/>
  <c r="S89" i="10" s="1"/>
  <c r="T64" i="14"/>
  <c r="T77" i="11" s="1"/>
  <c r="R134" i="11"/>
  <c r="T48" i="14"/>
  <c r="T46" i="14"/>
  <c r="T63" i="8" s="1"/>
  <c r="T90" i="10" s="1"/>
  <c r="T97" i="10" s="1"/>
  <c r="T49" i="14"/>
  <c r="T47" i="14"/>
  <c r="T64" i="8" s="1"/>
  <c r="T91" i="10" s="1"/>
  <c r="T37" i="17" s="1"/>
  <c r="U63" i="14"/>
  <c r="U62" i="14"/>
  <c r="U61" i="14"/>
  <c r="U60" i="14"/>
  <c r="U59" i="14"/>
  <c r="U58" i="14"/>
  <c r="U57" i="14"/>
  <c r="U56" i="14"/>
  <c r="U55" i="14"/>
  <c r="U54" i="14"/>
  <c r="U53" i="14"/>
  <c r="U52" i="14"/>
  <c r="U36" i="14"/>
  <c r="U35" i="14"/>
  <c r="U34" i="14"/>
  <c r="U33" i="14"/>
  <c r="U32" i="14"/>
  <c r="U31" i="14"/>
  <c r="U30" i="14"/>
  <c r="U29" i="14"/>
  <c r="U39" i="14" s="1"/>
  <c r="U28" i="14"/>
  <c r="U27" i="14"/>
  <c r="U26" i="14"/>
  <c r="U25" i="14"/>
  <c r="T5" i="13"/>
  <c r="T5" i="14"/>
  <c r="R65" i="11"/>
  <c r="R17" i="17" s="1"/>
  <c r="R30" i="17" s="1"/>
  <c r="S195" i="9"/>
  <c r="T163" i="9"/>
  <c r="R19" i="13"/>
  <c r="R21" i="13" s="1"/>
  <c r="Q37" i="13"/>
  <c r="Q61" i="6" s="1"/>
  <c r="T5" i="12"/>
  <c r="T5" i="6"/>
  <c r="I93" i="11"/>
  <c r="I94" i="11" s="1"/>
  <c r="I97" i="11"/>
  <c r="J59" i="10"/>
  <c r="J8" i="11" s="1"/>
  <c r="J9" i="17" s="1"/>
  <c r="J55" i="10"/>
  <c r="T60" i="8"/>
  <c r="U59" i="8"/>
  <c r="V22" i="7"/>
  <c r="S160" i="9"/>
  <c r="S176" i="9" s="1"/>
  <c r="R139" i="9"/>
  <c r="Q187" i="9"/>
  <c r="T68" i="11"/>
  <c r="T10" i="11"/>
  <c r="T22" i="17" s="1"/>
  <c r="T9" i="11"/>
  <c r="T10" i="17" s="1"/>
  <c r="T12" i="11"/>
  <c r="T11" i="11"/>
  <c r="T65" i="8"/>
  <c r="T92" i="10" s="1"/>
  <c r="T34" i="11"/>
  <c r="T35" i="11"/>
  <c r="T36" i="11"/>
  <c r="T37" i="11"/>
  <c r="T38" i="11"/>
  <c r="T39" i="11"/>
  <c r="T23" i="17" s="1"/>
  <c r="T40" i="11"/>
  <c r="T41" i="11"/>
  <c r="T42" i="11"/>
  <c r="T43" i="11"/>
  <c r="T44" i="11"/>
  <c r="T45" i="11"/>
  <c r="T46" i="11"/>
  <c r="T47" i="11"/>
  <c r="T48" i="11"/>
  <c r="T49" i="11"/>
  <c r="T29" i="11"/>
  <c r="T73" i="11"/>
  <c r="T58" i="11"/>
  <c r="T76" i="11"/>
  <c r="T74" i="11"/>
  <c r="T75" i="11"/>
  <c r="T18" i="11"/>
  <c r="T19" i="11" s="1"/>
  <c r="T24" i="17" s="1"/>
  <c r="T21" i="11"/>
  <c r="T22" i="11" s="1"/>
  <c r="T24" i="11"/>
  <c r="T25" i="11" s="1"/>
  <c r="T62" i="11"/>
  <c r="T100" i="9" s="1"/>
  <c r="S50" i="11"/>
  <c r="S51" i="11"/>
  <c r="U58" i="8"/>
  <c r="U57" i="8"/>
  <c r="T5" i="11"/>
  <c r="T5" i="10"/>
  <c r="T5" i="9"/>
  <c r="T55" i="8"/>
  <c r="U165" i="9"/>
  <c r="U181" i="9" s="1"/>
  <c r="U164" i="9"/>
  <c r="U180" i="9" s="1"/>
  <c r="V147" i="9"/>
  <c r="U162" i="9"/>
  <c r="U178" i="9" s="1"/>
  <c r="U159" i="9"/>
  <c r="U175" i="9" s="1"/>
  <c r="U158" i="9"/>
  <c r="U174" i="9" s="1"/>
  <c r="V11" i="7"/>
  <c r="U12" i="7"/>
  <c r="U5" i="17" s="1"/>
  <c r="U13" i="7"/>
  <c r="U27" i="10" s="1"/>
  <c r="G169" i="6" l="1"/>
  <c r="H87" i="11"/>
  <c r="H11" i="6" s="1"/>
  <c r="H12" i="6"/>
  <c r="N121" i="6"/>
  <c r="G98" i="17"/>
  <c r="G88" i="11"/>
  <c r="U80" i="11"/>
  <c r="U66" i="8"/>
  <c r="G189" i="9"/>
  <c r="G55" i="11"/>
  <c r="H141" i="9"/>
  <c r="H189" i="9" s="1"/>
  <c r="Q145" i="9"/>
  <c r="P193" i="9"/>
  <c r="T75" i="8"/>
  <c r="T57" i="10" s="1"/>
  <c r="T27" i="11"/>
  <c r="T28" i="11" s="1"/>
  <c r="T30" i="11" s="1"/>
  <c r="T16" i="17" s="1"/>
  <c r="T143" i="9"/>
  <c r="S191" i="9"/>
  <c r="T142" i="9"/>
  <c r="S190" i="9"/>
  <c r="M188" i="9"/>
  <c r="N140" i="9"/>
  <c r="T194" i="9"/>
  <c r="U146" i="9"/>
  <c r="T197" i="9"/>
  <c r="U149" i="9"/>
  <c r="Z98" i="11"/>
  <c r="Z105" i="11"/>
  <c r="U73" i="8"/>
  <c r="U74" i="8" s="1"/>
  <c r="U13" i="11"/>
  <c r="U13" i="17" s="1"/>
  <c r="AA52" i="17"/>
  <c r="AA128" i="10"/>
  <c r="AA73" i="10"/>
  <c r="AA74" i="10" s="1"/>
  <c r="AA127" i="10"/>
  <c r="AA51" i="17"/>
  <c r="AA50" i="17"/>
  <c r="AA126" i="10"/>
  <c r="AE49" i="10"/>
  <c r="Z102" i="11"/>
  <c r="Z103" i="11"/>
  <c r="Z106" i="11"/>
  <c r="AB123" i="10"/>
  <c r="AB41" i="17"/>
  <c r="I66" i="17"/>
  <c r="I99" i="17"/>
  <c r="I96" i="17"/>
  <c r="AB40" i="17"/>
  <c r="AB122" i="10"/>
  <c r="AB72" i="10"/>
  <c r="AB75" i="10" s="1"/>
  <c r="AB81" i="10" s="1"/>
  <c r="AB119" i="10"/>
  <c r="AB124" i="10" s="1"/>
  <c r="AB39" i="17"/>
  <c r="AB121" i="10"/>
  <c r="AD106" i="10"/>
  <c r="AD54" i="10"/>
  <c r="AD56" i="10" s="1"/>
  <c r="AD105" i="10"/>
  <c r="AD62" i="10"/>
  <c r="AD63" i="10"/>
  <c r="AD64" i="10"/>
  <c r="AD65" i="10"/>
  <c r="AD107" i="10" s="1"/>
  <c r="AD66" i="10"/>
  <c r="AD17" i="11"/>
  <c r="AD20" i="11"/>
  <c r="AD23" i="11" s="1"/>
  <c r="AD26" i="11"/>
  <c r="O165" i="6"/>
  <c r="O134" i="6"/>
  <c r="O128" i="6"/>
  <c r="O122" i="6"/>
  <c r="O176" i="6"/>
  <c r="O8" i="6"/>
  <c r="O92" i="11"/>
  <c r="O15" i="6"/>
  <c r="AC116" i="10"/>
  <c r="AC80" i="10"/>
  <c r="AC67" i="10"/>
  <c r="AC68" i="10" s="1"/>
  <c r="AC117" i="10"/>
  <c r="AC71" i="10"/>
  <c r="AC118" i="10"/>
  <c r="AC83" i="10"/>
  <c r="O143" i="6"/>
  <c r="Q130" i="11"/>
  <c r="Q101" i="10"/>
  <c r="H54" i="12"/>
  <c r="G54" i="12"/>
  <c r="N157" i="6"/>
  <c r="N126" i="6"/>
  <c r="O158" i="6"/>
  <c r="O127" i="6"/>
  <c r="P9" i="6"/>
  <c r="P69" i="11"/>
  <c r="P70" i="11" s="1"/>
  <c r="P89" i="11" s="1"/>
  <c r="P79" i="11"/>
  <c r="P81" i="11" s="1"/>
  <c r="P90" i="11" s="1"/>
  <c r="P16" i="6" s="1"/>
  <c r="P51" i="12"/>
  <c r="P41" i="6" s="1"/>
  <c r="P45" i="12"/>
  <c r="P39" i="6" s="1"/>
  <c r="T12" i="17"/>
  <c r="T11" i="17"/>
  <c r="T15" i="17"/>
  <c r="Q49" i="17"/>
  <c r="Q48" i="17"/>
  <c r="Q61" i="17" s="1"/>
  <c r="Q47" i="17"/>
  <c r="Q60" i="17" s="1"/>
  <c r="Q46" i="17"/>
  <c r="Q59" i="17" s="1"/>
  <c r="R96" i="10"/>
  <c r="R36" i="17"/>
  <c r="R42" i="17" s="1"/>
  <c r="R45" i="17" s="1"/>
  <c r="T98" i="10"/>
  <c r="T43" i="17"/>
  <c r="J29" i="17"/>
  <c r="J19" i="17"/>
  <c r="T31" i="17"/>
  <c r="T99" i="10"/>
  <c r="T38" i="17"/>
  <c r="T44" i="17" s="1"/>
  <c r="U93" i="10"/>
  <c r="S192" i="9"/>
  <c r="AF28" i="12"/>
  <c r="AF42" i="12" s="1"/>
  <c r="AF34" i="7"/>
  <c r="AF29" i="10" s="1"/>
  <c r="AF30" i="10" s="1"/>
  <c r="AE32" i="13"/>
  <c r="AE20" i="13"/>
  <c r="AE27" i="13" s="1"/>
  <c r="AE10" i="13"/>
  <c r="AE93" i="6"/>
  <c r="AF8" i="13"/>
  <c r="AG16" i="7"/>
  <c r="AG34" i="7" s="1"/>
  <c r="AG29" i="10" s="1"/>
  <c r="AG30" i="10" s="1"/>
  <c r="AF17" i="7"/>
  <c r="AF27" i="6" s="1"/>
  <c r="U64" i="14"/>
  <c r="U77" i="11" s="1"/>
  <c r="U40" i="14"/>
  <c r="T62" i="8"/>
  <c r="T89" i="10" s="1"/>
  <c r="U49" i="14"/>
  <c r="U48" i="14"/>
  <c r="U47" i="14"/>
  <c r="U64" i="8" s="1"/>
  <c r="U91" i="10" s="1"/>
  <c r="U37" i="17" s="1"/>
  <c r="U46" i="14"/>
  <c r="U63" i="8" s="1"/>
  <c r="U90" i="10" s="1"/>
  <c r="U97" i="10" s="1"/>
  <c r="V63" i="14"/>
  <c r="V62" i="14"/>
  <c r="V61" i="14"/>
  <c r="V60" i="14"/>
  <c r="V59" i="14"/>
  <c r="V58" i="14"/>
  <c r="V57" i="14"/>
  <c r="V56" i="14"/>
  <c r="V55" i="14"/>
  <c r="V54" i="14"/>
  <c r="V53" i="14"/>
  <c r="V52" i="14"/>
  <c r="V36" i="14"/>
  <c r="V35" i="14"/>
  <c r="V34" i="14"/>
  <c r="V33" i="14"/>
  <c r="V32" i="14"/>
  <c r="V31" i="14"/>
  <c r="V30" i="14"/>
  <c r="V29" i="14"/>
  <c r="V39" i="14" s="1"/>
  <c r="V28" i="14"/>
  <c r="V27" i="14"/>
  <c r="V26" i="14"/>
  <c r="V25" i="14"/>
  <c r="U5" i="13"/>
  <c r="U5" i="14"/>
  <c r="T91" i="11"/>
  <c r="T17" i="6" s="1"/>
  <c r="T179" i="9"/>
  <c r="T195" i="9" s="1"/>
  <c r="S19" i="13"/>
  <c r="S21" i="13" s="1"/>
  <c r="R37" i="13"/>
  <c r="R61" i="6" s="1"/>
  <c r="U163" i="9"/>
  <c r="U5" i="12"/>
  <c r="U5" i="6"/>
  <c r="I47" i="12"/>
  <c r="I49" i="6" s="1"/>
  <c r="I52" i="12"/>
  <c r="I50" i="6" s="1"/>
  <c r="I113" i="11"/>
  <c r="I127" i="11" s="1"/>
  <c r="I112" i="11"/>
  <c r="I126" i="11" s="1"/>
  <c r="I111" i="11"/>
  <c r="I125" i="11" s="1"/>
  <c r="I110" i="11"/>
  <c r="I124" i="11" s="1"/>
  <c r="I109" i="11"/>
  <c r="I123" i="11" s="1"/>
  <c r="J46" i="12"/>
  <c r="J14" i="11"/>
  <c r="J84" i="11" s="1"/>
  <c r="K52" i="10"/>
  <c r="J48" i="12"/>
  <c r="U60" i="8"/>
  <c r="V59" i="8"/>
  <c r="W22" i="7"/>
  <c r="S156" i="9"/>
  <c r="S172" i="9" s="1"/>
  <c r="U144" i="9"/>
  <c r="T160" i="9"/>
  <c r="T176" i="9" s="1"/>
  <c r="T192" i="9" s="1"/>
  <c r="R187" i="9"/>
  <c r="S139" i="9"/>
  <c r="S108" i="10"/>
  <c r="U68" i="11"/>
  <c r="U10" i="11"/>
  <c r="U22" i="17" s="1"/>
  <c r="U9" i="11"/>
  <c r="U10" i="17" s="1"/>
  <c r="U11" i="11"/>
  <c r="U12" i="11"/>
  <c r="U65" i="8"/>
  <c r="U92" i="10" s="1"/>
  <c r="U34" i="11"/>
  <c r="U35" i="11"/>
  <c r="U36" i="11"/>
  <c r="U37" i="11"/>
  <c r="U38" i="11"/>
  <c r="U39" i="11"/>
  <c r="U23" i="17" s="1"/>
  <c r="U40" i="11"/>
  <c r="U41" i="11"/>
  <c r="U42" i="11"/>
  <c r="U43" i="11"/>
  <c r="U44" i="11"/>
  <c r="U45" i="11"/>
  <c r="U46" i="11"/>
  <c r="U47" i="11"/>
  <c r="U48" i="11"/>
  <c r="U49" i="11"/>
  <c r="U29" i="11"/>
  <c r="U75" i="11"/>
  <c r="U76" i="11"/>
  <c r="U58" i="11"/>
  <c r="U73" i="11"/>
  <c r="U74" i="11"/>
  <c r="U18" i="11"/>
  <c r="U19" i="11" s="1"/>
  <c r="U24" i="17" s="1"/>
  <c r="U21" i="11"/>
  <c r="U22" i="11" s="1"/>
  <c r="U24" i="11"/>
  <c r="U25" i="11" s="1"/>
  <c r="U62" i="11"/>
  <c r="U100" i="9" s="1"/>
  <c r="S65" i="11"/>
  <c r="S17" i="17" s="1"/>
  <c r="T50" i="11"/>
  <c r="T51" i="11"/>
  <c r="S52" i="11"/>
  <c r="V58" i="8"/>
  <c r="V57" i="8"/>
  <c r="U5" i="11"/>
  <c r="U5" i="10"/>
  <c r="U5" i="9"/>
  <c r="U55" i="8"/>
  <c r="V165" i="9"/>
  <c r="V181" i="9" s="1"/>
  <c r="V164" i="9"/>
  <c r="V180" i="9" s="1"/>
  <c r="W147" i="9"/>
  <c r="V162" i="9"/>
  <c r="V178" i="9" s="1"/>
  <c r="V159" i="9"/>
  <c r="V175" i="9" s="1"/>
  <c r="V158" i="9"/>
  <c r="V174" i="9" s="1"/>
  <c r="V12" i="7"/>
  <c r="V5" i="17" s="1"/>
  <c r="V13" i="7"/>
  <c r="V27" i="10" s="1"/>
  <c r="W11" i="7"/>
  <c r="I169" i="6" l="1"/>
  <c r="H156" i="6"/>
  <c r="H123" i="6"/>
  <c r="H168" i="6"/>
  <c r="H13" i="6"/>
  <c r="G87" i="11"/>
  <c r="G11" i="6" s="1"/>
  <c r="G12" i="6"/>
  <c r="O121" i="6"/>
  <c r="V80" i="11"/>
  <c r="V66" i="8"/>
  <c r="I141" i="9"/>
  <c r="H55" i="11"/>
  <c r="Q193" i="9"/>
  <c r="R145" i="9"/>
  <c r="U142" i="9"/>
  <c r="T190" i="9"/>
  <c r="U143" i="9"/>
  <c r="T191" i="9"/>
  <c r="N188" i="9"/>
  <c r="O140" i="9"/>
  <c r="P143" i="6"/>
  <c r="V73" i="8"/>
  <c r="V74" i="8" s="1"/>
  <c r="I189" i="9"/>
  <c r="J141" i="9"/>
  <c r="I55" i="11"/>
  <c r="U194" i="9"/>
  <c r="V146" i="9"/>
  <c r="U197" i="9"/>
  <c r="V149" i="9"/>
  <c r="U75" i="8"/>
  <c r="U57" i="10" s="1"/>
  <c r="U27" i="11"/>
  <c r="U28" i="11" s="1"/>
  <c r="U30" i="11" s="1"/>
  <c r="U16" i="17" s="1"/>
  <c r="V13" i="11"/>
  <c r="V13" i="17" s="1"/>
  <c r="AE105" i="10"/>
  <c r="AE62" i="10"/>
  <c r="AE63" i="10"/>
  <c r="AE64" i="10"/>
  <c r="AE65" i="10"/>
  <c r="AE107" i="10" s="1"/>
  <c r="AE66" i="10"/>
  <c r="AE17" i="11"/>
  <c r="AE20" i="11"/>
  <c r="AE23" i="11" s="1"/>
  <c r="AE26" i="11"/>
  <c r="AE106" i="10"/>
  <c r="AE54" i="10"/>
  <c r="AE56" i="10" s="1"/>
  <c r="AA82" i="10"/>
  <c r="AA85" i="10" s="1"/>
  <c r="AA77" i="10"/>
  <c r="AA84" i="17"/>
  <c r="AA86" i="17" s="1"/>
  <c r="I97" i="17"/>
  <c r="I67" i="17"/>
  <c r="AB52" i="17"/>
  <c r="AB128" i="10"/>
  <c r="AB127" i="10"/>
  <c r="AB51" i="17"/>
  <c r="AC123" i="10"/>
  <c r="AC41" i="17"/>
  <c r="AC119" i="10"/>
  <c r="AC124" i="10" s="1"/>
  <c r="AB73" i="10"/>
  <c r="AB74" i="10" s="1"/>
  <c r="AC40" i="17"/>
  <c r="AC122" i="10"/>
  <c r="AD117" i="10"/>
  <c r="AD71" i="10"/>
  <c r="AD72" i="10" s="1"/>
  <c r="AB50" i="17"/>
  <c r="AB126" i="10"/>
  <c r="AD83" i="10"/>
  <c r="AD118" i="10"/>
  <c r="O157" i="6"/>
  <c r="O14" i="6"/>
  <c r="O125" i="6" s="1"/>
  <c r="O126" i="6"/>
  <c r="Q51" i="12"/>
  <c r="Q41" i="6" s="1"/>
  <c r="Q45" i="12"/>
  <c r="Q39" i="6" s="1"/>
  <c r="P8" i="6"/>
  <c r="P134" i="6"/>
  <c r="P128" i="6"/>
  <c r="P176" i="6"/>
  <c r="P122" i="6"/>
  <c r="P165" i="6"/>
  <c r="P15" i="6"/>
  <c r="P92" i="11"/>
  <c r="P158" i="6"/>
  <c r="P127" i="6"/>
  <c r="Q9" i="6"/>
  <c r="Q69" i="11"/>
  <c r="Q70" i="11" s="1"/>
  <c r="Q89" i="11" s="1"/>
  <c r="Q79" i="11"/>
  <c r="Q81" i="11" s="1"/>
  <c r="Q90" i="11" s="1"/>
  <c r="Q16" i="6" s="1"/>
  <c r="AD67" i="10"/>
  <c r="AD68" i="10" s="1"/>
  <c r="AD116" i="10"/>
  <c r="AD80" i="10"/>
  <c r="AC72" i="10"/>
  <c r="AC75" i="10" s="1"/>
  <c r="AC81" i="10" s="1"/>
  <c r="R130" i="11"/>
  <c r="R101" i="10"/>
  <c r="AC121" i="10"/>
  <c r="AC39" i="17"/>
  <c r="H103" i="6"/>
  <c r="H71" i="6"/>
  <c r="H37" i="12"/>
  <c r="G103" i="6"/>
  <c r="G71" i="6"/>
  <c r="G37" i="12"/>
  <c r="U12" i="17"/>
  <c r="U11" i="17"/>
  <c r="U15" i="17"/>
  <c r="J33" i="17"/>
  <c r="J57" i="17"/>
  <c r="J64" i="17" s="1"/>
  <c r="J56" i="17"/>
  <c r="J63" i="17" s="1"/>
  <c r="J55" i="17"/>
  <c r="J62" i="17" s="1"/>
  <c r="R49" i="17"/>
  <c r="R48" i="17"/>
  <c r="R61" i="17" s="1"/>
  <c r="R47" i="17"/>
  <c r="R60" i="17" s="1"/>
  <c r="R46" i="17"/>
  <c r="R59" i="17" s="1"/>
  <c r="S96" i="10"/>
  <c r="S101" i="10" s="1"/>
  <c r="S36" i="17"/>
  <c r="S42" i="17" s="1"/>
  <c r="S45" i="17" s="1"/>
  <c r="U98" i="10"/>
  <c r="U43" i="17"/>
  <c r="U31" i="17"/>
  <c r="U99" i="10"/>
  <c r="U38" i="17"/>
  <c r="U44" i="17" s="1"/>
  <c r="V93" i="10"/>
  <c r="AF48" i="10"/>
  <c r="AF47" i="10"/>
  <c r="AF46" i="10"/>
  <c r="AF45" i="10"/>
  <c r="AF44" i="10"/>
  <c r="AF43" i="10"/>
  <c r="AF42" i="10"/>
  <c r="AF41" i="10"/>
  <c r="AF40" i="10"/>
  <c r="AF39" i="10"/>
  <c r="AF38" i="10"/>
  <c r="AF37" i="10"/>
  <c r="AF36" i="10"/>
  <c r="AF35" i="10"/>
  <c r="AF34" i="10"/>
  <c r="AF33" i="10"/>
  <c r="AG48" i="10"/>
  <c r="AG47" i="10"/>
  <c r="AG46" i="10"/>
  <c r="AG45" i="10"/>
  <c r="AG44" i="10"/>
  <c r="AG43" i="10"/>
  <c r="AG42" i="10"/>
  <c r="AG41" i="10"/>
  <c r="AG40" i="10"/>
  <c r="AG39" i="10"/>
  <c r="AG38" i="10"/>
  <c r="AG37" i="10"/>
  <c r="AG36" i="10"/>
  <c r="AG35" i="10"/>
  <c r="AG34" i="10"/>
  <c r="AG33" i="10"/>
  <c r="AE80" i="6"/>
  <c r="AF10" i="13"/>
  <c r="AF32" i="13"/>
  <c r="AF20" i="13"/>
  <c r="AF27" i="13" s="1"/>
  <c r="AG28" i="12"/>
  <c r="AG42" i="12" s="1"/>
  <c r="AG8" i="13"/>
  <c r="AH16" i="7"/>
  <c r="AH34" i="7" s="1"/>
  <c r="AH29" i="10" s="1"/>
  <c r="AH30" i="10" s="1"/>
  <c r="AG17" i="7"/>
  <c r="AG27" i="6" s="1"/>
  <c r="AF93" i="6"/>
  <c r="V64" i="14"/>
  <c r="V77" i="11" s="1"/>
  <c r="V40" i="14"/>
  <c r="U62" i="8"/>
  <c r="U89" i="10" s="1"/>
  <c r="V46" i="14"/>
  <c r="V63" i="8" s="1"/>
  <c r="V90" i="10" s="1"/>
  <c r="V97" i="10" s="1"/>
  <c r="V47" i="14"/>
  <c r="V64" i="8" s="1"/>
  <c r="V91" i="10" s="1"/>
  <c r="V37" i="17" s="1"/>
  <c r="V48" i="14"/>
  <c r="V49" i="14"/>
  <c r="W63" i="14"/>
  <c r="W62" i="14"/>
  <c r="W61" i="14"/>
  <c r="W60" i="14"/>
  <c r="W59" i="14"/>
  <c r="W58" i="14"/>
  <c r="W57" i="14"/>
  <c r="W56" i="14"/>
  <c r="W55" i="14"/>
  <c r="W54" i="14"/>
  <c r="W53" i="14"/>
  <c r="W52" i="14"/>
  <c r="V5" i="13"/>
  <c r="V5" i="14"/>
  <c r="W36" i="14"/>
  <c r="W35" i="14"/>
  <c r="W34" i="14"/>
  <c r="W33" i="14"/>
  <c r="W32" i="14"/>
  <c r="W31" i="14"/>
  <c r="W30" i="14"/>
  <c r="W29" i="14"/>
  <c r="W39" i="14" s="1"/>
  <c r="W28" i="14"/>
  <c r="W27" i="14"/>
  <c r="W26" i="14"/>
  <c r="W25" i="14"/>
  <c r="T19" i="13"/>
  <c r="T21" i="13" s="1"/>
  <c r="S37" i="13"/>
  <c r="S61" i="6" s="1"/>
  <c r="U179" i="9"/>
  <c r="U91" i="11"/>
  <c r="U17" i="6" s="1"/>
  <c r="V5" i="12"/>
  <c r="V5" i="6"/>
  <c r="J86" i="11"/>
  <c r="J49" i="12"/>
  <c r="J40" i="6" s="1"/>
  <c r="K53" i="10"/>
  <c r="I53" i="12"/>
  <c r="I54" i="12" s="1"/>
  <c r="I37" i="12" s="1"/>
  <c r="T65" i="11"/>
  <c r="T17" i="17" s="1"/>
  <c r="W59" i="8"/>
  <c r="X22" i="7"/>
  <c r="T156" i="9"/>
  <c r="T172" i="9" s="1"/>
  <c r="U160" i="9"/>
  <c r="U176" i="9" s="1"/>
  <c r="U192" i="9" s="1"/>
  <c r="V144" i="9"/>
  <c r="S155" i="9"/>
  <c r="T139" i="9"/>
  <c r="V68" i="11"/>
  <c r="V10" i="11"/>
  <c r="V22" i="17" s="1"/>
  <c r="V9" i="11"/>
  <c r="V10" i="17" s="1"/>
  <c r="V11" i="11"/>
  <c r="V12" i="11"/>
  <c r="V65" i="8"/>
  <c r="V92" i="10" s="1"/>
  <c r="V34" i="11"/>
  <c r="V35" i="11"/>
  <c r="V36" i="11"/>
  <c r="V37" i="11"/>
  <c r="V38" i="11"/>
  <c r="V39" i="11"/>
  <c r="V23" i="17" s="1"/>
  <c r="V40" i="11"/>
  <c r="V41" i="11"/>
  <c r="V42" i="11"/>
  <c r="V43" i="11"/>
  <c r="V44" i="11"/>
  <c r="V45" i="11"/>
  <c r="V46" i="11"/>
  <c r="V47" i="11"/>
  <c r="V48" i="11"/>
  <c r="V49" i="11"/>
  <c r="V29" i="11"/>
  <c r="V74" i="11"/>
  <c r="V75" i="11"/>
  <c r="V76" i="11"/>
  <c r="V73" i="11"/>
  <c r="V58" i="11"/>
  <c r="V18" i="11"/>
  <c r="V19" i="11" s="1"/>
  <c r="V24" i="17" s="1"/>
  <c r="V21" i="11"/>
  <c r="V22" i="11" s="1"/>
  <c r="V24" i="11"/>
  <c r="V25" i="11" s="1"/>
  <c r="V62" i="11"/>
  <c r="V100" i="9" s="1"/>
  <c r="U51" i="11"/>
  <c r="T52" i="11"/>
  <c r="V60" i="8"/>
  <c r="U50" i="11"/>
  <c r="V5" i="11"/>
  <c r="V5" i="10"/>
  <c r="V5" i="9"/>
  <c r="V55" i="8"/>
  <c r="W58" i="8"/>
  <c r="W57" i="8"/>
  <c r="W165" i="9"/>
  <c r="W181" i="9" s="1"/>
  <c r="W164" i="9"/>
  <c r="W180" i="9" s="1"/>
  <c r="X147" i="9"/>
  <c r="W162" i="9"/>
  <c r="W178" i="9" s="1"/>
  <c r="W159" i="9"/>
  <c r="W175" i="9" s="1"/>
  <c r="W158" i="9"/>
  <c r="W174" i="9" s="1"/>
  <c r="W12" i="7"/>
  <c r="W5" i="17" s="1"/>
  <c r="W13" i="7"/>
  <c r="W27" i="10" s="1"/>
  <c r="X11" i="7"/>
  <c r="H18" i="6" l="1"/>
  <c r="H155" i="6"/>
  <c r="H177" i="6"/>
  <c r="H178" i="6"/>
  <c r="H124" i="6"/>
  <c r="G123" i="6"/>
  <c r="G168" i="6"/>
  <c r="G156" i="6"/>
  <c r="G13" i="6"/>
  <c r="P121" i="6"/>
  <c r="I98" i="17"/>
  <c r="I88" i="11"/>
  <c r="W80" i="11"/>
  <c r="W66" i="8"/>
  <c r="S145" i="9"/>
  <c r="T145" i="9" s="1"/>
  <c r="R193" i="9"/>
  <c r="V142" i="9"/>
  <c r="U190" i="9"/>
  <c r="V143" i="9"/>
  <c r="U191" i="9"/>
  <c r="P140" i="9"/>
  <c r="O188" i="9"/>
  <c r="J189" i="9"/>
  <c r="K141" i="9"/>
  <c r="J55" i="11"/>
  <c r="AA106" i="11"/>
  <c r="AA104" i="11"/>
  <c r="V194" i="9"/>
  <c r="W146" i="9"/>
  <c r="AD119" i="10"/>
  <c r="AD124" i="10" s="1"/>
  <c r="V197" i="9"/>
  <c r="W149" i="9"/>
  <c r="V75" i="8"/>
  <c r="V57" i="10" s="1"/>
  <c r="V27" i="11"/>
  <c r="V28" i="11" s="1"/>
  <c r="V30" i="11" s="1"/>
  <c r="V16" i="17" s="1"/>
  <c r="W73" i="8"/>
  <c r="W74" i="8" s="1"/>
  <c r="W13" i="11"/>
  <c r="W13" i="17" s="1"/>
  <c r="AE116" i="10"/>
  <c r="AE80" i="10"/>
  <c r="AE67" i="10"/>
  <c r="AE68" i="10" s="1"/>
  <c r="AE71" i="10"/>
  <c r="AE117" i="10"/>
  <c r="AE83" i="10"/>
  <c r="AE118" i="10"/>
  <c r="AA102" i="11"/>
  <c r="AA98" i="11"/>
  <c r="AA103" i="11"/>
  <c r="AA105" i="11"/>
  <c r="AC52" i="17"/>
  <c r="AC128" i="10"/>
  <c r="AC127" i="10"/>
  <c r="AC51" i="17"/>
  <c r="AD123" i="10"/>
  <c r="AD41" i="17"/>
  <c r="AD40" i="17"/>
  <c r="AD122" i="10"/>
  <c r="AD75" i="10"/>
  <c r="AD81" i="10" s="1"/>
  <c r="AD73" i="10"/>
  <c r="AB77" i="10"/>
  <c r="AB82" i="10"/>
  <c r="AB85" i="10" s="1"/>
  <c r="AB84" i="17"/>
  <c r="AB86" i="17" s="1"/>
  <c r="P14" i="6"/>
  <c r="P125" i="6" s="1"/>
  <c r="P126" i="6"/>
  <c r="P157" i="6"/>
  <c r="AC73" i="10"/>
  <c r="AC74" i="10" s="1"/>
  <c r="Q8" i="6"/>
  <c r="Q134" i="6"/>
  <c r="Q128" i="6"/>
  <c r="Q122" i="6"/>
  <c r="Q176" i="6"/>
  <c r="Q143" i="6"/>
  <c r="Q165" i="6"/>
  <c r="Q15" i="6"/>
  <c r="Q14" i="6" s="1"/>
  <c r="Q125" i="6" s="1"/>
  <c r="Q92" i="11"/>
  <c r="R69" i="11"/>
  <c r="R70" i="11" s="1"/>
  <c r="R89" i="11" s="1"/>
  <c r="R15" i="6" s="1"/>
  <c r="R9" i="6"/>
  <c r="R79" i="11"/>
  <c r="R81" i="11" s="1"/>
  <c r="R90" i="11" s="1"/>
  <c r="R51" i="12"/>
  <c r="R41" i="6" s="1"/>
  <c r="R45" i="12"/>
  <c r="R39" i="6" s="1"/>
  <c r="J65" i="17"/>
  <c r="AD39" i="17"/>
  <c r="AD121" i="10"/>
  <c r="AF49" i="10"/>
  <c r="AC50" i="17"/>
  <c r="AC126" i="10"/>
  <c r="AG49" i="10"/>
  <c r="AG105" i="10" s="1"/>
  <c r="V12" i="17"/>
  <c r="V11" i="17"/>
  <c r="V15" i="17"/>
  <c r="J95" i="17"/>
  <c r="J94" i="17"/>
  <c r="S49" i="17"/>
  <c r="S48" i="17"/>
  <c r="S47" i="17"/>
  <c r="S46" i="17"/>
  <c r="T96" i="10"/>
  <c r="T101" i="10" s="1"/>
  <c r="T36" i="17"/>
  <c r="T42" i="17" s="1"/>
  <c r="T45" i="17" s="1"/>
  <c r="V98" i="10"/>
  <c r="V43" i="17"/>
  <c r="V31" i="17"/>
  <c r="V99" i="10"/>
  <c r="V38" i="17"/>
  <c r="V44" i="17" s="1"/>
  <c r="W93" i="10"/>
  <c r="AH48" i="10"/>
  <c r="AH47" i="10"/>
  <c r="AH46" i="10"/>
  <c r="AH45" i="10"/>
  <c r="AH44" i="10"/>
  <c r="AH43" i="10"/>
  <c r="AH42" i="10"/>
  <c r="AH41" i="10"/>
  <c r="AH40" i="10"/>
  <c r="AH39" i="10"/>
  <c r="AH38" i="10"/>
  <c r="AH37" i="10"/>
  <c r="AH36" i="10"/>
  <c r="AH35" i="10"/>
  <c r="AH34" i="10"/>
  <c r="AH33" i="10"/>
  <c r="S69" i="11"/>
  <c r="S70" i="11" s="1"/>
  <c r="S89" i="11" s="1"/>
  <c r="S15" i="6" s="1"/>
  <c r="S51" i="12"/>
  <c r="S41" i="6" s="1"/>
  <c r="S45" i="12"/>
  <c r="S39" i="6" s="1"/>
  <c r="AF80" i="6"/>
  <c r="AG32" i="13"/>
  <c r="AG20" i="13"/>
  <c r="AG27" i="13" s="1"/>
  <c r="AG10" i="13"/>
  <c r="AH28" i="12"/>
  <c r="AH42" i="12" s="1"/>
  <c r="AH8" i="13"/>
  <c r="AH17" i="7"/>
  <c r="AH27" i="6" s="1"/>
  <c r="AI16" i="7"/>
  <c r="AI34" i="7" s="1"/>
  <c r="AI29" i="10" s="1"/>
  <c r="AI30" i="10" s="1"/>
  <c r="AG93" i="6"/>
  <c r="S9" i="6"/>
  <c r="S79" i="11"/>
  <c r="Q158" i="6"/>
  <c r="Q127" i="6"/>
  <c r="W64" i="14"/>
  <c r="W77" i="11" s="1"/>
  <c r="W40" i="14"/>
  <c r="V62" i="8"/>
  <c r="V89" i="10" s="1"/>
  <c r="W49" i="14"/>
  <c r="W46" i="14"/>
  <c r="W63" i="8" s="1"/>
  <c r="W90" i="10" s="1"/>
  <c r="W97" i="10" s="1"/>
  <c r="W47" i="14"/>
  <c r="W64" i="8" s="1"/>
  <c r="W91" i="10" s="1"/>
  <c r="W37" i="17" s="1"/>
  <c r="W48" i="14"/>
  <c r="X63" i="14"/>
  <c r="X62" i="14"/>
  <c r="X61" i="14"/>
  <c r="X60" i="14"/>
  <c r="X59" i="14"/>
  <c r="X58" i="14"/>
  <c r="X57" i="14"/>
  <c r="X56" i="14"/>
  <c r="X55" i="14"/>
  <c r="X54" i="14"/>
  <c r="X53" i="14"/>
  <c r="X52" i="14"/>
  <c r="W5" i="13"/>
  <c r="W5" i="14"/>
  <c r="X36" i="14"/>
  <c r="X35" i="14"/>
  <c r="X34" i="14"/>
  <c r="X33" i="14"/>
  <c r="X32" i="14"/>
  <c r="X31" i="14"/>
  <c r="X30" i="14"/>
  <c r="X29" i="14"/>
  <c r="X39" i="14" s="1"/>
  <c r="X28" i="14"/>
  <c r="X27" i="14"/>
  <c r="X26" i="14"/>
  <c r="X25" i="14"/>
  <c r="T108" i="10"/>
  <c r="U65" i="11"/>
  <c r="U17" i="17" s="1"/>
  <c r="I71" i="6"/>
  <c r="I103" i="6"/>
  <c r="U19" i="13"/>
  <c r="U21" i="13" s="1"/>
  <c r="T37" i="13"/>
  <c r="T61" i="6" s="1"/>
  <c r="V163" i="9"/>
  <c r="U195" i="9"/>
  <c r="W5" i="12"/>
  <c r="W5" i="6"/>
  <c r="J97" i="11"/>
  <c r="J93" i="11"/>
  <c r="J94" i="11" s="1"/>
  <c r="K59" i="10"/>
  <c r="K8" i="11" s="1"/>
  <c r="K9" i="17" s="1"/>
  <c r="K55" i="10"/>
  <c r="U52" i="11"/>
  <c r="V51" i="11"/>
  <c r="X59" i="8"/>
  <c r="Y22" i="7"/>
  <c r="S161" i="9"/>
  <c r="U156" i="9"/>
  <c r="U172" i="9" s="1"/>
  <c r="V160" i="9"/>
  <c r="V176" i="9" s="1"/>
  <c r="V192" i="9" s="1"/>
  <c r="W144" i="9"/>
  <c r="S171" i="9"/>
  <c r="T155" i="9"/>
  <c r="U139" i="9"/>
  <c r="U108" i="10"/>
  <c r="W10" i="11"/>
  <c r="W22" i="17" s="1"/>
  <c r="W68" i="11"/>
  <c r="W9" i="11"/>
  <c r="W10" i="17" s="1"/>
  <c r="W12" i="11"/>
  <c r="W11" i="11"/>
  <c r="W65" i="8"/>
  <c r="W92" i="10" s="1"/>
  <c r="W34" i="11"/>
  <c r="W35" i="11"/>
  <c r="W36" i="11"/>
  <c r="W37" i="11"/>
  <c r="W38" i="11"/>
  <c r="W39" i="11"/>
  <c r="W23" i="17" s="1"/>
  <c r="W40" i="11"/>
  <c r="W41" i="11"/>
  <c r="W42" i="11"/>
  <c r="W43" i="11"/>
  <c r="W44" i="11"/>
  <c r="W45" i="11"/>
  <c r="W46" i="11"/>
  <c r="W47" i="11"/>
  <c r="W48" i="11"/>
  <c r="W49" i="11"/>
  <c r="W29" i="11"/>
  <c r="W75" i="11"/>
  <c r="W76" i="11"/>
  <c r="W74" i="11"/>
  <c r="W73" i="11"/>
  <c r="W58" i="11"/>
  <c r="W18" i="11"/>
  <c r="W19" i="11" s="1"/>
  <c r="W24" i="17" s="1"/>
  <c r="W21" i="11"/>
  <c r="W22" i="11" s="1"/>
  <c r="W24" i="11"/>
  <c r="W25" i="11" s="1"/>
  <c r="W62" i="11"/>
  <c r="W100" i="9" s="1"/>
  <c r="V50" i="11"/>
  <c r="W60" i="8"/>
  <c r="W5" i="11"/>
  <c r="W5" i="10"/>
  <c r="W5" i="9"/>
  <c r="W55" i="8"/>
  <c r="X58" i="8"/>
  <c r="X57" i="8"/>
  <c r="X165" i="9"/>
  <c r="X181" i="9" s="1"/>
  <c r="X164" i="9"/>
  <c r="X180" i="9" s="1"/>
  <c r="Y147" i="9"/>
  <c r="X162" i="9"/>
  <c r="X178" i="9" s="1"/>
  <c r="X159" i="9"/>
  <c r="X175" i="9" s="1"/>
  <c r="X158" i="9"/>
  <c r="X174" i="9" s="1"/>
  <c r="X12" i="7"/>
  <c r="X5" i="17" s="1"/>
  <c r="X13" i="7"/>
  <c r="X27" i="10" s="1"/>
  <c r="Y11" i="7"/>
  <c r="H129" i="6" l="1"/>
  <c r="H24" i="6"/>
  <c r="G155" i="6"/>
  <c r="G178" i="6"/>
  <c r="G124" i="6"/>
  <c r="G177" i="6"/>
  <c r="G18" i="6"/>
  <c r="I87" i="11"/>
  <c r="I11" i="6" s="1"/>
  <c r="I12" i="6"/>
  <c r="Q121" i="6"/>
  <c r="X80" i="11"/>
  <c r="X66" i="8"/>
  <c r="W142" i="9"/>
  <c r="V190" i="9"/>
  <c r="W143" i="9"/>
  <c r="V191" i="9"/>
  <c r="Q140" i="9"/>
  <c r="P188" i="9"/>
  <c r="K189" i="9"/>
  <c r="L141" i="9"/>
  <c r="K55" i="11"/>
  <c r="W194" i="9"/>
  <c r="X146" i="9"/>
  <c r="X73" i="8"/>
  <c r="AE123" i="10"/>
  <c r="AE41" i="17"/>
  <c r="X143" i="9"/>
  <c r="Y143" i="9" s="1"/>
  <c r="W191" i="9"/>
  <c r="R143" i="6"/>
  <c r="W27" i="11"/>
  <c r="W28" i="11" s="1"/>
  <c r="W30" i="11" s="1"/>
  <c r="W16" i="17" s="1"/>
  <c r="W75" i="8"/>
  <c r="W57" i="10" s="1"/>
  <c r="W197" i="9"/>
  <c r="X149" i="9"/>
  <c r="J66" i="17"/>
  <c r="J99" i="17"/>
  <c r="AE119" i="10"/>
  <c r="AE124" i="10" s="1"/>
  <c r="AE40" i="17"/>
  <c r="AE122" i="10"/>
  <c r="X74" i="8"/>
  <c r="AE72" i="10"/>
  <c r="X13" i="11"/>
  <c r="X13" i="17" s="1"/>
  <c r="AE121" i="10"/>
  <c r="AE39" i="17"/>
  <c r="AD52" i="17"/>
  <c r="AD128" i="10"/>
  <c r="AD127" i="10"/>
  <c r="AD51" i="17"/>
  <c r="AD82" i="10"/>
  <c r="AD85" i="10" s="1"/>
  <c r="AD74" i="10"/>
  <c r="AD84" i="17"/>
  <c r="AD86" i="17" s="1"/>
  <c r="AD77" i="10"/>
  <c r="AF62" i="10"/>
  <c r="AF105" i="10"/>
  <c r="AF66" i="10"/>
  <c r="AF63" i="10"/>
  <c r="AF64" i="10"/>
  <c r="AF65" i="10"/>
  <c r="AF107" i="10" s="1"/>
  <c r="AB106" i="11"/>
  <c r="AB105" i="11"/>
  <c r="AB98" i="11"/>
  <c r="AB103" i="11"/>
  <c r="AB102" i="11"/>
  <c r="AB104" i="11"/>
  <c r="X191" i="9"/>
  <c r="J96" i="17"/>
  <c r="AC82" i="10"/>
  <c r="AC85" i="10" s="1"/>
  <c r="AC77" i="10"/>
  <c r="AC84" i="17"/>
  <c r="AC86" i="17" s="1"/>
  <c r="AF106" i="10"/>
  <c r="AF17" i="11"/>
  <c r="AF20" i="11"/>
  <c r="AF23" i="11" s="1"/>
  <c r="AF26" i="11"/>
  <c r="AF54" i="10"/>
  <c r="AF56" i="10" s="1"/>
  <c r="R176" i="6"/>
  <c r="R8" i="6"/>
  <c r="AG62" i="10"/>
  <c r="AG63" i="10"/>
  <c r="AG64" i="10"/>
  <c r="R165" i="6"/>
  <c r="R122" i="6"/>
  <c r="R134" i="6"/>
  <c r="R128" i="6"/>
  <c r="AG106" i="10"/>
  <c r="AG65" i="10"/>
  <c r="AG107" i="10" s="1"/>
  <c r="AG66" i="10"/>
  <c r="AG17" i="11"/>
  <c r="AG20" i="11"/>
  <c r="AG23" i="11" s="1"/>
  <c r="AG26" i="11"/>
  <c r="AG54" i="10"/>
  <c r="AG56" i="10" s="1"/>
  <c r="Q126" i="6"/>
  <c r="Q157" i="6"/>
  <c r="R157" i="6"/>
  <c r="R126" i="6"/>
  <c r="R92" i="11"/>
  <c r="R16" i="6"/>
  <c r="AD50" i="17"/>
  <c r="AD126" i="10"/>
  <c r="AH49" i="10"/>
  <c r="AH105" i="10" s="1"/>
  <c r="W12" i="17"/>
  <c r="W11" i="17"/>
  <c r="W15" i="17"/>
  <c r="T49" i="17"/>
  <c r="T48" i="17"/>
  <c r="T47" i="17"/>
  <c r="T46" i="17"/>
  <c r="S165" i="6"/>
  <c r="U96" i="10"/>
  <c r="U101" i="10" s="1"/>
  <c r="U36" i="17"/>
  <c r="U42" i="17" s="1"/>
  <c r="U45" i="17" s="1"/>
  <c r="W98" i="10"/>
  <c r="W43" i="17"/>
  <c r="K29" i="17"/>
  <c r="K19" i="17"/>
  <c r="S177" i="9"/>
  <c r="S193" i="9" s="1"/>
  <c r="S25" i="17"/>
  <c r="W31" i="17"/>
  <c r="W99" i="10"/>
  <c r="W38" i="17"/>
  <c r="W44" i="17" s="1"/>
  <c r="X93" i="10"/>
  <c r="S143" i="6"/>
  <c r="AI48" i="10"/>
  <c r="AI47" i="10"/>
  <c r="AI46" i="10"/>
  <c r="AI45" i="10"/>
  <c r="AI44" i="10"/>
  <c r="AI43" i="10"/>
  <c r="AI42" i="10"/>
  <c r="AI41" i="10"/>
  <c r="AI40" i="10"/>
  <c r="AI39" i="10"/>
  <c r="AI38" i="10"/>
  <c r="AI37" i="10"/>
  <c r="AI36" i="10"/>
  <c r="AI35" i="10"/>
  <c r="AI34" i="10"/>
  <c r="AI33" i="10"/>
  <c r="AH32" i="13"/>
  <c r="AH20" i="13"/>
  <c r="AH27" i="13" s="1"/>
  <c r="AH10" i="13"/>
  <c r="AH93" i="6"/>
  <c r="AI28" i="12"/>
  <c r="AI42" i="12" s="1"/>
  <c r="AI8" i="13"/>
  <c r="S157" i="6"/>
  <c r="S126" i="6"/>
  <c r="S8" i="6"/>
  <c r="S176" i="6"/>
  <c r="S122" i="6"/>
  <c r="S128" i="6"/>
  <c r="AG80" i="6"/>
  <c r="AI17" i="7"/>
  <c r="AI27" i="6" s="1"/>
  <c r="AJ16" i="7"/>
  <c r="AJ34" i="7" s="1"/>
  <c r="AJ29" i="10" s="1"/>
  <c r="AJ30" i="10" s="1"/>
  <c r="V65" i="11"/>
  <c r="V17" i="17" s="1"/>
  <c r="T51" i="12"/>
  <c r="T41" i="6" s="1"/>
  <c r="T45" i="12"/>
  <c r="T39" i="6" s="1"/>
  <c r="T9" i="6"/>
  <c r="T69" i="11"/>
  <c r="T70" i="11" s="1"/>
  <c r="T89" i="11" s="1"/>
  <c r="T15" i="6" s="1"/>
  <c r="T79" i="11"/>
  <c r="X64" i="14"/>
  <c r="X77" i="11" s="1"/>
  <c r="X40" i="14"/>
  <c r="W62" i="8"/>
  <c r="W89" i="10" s="1"/>
  <c r="X48" i="14"/>
  <c r="X49" i="14"/>
  <c r="X47" i="14"/>
  <c r="X64" i="8" s="1"/>
  <c r="X91" i="10" s="1"/>
  <c r="X37" i="17" s="1"/>
  <c r="X46" i="14"/>
  <c r="X63" i="8" s="1"/>
  <c r="X90" i="10" s="1"/>
  <c r="X97" i="10" s="1"/>
  <c r="Y63" i="14"/>
  <c r="Y62" i="14"/>
  <c r="Y61" i="14"/>
  <c r="Y60" i="14"/>
  <c r="Y59" i="14"/>
  <c r="Y58" i="14"/>
  <c r="Y57" i="14"/>
  <c r="Y56" i="14"/>
  <c r="Y55" i="14"/>
  <c r="Y54" i="14"/>
  <c r="Y53" i="14"/>
  <c r="Y52" i="14"/>
  <c r="X5" i="13"/>
  <c r="X5" i="14"/>
  <c r="Y36" i="14"/>
  <c r="Y35" i="14"/>
  <c r="Y34" i="14"/>
  <c r="Y33" i="14"/>
  <c r="Y32" i="14"/>
  <c r="Y31" i="14"/>
  <c r="Y30" i="14"/>
  <c r="Y29" i="14"/>
  <c r="Y39" i="14" s="1"/>
  <c r="Y28" i="14"/>
  <c r="Y27" i="14"/>
  <c r="Y26" i="14"/>
  <c r="Y25" i="14"/>
  <c r="V19" i="13"/>
  <c r="V21" i="13" s="1"/>
  <c r="U37" i="13"/>
  <c r="U61" i="6" s="1"/>
  <c r="V91" i="11"/>
  <c r="V17" i="6" s="1"/>
  <c r="V179" i="9"/>
  <c r="X5" i="12"/>
  <c r="X5" i="6"/>
  <c r="J113" i="11"/>
  <c r="J127" i="11" s="1"/>
  <c r="J109" i="11"/>
  <c r="J123" i="11" s="1"/>
  <c r="J110" i="11"/>
  <c r="J124" i="11" s="1"/>
  <c r="J112" i="11"/>
  <c r="J126" i="11" s="1"/>
  <c r="J111" i="11"/>
  <c r="J125" i="11" s="1"/>
  <c r="J47" i="12"/>
  <c r="J49" i="6" s="1"/>
  <c r="J52" i="12"/>
  <c r="J50" i="6" s="1"/>
  <c r="K46" i="12"/>
  <c r="K14" i="11"/>
  <c r="K84" i="11" s="1"/>
  <c r="L52" i="10"/>
  <c r="K48" i="12"/>
  <c r="V52" i="11"/>
  <c r="X60" i="8"/>
  <c r="Y59" i="8"/>
  <c r="Z22" i="7"/>
  <c r="T161" i="9"/>
  <c r="U145" i="9"/>
  <c r="V156" i="9"/>
  <c r="V172" i="9" s="1"/>
  <c r="W160" i="9"/>
  <c r="W176" i="9" s="1"/>
  <c r="W192" i="9" s="1"/>
  <c r="X144" i="9"/>
  <c r="S187" i="9"/>
  <c r="T171" i="9"/>
  <c r="U155" i="9" s="1"/>
  <c r="V139" i="9"/>
  <c r="S157" i="9"/>
  <c r="X68" i="11"/>
  <c r="X10" i="11"/>
  <c r="X22" i="17" s="1"/>
  <c r="X9" i="11"/>
  <c r="X10" i="17" s="1"/>
  <c r="X12" i="11"/>
  <c r="X11" i="11"/>
  <c r="X65" i="8"/>
  <c r="X92" i="10" s="1"/>
  <c r="X34" i="11"/>
  <c r="X35" i="11"/>
  <c r="X36" i="11"/>
  <c r="X37" i="11"/>
  <c r="X38" i="11"/>
  <c r="X39" i="11"/>
  <c r="X23" i="17" s="1"/>
  <c r="X40" i="11"/>
  <c r="X41" i="11"/>
  <c r="X42" i="11"/>
  <c r="X43" i="11"/>
  <c r="X44" i="11"/>
  <c r="X45" i="11"/>
  <c r="X46" i="11"/>
  <c r="X47" i="11"/>
  <c r="X48" i="11"/>
  <c r="X49" i="11"/>
  <c r="X29" i="11"/>
  <c r="X58" i="11"/>
  <c r="X74" i="11"/>
  <c r="X75" i="11"/>
  <c r="X76" i="11"/>
  <c r="X73" i="11"/>
  <c r="X18" i="11"/>
  <c r="X19" i="11" s="1"/>
  <c r="X24" i="17" s="1"/>
  <c r="X21" i="11"/>
  <c r="X22" i="11" s="1"/>
  <c r="X24" i="11"/>
  <c r="X25" i="11" s="1"/>
  <c r="X62" i="11"/>
  <c r="X100" i="9" s="1"/>
  <c r="W50" i="11"/>
  <c r="W51" i="11"/>
  <c r="X5" i="11"/>
  <c r="X5" i="10"/>
  <c r="X5" i="9"/>
  <c r="X55" i="8"/>
  <c r="Y58" i="8"/>
  <c r="Y57" i="8"/>
  <c r="Z147" i="9"/>
  <c r="Y13" i="7"/>
  <c r="Y27" i="10" s="1"/>
  <c r="Z11" i="7"/>
  <c r="Y12" i="7"/>
  <c r="Y5" i="17" s="1"/>
  <c r="J169" i="6" l="1"/>
  <c r="H135" i="6"/>
  <c r="H35" i="12"/>
  <c r="H179" i="6"/>
  <c r="H180" i="6"/>
  <c r="G24" i="6"/>
  <c r="G20" i="6"/>
  <c r="G129" i="6"/>
  <c r="G172" i="6"/>
  <c r="I156" i="6"/>
  <c r="I123" i="6"/>
  <c r="I168" i="6"/>
  <c r="I13" i="6"/>
  <c r="R121" i="6"/>
  <c r="S121" i="6"/>
  <c r="W190" i="9"/>
  <c r="X142" i="9"/>
  <c r="Y80" i="11"/>
  <c r="Y66" i="8"/>
  <c r="Y158" i="9"/>
  <c r="Y174" i="9" s="1"/>
  <c r="R140" i="9"/>
  <c r="Q188" i="9"/>
  <c r="L189" i="9"/>
  <c r="M141" i="9"/>
  <c r="L55" i="11"/>
  <c r="X194" i="9"/>
  <c r="Y146" i="9"/>
  <c r="Z143" i="9"/>
  <c r="Y159" i="9"/>
  <c r="Y175" i="9" s="1"/>
  <c r="Y191" i="9" s="1"/>
  <c r="X75" i="8"/>
  <c r="X57" i="10" s="1"/>
  <c r="X27" i="11"/>
  <c r="X28" i="11" s="1"/>
  <c r="X30" i="11" s="1"/>
  <c r="X16" i="17" s="1"/>
  <c r="AE52" i="17"/>
  <c r="AE128" i="10"/>
  <c r="J97" i="17"/>
  <c r="J67" i="17"/>
  <c r="X197" i="9"/>
  <c r="Y149" i="9"/>
  <c r="AE127" i="10"/>
  <c r="AE51" i="17"/>
  <c r="AE73" i="10"/>
  <c r="AE75" i="10"/>
  <c r="AE81" i="10" s="1"/>
  <c r="Y73" i="8"/>
  <c r="Y74" i="8" s="1"/>
  <c r="Y13" i="11"/>
  <c r="Y13" i="17" s="1"/>
  <c r="AE50" i="17"/>
  <c r="AE126" i="10"/>
  <c r="AD103" i="11"/>
  <c r="AD105" i="11"/>
  <c r="AD106" i="11"/>
  <c r="AD98" i="11"/>
  <c r="AD102" i="11"/>
  <c r="AD104" i="11"/>
  <c r="AF116" i="10"/>
  <c r="AF80" i="10"/>
  <c r="AF67" i="10"/>
  <c r="AF68" i="10" s="1"/>
  <c r="AF71" i="10"/>
  <c r="AF72" i="10" s="1"/>
  <c r="AF75" i="10" s="1"/>
  <c r="AF81" i="10" s="1"/>
  <c r="AF117" i="10"/>
  <c r="AF83" i="10"/>
  <c r="AF118" i="10"/>
  <c r="AG117" i="10"/>
  <c r="AG71" i="10"/>
  <c r="AG72" i="10" s="1"/>
  <c r="AG118" i="10"/>
  <c r="AG83" i="10"/>
  <c r="R127" i="6"/>
  <c r="R158" i="6"/>
  <c r="R14" i="6"/>
  <c r="R125" i="6" s="1"/>
  <c r="AC106" i="11"/>
  <c r="AC102" i="11"/>
  <c r="AC98" i="11"/>
  <c r="AC104" i="11"/>
  <c r="AC105" i="11"/>
  <c r="AC103" i="11"/>
  <c r="AG116" i="10"/>
  <c r="AG67" i="10"/>
  <c r="AG68" i="10" s="1"/>
  <c r="AG80" i="10"/>
  <c r="AH106" i="10"/>
  <c r="AH62" i="10"/>
  <c r="AH63" i="10"/>
  <c r="AH64" i="10"/>
  <c r="AH65" i="10"/>
  <c r="AH107" i="10" s="1"/>
  <c r="AH66" i="10"/>
  <c r="AH17" i="11"/>
  <c r="AH20" i="11"/>
  <c r="AH23" i="11" s="1"/>
  <c r="AH26" i="11"/>
  <c r="AH54" i="10"/>
  <c r="AH56" i="10" s="1"/>
  <c r="AI49" i="10"/>
  <c r="X12" i="17"/>
  <c r="X11" i="17"/>
  <c r="X15" i="17"/>
  <c r="K33" i="17"/>
  <c r="K56" i="17"/>
  <c r="K63" i="17" s="1"/>
  <c r="K55" i="17"/>
  <c r="K62" i="17" s="1"/>
  <c r="K57" i="17"/>
  <c r="K64" i="17" s="1"/>
  <c r="U49" i="17"/>
  <c r="U48" i="17"/>
  <c r="U47" i="17"/>
  <c r="U46" i="17"/>
  <c r="S26" i="17"/>
  <c r="S32" i="17"/>
  <c r="S87" i="17" s="1"/>
  <c r="V96" i="10"/>
  <c r="V101" i="10" s="1"/>
  <c r="V36" i="17"/>
  <c r="V42" i="17" s="1"/>
  <c r="V45" i="17" s="1"/>
  <c r="X98" i="10"/>
  <c r="X43" i="17"/>
  <c r="T177" i="9"/>
  <c r="T193" i="9" s="1"/>
  <c r="T25" i="17"/>
  <c r="X31" i="17"/>
  <c r="X99" i="10"/>
  <c r="X38" i="17"/>
  <c r="X44" i="17" s="1"/>
  <c r="Y93" i="10"/>
  <c r="AJ48" i="10"/>
  <c r="AJ47" i="10"/>
  <c r="AJ46" i="10"/>
  <c r="AJ45" i="10"/>
  <c r="AJ44" i="10"/>
  <c r="AJ43" i="10"/>
  <c r="AJ42" i="10"/>
  <c r="AJ41" i="10"/>
  <c r="AJ40" i="10"/>
  <c r="AJ39" i="10"/>
  <c r="AJ38" i="10"/>
  <c r="AJ37" i="10"/>
  <c r="AJ36" i="10"/>
  <c r="AJ35" i="10"/>
  <c r="AJ34" i="10"/>
  <c r="AJ33" i="10"/>
  <c r="AH80" i="6"/>
  <c r="AI20" i="13"/>
  <c r="AI27" i="13" s="1"/>
  <c r="AI10" i="13"/>
  <c r="AI32" i="13"/>
  <c r="AI93" i="6"/>
  <c r="Y40" i="14"/>
  <c r="AJ28" i="12"/>
  <c r="AJ42" i="12" s="1"/>
  <c r="AJ8" i="13"/>
  <c r="AJ17" i="7"/>
  <c r="AJ27" i="6" s="1"/>
  <c r="AK16" i="7"/>
  <c r="AK34" i="7" s="1"/>
  <c r="AK29" i="10" s="1"/>
  <c r="AK30" i="10" s="1"/>
  <c r="U79" i="11"/>
  <c r="U51" i="12"/>
  <c r="U41" i="6" s="1"/>
  <c r="U45" i="12"/>
  <c r="U39" i="6" s="1"/>
  <c r="U9" i="6"/>
  <c r="U69" i="11"/>
  <c r="U70" i="11" s="1"/>
  <c r="U89" i="11" s="1"/>
  <c r="U15" i="6" s="1"/>
  <c r="T165" i="6"/>
  <c r="T143" i="6"/>
  <c r="T126" i="6"/>
  <c r="T157" i="6"/>
  <c r="T128" i="6"/>
  <c r="T122" i="6"/>
  <c r="T176" i="6"/>
  <c r="T8" i="6"/>
  <c r="W65" i="11"/>
  <c r="W17" i="17" s="1"/>
  <c r="Y64" i="14"/>
  <c r="Y77" i="11" s="1"/>
  <c r="X62" i="8"/>
  <c r="X89" i="10" s="1"/>
  <c r="Y49" i="14"/>
  <c r="Y48" i="14"/>
  <c r="Y46" i="14"/>
  <c r="Y63" i="8" s="1"/>
  <c r="Y90" i="10" s="1"/>
  <c r="Y97" i="10" s="1"/>
  <c r="Y47" i="14"/>
  <c r="Y64" i="8" s="1"/>
  <c r="Y91" i="10" s="1"/>
  <c r="Z63" i="14"/>
  <c r="Z62" i="14"/>
  <c r="Z61" i="14"/>
  <c r="Z60" i="14"/>
  <c r="Z59" i="14"/>
  <c r="Z58" i="14"/>
  <c r="Z57" i="14"/>
  <c r="Z56" i="14"/>
  <c r="Z55" i="14"/>
  <c r="Z54" i="14"/>
  <c r="Z53" i="14"/>
  <c r="Z52" i="14"/>
  <c r="Z36" i="14"/>
  <c r="Z35" i="14"/>
  <c r="Z34" i="14"/>
  <c r="Z33" i="14"/>
  <c r="Z32" i="14"/>
  <c r="Z31" i="14"/>
  <c r="Z30" i="14"/>
  <c r="Z29" i="14"/>
  <c r="Z39" i="14" s="1"/>
  <c r="Z28" i="14"/>
  <c r="Z27" i="14"/>
  <c r="Z26" i="14"/>
  <c r="Z25" i="14"/>
  <c r="Y5" i="13"/>
  <c r="Y5" i="14"/>
  <c r="W19" i="13"/>
  <c r="W21" i="13" s="1"/>
  <c r="V37" i="13"/>
  <c r="V61" i="6" s="1"/>
  <c r="V195" i="9"/>
  <c r="W163" i="9"/>
  <c r="V108" i="10"/>
  <c r="Y5" i="12"/>
  <c r="Y5" i="6"/>
  <c r="Y60" i="8"/>
  <c r="K86" i="11"/>
  <c r="K49" i="12"/>
  <c r="K40" i="6" s="1"/>
  <c r="L53" i="10"/>
  <c r="J53" i="12"/>
  <c r="J54" i="12" s="1"/>
  <c r="J37" i="12" s="1"/>
  <c r="Z59" i="8"/>
  <c r="AA22" i="7"/>
  <c r="U161" i="9"/>
  <c r="V145" i="9"/>
  <c r="W156" i="9"/>
  <c r="W172" i="9" s="1"/>
  <c r="X160" i="9"/>
  <c r="X176" i="9" s="1"/>
  <c r="X192" i="9" s="1"/>
  <c r="Y144" i="9"/>
  <c r="T187" i="9"/>
  <c r="U171" i="9"/>
  <c r="V155" i="9" s="1"/>
  <c r="W139" i="9"/>
  <c r="S173" i="9"/>
  <c r="T157" i="9"/>
  <c r="S57" i="11"/>
  <c r="S56" i="11"/>
  <c r="S14" i="17" s="1"/>
  <c r="W108" i="10"/>
  <c r="Y68" i="11"/>
  <c r="Y10" i="11"/>
  <c r="Y22" i="17" s="1"/>
  <c r="Y9" i="11"/>
  <c r="Y10" i="17" s="1"/>
  <c r="Y11" i="11"/>
  <c r="Y12" i="11"/>
  <c r="Y65" i="8"/>
  <c r="Y92" i="10" s="1"/>
  <c r="Y34" i="11"/>
  <c r="Y35" i="11"/>
  <c r="Y36" i="11"/>
  <c r="Y37" i="11"/>
  <c r="Y38" i="11"/>
  <c r="Y39" i="11"/>
  <c r="Y23" i="17" s="1"/>
  <c r="Y40" i="11"/>
  <c r="Y41" i="11"/>
  <c r="Y42" i="11"/>
  <c r="Y43" i="11"/>
  <c r="Y44" i="11"/>
  <c r="Y45" i="11"/>
  <c r="Y46" i="11"/>
  <c r="Y47" i="11"/>
  <c r="Y48" i="11"/>
  <c r="Y49" i="11"/>
  <c r="Y29" i="11"/>
  <c r="Y58" i="11"/>
  <c r="Y74" i="11"/>
  <c r="Y76" i="11"/>
  <c r="Y75" i="11"/>
  <c r="Y73" i="11"/>
  <c r="Y18" i="11"/>
  <c r="Y19" i="11" s="1"/>
  <c r="Y24" i="17" s="1"/>
  <c r="Y21" i="11"/>
  <c r="Y22" i="11" s="1"/>
  <c r="Y24" i="11"/>
  <c r="Y25" i="11" s="1"/>
  <c r="Y62" i="11"/>
  <c r="Y100" i="9" s="1"/>
  <c r="X50" i="11"/>
  <c r="X51" i="11"/>
  <c r="W52" i="11"/>
  <c r="Z58" i="8"/>
  <c r="Z57" i="8"/>
  <c r="Y5" i="11"/>
  <c r="Y5" i="10"/>
  <c r="Y5" i="9"/>
  <c r="Y55" i="8"/>
  <c r="AA147" i="9"/>
  <c r="AA11" i="7"/>
  <c r="Z13" i="7"/>
  <c r="Z27" i="10" s="1"/>
  <c r="Z12" i="7"/>
  <c r="Z5" i="17" s="1"/>
  <c r="G35" i="12" l="1"/>
  <c r="G179" i="6"/>
  <c r="G135" i="6"/>
  <c r="G180" i="6"/>
  <c r="G28" i="6"/>
  <c r="G131" i="6"/>
  <c r="I155" i="6"/>
  <c r="I178" i="6"/>
  <c r="I124" i="6"/>
  <c r="I177" i="6"/>
  <c r="I18" i="6"/>
  <c r="T121" i="6"/>
  <c r="J98" i="17"/>
  <c r="J88" i="11"/>
  <c r="X190" i="9"/>
  <c r="Y142" i="9"/>
  <c r="Z80" i="11"/>
  <c r="Z66" i="8"/>
  <c r="Y64" i="11"/>
  <c r="Y63" i="11"/>
  <c r="S88" i="17"/>
  <c r="Z158" i="9"/>
  <c r="Z174" i="9" s="1"/>
  <c r="S140" i="9"/>
  <c r="R188" i="9"/>
  <c r="M189" i="9"/>
  <c r="M55" i="11"/>
  <c r="N141" i="9"/>
  <c r="Y162" i="9"/>
  <c r="Y178" i="9" s="1"/>
  <c r="Y194" i="9" s="1"/>
  <c r="Z146" i="9"/>
  <c r="AA143" i="9"/>
  <c r="Z159" i="9"/>
  <c r="Z175" i="9" s="1"/>
  <c r="Z191" i="9" s="1"/>
  <c r="Y165" i="9"/>
  <c r="Y181" i="9" s="1"/>
  <c r="Y197" i="9" s="1"/>
  <c r="Z149" i="9"/>
  <c r="AE84" i="17"/>
  <c r="AE86" i="17" s="1"/>
  <c r="AE74" i="10"/>
  <c r="AE82" i="10"/>
  <c r="AE85" i="10" s="1"/>
  <c r="AE77" i="10"/>
  <c r="Y75" i="8"/>
  <c r="Y57" i="10" s="1"/>
  <c r="Y27" i="11"/>
  <c r="Y28" i="11" s="1"/>
  <c r="Y30" i="11" s="1"/>
  <c r="Y16" i="17" s="1"/>
  <c r="Z73" i="8"/>
  <c r="Z74" i="8" s="1"/>
  <c r="Z13" i="11"/>
  <c r="Z13" i="17" s="1"/>
  <c r="AG119" i="10"/>
  <c r="AG124" i="10" s="1"/>
  <c r="AF121" i="10"/>
  <c r="AF39" i="17"/>
  <c r="AF40" i="17"/>
  <c r="AF122" i="10"/>
  <c r="AF119" i="10"/>
  <c r="AF124" i="10" s="1"/>
  <c r="AF123" i="10"/>
  <c r="AF41" i="17"/>
  <c r="AG123" i="10"/>
  <c r="AG41" i="17"/>
  <c r="AG40" i="17"/>
  <c r="AG122" i="10"/>
  <c r="AG75" i="10"/>
  <c r="AG81" i="10" s="1"/>
  <c r="AG73" i="10"/>
  <c r="AH71" i="10"/>
  <c r="AH72" i="10" s="1"/>
  <c r="AH75" i="10" s="1"/>
  <c r="AH81" i="10" s="1"/>
  <c r="AH117" i="10"/>
  <c r="AH118" i="10"/>
  <c r="AH83" i="10"/>
  <c r="AF73" i="10"/>
  <c r="AF74" i="10" s="1"/>
  <c r="AG39" i="17"/>
  <c r="AG121" i="10"/>
  <c r="AH116" i="10"/>
  <c r="AH80" i="10"/>
  <c r="AH67" i="10"/>
  <c r="AH68" i="10" s="1"/>
  <c r="AI105" i="10"/>
  <c r="AI62" i="10"/>
  <c r="AI106" i="10"/>
  <c r="AI63" i="10"/>
  <c r="AI64" i="10"/>
  <c r="AI65" i="10"/>
  <c r="AI107" i="10" s="1"/>
  <c r="AI66" i="10"/>
  <c r="AI17" i="11"/>
  <c r="AI20" i="11"/>
  <c r="AI23" i="11" s="1"/>
  <c r="AI26" i="11"/>
  <c r="AI54" i="10"/>
  <c r="AI56" i="10" s="1"/>
  <c r="Y11" i="17"/>
  <c r="AJ49" i="10"/>
  <c r="AJ105" i="10" s="1"/>
  <c r="Y12" i="17"/>
  <c r="Y15" i="17"/>
  <c r="K95" i="17"/>
  <c r="K94" i="17"/>
  <c r="K65" i="17"/>
  <c r="V49" i="17"/>
  <c r="V48" i="17"/>
  <c r="V47" i="17"/>
  <c r="V46" i="17"/>
  <c r="T26" i="17"/>
  <c r="T32" i="17"/>
  <c r="T87" i="17" s="1"/>
  <c r="W96" i="10"/>
  <c r="W101" i="10" s="1"/>
  <c r="W45" i="12" s="1"/>
  <c r="W39" i="6" s="1"/>
  <c r="W36" i="17"/>
  <c r="W42" i="17" s="1"/>
  <c r="W45" i="17" s="1"/>
  <c r="Y98" i="10"/>
  <c r="U177" i="9"/>
  <c r="U193" i="9" s="1"/>
  <c r="U25" i="17"/>
  <c r="Y31" i="17"/>
  <c r="Y99" i="10"/>
  <c r="Y38" i="17"/>
  <c r="Y44" i="17" s="1"/>
  <c r="Z93" i="10"/>
  <c r="AK48" i="10"/>
  <c r="AK47" i="10"/>
  <c r="AK46" i="10"/>
  <c r="AK45" i="10"/>
  <c r="AK44" i="10"/>
  <c r="AK43" i="10"/>
  <c r="AK42" i="10"/>
  <c r="AK41" i="10"/>
  <c r="AK40" i="10"/>
  <c r="AK39" i="10"/>
  <c r="AK38" i="10"/>
  <c r="AK37" i="10"/>
  <c r="AK36" i="10"/>
  <c r="AK35" i="10"/>
  <c r="AK34" i="10"/>
  <c r="AK33" i="10"/>
  <c r="AI80" i="6"/>
  <c r="AJ93" i="6"/>
  <c r="U165" i="6"/>
  <c r="U143" i="6"/>
  <c r="U126" i="6"/>
  <c r="U157" i="6"/>
  <c r="Z40" i="14"/>
  <c r="X65" i="11"/>
  <c r="X17" i="17" s="1"/>
  <c r="AK28" i="12"/>
  <c r="AK8" i="13"/>
  <c r="AK17" i="7"/>
  <c r="AK27" i="6" s="1"/>
  <c r="AL16" i="7"/>
  <c r="AL34" i="7" s="1"/>
  <c r="AL29" i="10" s="1"/>
  <c r="AL30" i="10" s="1"/>
  <c r="U122" i="6"/>
  <c r="U8" i="6"/>
  <c r="U176" i="6"/>
  <c r="U128" i="6"/>
  <c r="V45" i="12"/>
  <c r="V39" i="6" s="1"/>
  <c r="V51" i="12"/>
  <c r="V41" i="6" s="1"/>
  <c r="V9" i="6"/>
  <c r="V69" i="11"/>
  <c r="V70" i="11" s="1"/>
  <c r="V89" i="11" s="1"/>
  <c r="V15" i="6" s="1"/>
  <c r="V79" i="11"/>
  <c r="Z64" i="14"/>
  <c r="Z77" i="11" s="1"/>
  <c r="S59" i="11"/>
  <c r="S50" i="12" s="1"/>
  <c r="Y62" i="8"/>
  <c r="Y89" i="10" s="1"/>
  <c r="Z49" i="14"/>
  <c r="Z48" i="14"/>
  <c r="Z47" i="14"/>
  <c r="Z64" i="8" s="1"/>
  <c r="Z91" i="10" s="1"/>
  <c r="Z46" i="14"/>
  <c r="Z63" i="8" s="1"/>
  <c r="Z90" i="10" s="1"/>
  <c r="Z97" i="10" s="1"/>
  <c r="AA63" i="14"/>
  <c r="AA62" i="14"/>
  <c r="AA61" i="14"/>
  <c r="AA60" i="14"/>
  <c r="AA59" i="14"/>
  <c r="AA58" i="14"/>
  <c r="AA57" i="14"/>
  <c r="AA56" i="14"/>
  <c r="AA55" i="14"/>
  <c r="AA54" i="14"/>
  <c r="AA53" i="14"/>
  <c r="AA52" i="14"/>
  <c r="AA36" i="14"/>
  <c r="AA35" i="14"/>
  <c r="AA34" i="14"/>
  <c r="AA33" i="14"/>
  <c r="AA32" i="14"/>
  <c r="AA31" i="14"/>
  <c r="AA30" i="14"/>
  <c r="AA29" i="14"/>
  <c r="AA39" i="14" s="1"/>
  <c r="AA28" i="14"/>
  <c r="AA27" i="14"/>
  <c r="AA26" i="14"/>
  <c r="AA25" i="14"/>
  <c r="Z5" i="13"/>
  <c r="Z5" i="14"/>
  <c r="J71" i="6"/>
  <c r="J103" i="6"/>
  <c r="Z60" i="8"/>
  <c r="X19" i="13"/>
  <c r="X21" i="13" s="1"/>
  <c r="W37" i="13"/>
  <c r="W61" i="6" s="1"/>
  <c r="W179" i="9"/>
  <c r="W91" i="11"/>
  <c r="W17" i="6" s="1"/>
  <c r="Z5" i="12"/>
  <c r="Z5" i="6"/>
  <c r="K97" i="11"/>
  <c r="K93" i="11"/>
  <c r="K94" i="11" s="1"/>
  <c r="L59" i="10"/>
  <c r="L8" i="11" s="1"/>
  <c r="L9" i="17" s="1"/>
  <c r="L55" i="10"/>
  <c r="AA59" i="8"/>
  <c r="AB22" i="7"/>
  <c r="V161" i="9"/>
  <c r="W145" i="9"/>
  <c r="X156" i="9"/>
  <c r="X172" i="9" s="1"/>
  <c r="Y160" i="9"/>
  <c r="Y176" i="9" s="1"/>
  <c r="Y192" i="9" s="1"/>
  <c r="Z144" i="9"/>
  <c r="V171" i="9"/>
  <c r="W155" i="9" s="1"/>
  <c r="U187" i="9"/>
  <c r="X139" i="9"/>
  <c r="T173" i="9"/>
  <c r="U157" i="9"/>
  <c r="T57" i="11"/>
  <c r="T56" i="11"/>
  <c r="Z68" i="11"/>
  <c r="Z10" i="11"/>
  <c r="Z22" i="17" s="1"/>
  <c r="Z9" i="11"/>
  <c r="Z10" i="17" s="1"/>
  <c r="Z11" i="11"/>
  <c r="Z12" i="11"/>
  <c r="Z65" i="8"/>
  <c r="Z92" i="10" s="1"/>
  <c r="Z34" i="11"/>
  <c r="Z35" i="11"/>
  <c r="Z36" i="11"/>
  <c r="Z37" i="11"/>
  <c r="Z38" i="11"/>
  <c r="Z39" i="11"/>
  <c r="Z23" i="17" s="1"/>
  <c r="Z40" i="11"/>
  <c r="Z41" i="11"/>
  <c r="Z42" i="11"/>
  <c r="Z43" i="11"/>
  <c r="Z44" i="11"/>
  <c r="Z45" i="11"/>
  <c r="Z46" i="11"/>
  <c r="Z47" i="11"/>
  <c r="Z48" i="11"/>
  <c r="Z49" i="11"/>
  <c r="Z29" i="11"/>
  <c r="Z74" i="11"/>
  <c r="Z75" i="11"/>
  <c r="Z73" i="11"/>
  <c r="Z58" i="11"/>
  <c r="Z76" i="11"/>
  <c r="Z18" i="11"/>
  <c r="Z19" i="11" s="1"/>
  <c r="Z24" i="17" s="1"/>
  <c r="Z21" i="11"/>
  <c r="Z22" i="11" s="1"/>
  <c r="Z24" i="11"/>
  <c r="Z25" i="11" s="1"/>
  <c r="Z62" i="11"/>
  <c r="Z100" i="9" s="1"/>
  <c r="Y50" i="11"/>
  <c r="Y51" i="11"/>
  <c r="X52" i="11"/>
  <c r="AA58" i="8"/>
  <c r="AA57" i="8"/>
  <c r="Z5" i="11"/>
  <c r="Z5" i="10"/>
  <c r="Z5" i="9"/>
  <c r="Z55" i="8"/>
  <c r="AB147" i="9"/>
  <c r="AB11" i="7"/>
  <c r="AA12" i="7"/>
  <c r="AA5" i="17" s="1"/>
  <c r="AA13" i="7"/>
  <c r="AA27" i="10" s="1"/>
  <c r="Z142" i="9" l="1"/>
  <c r="AA142" i="9" s="1"/>
  <c r="AB142" i="9" s="1"/>
  <c r="AC142" i="9" s="1"/>
  <c r="Y190" i="9"/>
  <c r="G30" i="6"/>
  <c r="I129" i="6"/>
  <c r="I24" i="6"/>
  <c r="J87" i="11"/>
  <c r="J11" i="6" s="1"/>
  <c r="J12" i="6"/>
  <c r="U121" i="6"/>
  <c r="AA80" i="11"/>
  <c r="AA66" i="8"/>
  <c r="AH119" i="10"/>
  <c r="AH124" i="10" s="1"/>
  <c r="Z64" i="11"/>
  <c r="Z63" i="11"/>
  <c r="Z190" i="9"/>
  <c r="AA158" i="9"/>
  <c r="AA174" i="9" s="1"/>
  <c r="T140" i="9"/>
  <c r="S188" i="9"/>
  <c r="N189" i="9"/>
  <c r="N55" i="11"/>
  <c r="O141" i="9"/>
  <c r="Z162" i="9"/>
  <c r="Z178" i="9" s="1"/>
  <c r="Z194" i="9" s="1"/>
  <c r="AA146" i="9"/>
  <c r="AB143" i="9"/>
  <c r="AA159" i="9"/>
  <c r="AA175" i="9" s="1"/>
  <c r="AA191" i="9" s="1"/>
  <c r="AF51" i="17"/>
  <c r="AF127" i="10"/>
  <c r="AG52" i="17"/>
  <c r="AG128" i="10"/>
  <c r="AG74" i="10"/>
  <c r="AG84" i="17"/>
  <c r="AG86" i="17" s="1"/>
  <c r="Z75" i="8"/>
  <c r="Z57" i="10" s="1"/>
  <c r="Z27" i="11"/>
  <c r="Z28" i="11" s="1"/>
  <c r="Z30" i="11" s="1"/>
  <c r="Z16" i="17" s="1"/>
  <c r="Z165" i="9"/>
  <c r="Z181" i="9" s="1"/>
  <c r="Z197" i="9" s="1"/>
  <c r="AA149" i="9"/>
  <c r="AF52" i="17"/>
  <c r="AF128" i="10"/>
  <c r="T88" i="17"/>
  <c r="AG127" i="10"/>
  <c r="AG51" i="17"/>
  <c r="AH41" i="17"/>
  <c r="AH123" i="10"/>
  <c r="AE106" i="11"/>
  <c r="AE103" i="11"/>
  <c r="AE102" i="11"/>
  <c r="AE105" i="11"/>
  <c r="AE98" i="11"/>
  <c r="AE104" i="11"/>
  <c r="K96" i="17"/>
  <c r="AA73" i="8"/>
  <c r="AA74" i="8" s="1"/>
  <c r="AA13" i="11"/>
  <c r="AA13" i="17" s="1"/>
  <c r="T14" i="17"/>
  <c r="AF50" i="17"/>
  <c r="AF126" i="10"/>
  <c r="Y65" i="11"/>
  <c r="Y17" i="17" s="1"/>
  <c r="AH40" i="17"/>
  <c r="AH122" i="10"/>
  <c r="AI71" i="10"/>
  <c r="AI72" i="10" s="1"/>
  <c r="AI117" i="10"/>
  <c r="AI83" i="10"/>
  <c r="AI118" i="10"/>
  <c r="AG82" i="10"/>
  <c r="AG85" i="10" s="1"/>
  <c r="AG77" i="10"/>
  <c r="AF77" i="10"/>
  <c r="AF82" i="10"/>
  <c r="AF85" i="10" s="1"/>
  <c r="AF104" i="11" s="1"/>
  <c r="AF84" i="17"/>
  <c r="AF86" i="17" s="1"/>
  <c r="AH73" i="10"/>
  <c r="AH74" i="10" s="1"/>
  <c r="AG126" i="10"/>
  <c r="AG50" i="17"/>
  <c r="AH39" i="17"/>
  <c r="AH121" i="10"/>
  <c r="AI116" i="10"/>
  <c r="AI80" i="10"/>
  <c r="AI67" i="10"/>
  <c r="AI68" i="10" s="1"/>
  <c r="AJ62" i="10"/>
  <c r="AJ63" i="10"/>
  <c r="AJ64" i="10"/>
  <c r="AJ65" i="10"/>
  <c r="AJ107" i="10" s="1"/>
  <c r="AJ106" i="10"/>
  <c r="AJ66" i="10"/>
  <c r="AJ17" i="11"/>
  <c r="AJ20" i="11"/>
  <c r="AJ23" i="11" s="1"/>
  <c r="AJ26" i="11"/>
  <c r="AJ54" i="10"/>
  <c r="AJ56" i="10" s="1"/>
  <c r="Z11" i="17"/>
  <c r="AK49" i="10"/>
  <c r="Z12" i="17"/>
  <c r="Z15" i="17"/>
  <c r="K99" i="17"/>
  <c r="K66" i="17"/>
  <c r="W49" i="17"/>
  <c r="W48" i="17"/>
  <c r="W47" i="17"/>
  <c r="W46" i="17"/>
  <c r="U26" i="17"/>
  <c r="U32" i="17"/>
  <c r="U87" i="17" s="1"/>
  <c r="X96" i="10"/>
  <c r="X101" i="10" s="1"/>
  <c r="X36" i="17"/>
  <c r="X42" i="17" s="1"/>
  <c r="X45" i="17" s="1"/>
  <c r="Z98" i="10"/>
  <c r="L29" i="17"/>
  <c r="L19" i="17"/>
  <c r="V177" i="9"/>
  <c r="V193" i="9" s="1"/>
  <c r="V25" i="17"/>
  <c r="Z31" i="17"/>
  <c r="Z99" i="10"/>
  <c r="Z38" i="17"/>
  <c r="Z44" i="17" s="1"/>
  <c r="AA93" i="10"/>
  <c r="AL48" i="10"/>
  <c r="AL47" i="10"/>
  <c r="AL46" i="10"/>
  <c r="AL45" i="10"/>
  <c r="AL44" i="10"/>
  <c r="AL43" i="10"/>
  <c r="AL42" i="10"/>
  <c r="AL41" i="10"/>
  <c r="AL40" i="10"/>
  <c r="AL39" i="10"/>
  <c r="AL38" i="10"/>
  <c r="AL37" i="10"/>
  <c r="AL36" i="10"/>
  <c r="AL35" i="10"/>
  <c r="AL34" i="10"/>
  <c r="AL33" i="10"/>
  <c r="W79" i="11"/>
  <c r="W69" i="11"/>
  <c r="W70" i="11" s="1"/>
  <c r="W89" i="11" s="1"/>
  <c r="W15" i="6" s="1"/>
  <c r="W9" i="6"/>
  <c r="W51" i="12"/>
  <c r="W41" i="6" s="1"/>
  <c r="AK10" i="13"/>
  <c r="AK20" i="13"/>
  <c r="AK27" i="13" s="1"/>
  <c r="AK32" i="13"/>
  <c r="AL28" i="12"/>
  <c r="AL8" i="13"/>
  <c r="AK93" i="6"/>
  <c r="AM16" i="7"/>
  <c r="AM34" i="7" s="1"/>
  <c r="AM29" i="10" s="1"/>
  <c r="AM30" i="10" s="1"/>
  <c r="AL17" i="7"/>
  <c r="AL27" i="6" s="1"/>
  <c r="V8" i="6"/>
  <c r="V128" i="6"/>
  <c r="V176" i="6"/>
  <c r="V165" i="6"/>
  <c r="V122" i="6"/>
  <c r="V143" i="6"/>
  <c r="V157" i="6"/>
  <c r="V126" i="6"/>
  <c r="AA40" i="14"/>
  <c r="AA64" i="14"/>
  <c r="AA77" i="11" s="1"/>
  <c r="Z62" i="8"/>
  <c r="Z89" i="10" s="1"/>
  <c r="AA49" i="14"/>
  <c r="AA46" i="14"/>
  <c r="AA63" i="8" s="1"/>
  <c r="AA90" i="10" s="1"/>
  <c r="AA97" i="10" s="1"/>
  <c r="AA47" i="14"/>
  <c r="AA64" i="8" s="1"/>
  <c r="AA91" i="10" s="1"/>
  <c r="AA48" i="14"/>
  <c r="AB63" i="14"/>
  <c r="AB62" i="14"/>
  <c r="AB61" i="14"/>
  <c r="AB60" i="14"/>
  <c r="AB59" i="14"/>
  <c r="AB58" i="14"/>
  <c r="AB57" i="14"/>
  <c r="AB56" i="14"/>
  <c r="AB55" i="14"/>
  <c r="AB54" i="14"/>
  <c r="AB53" i="14"/>
  <c r="AB52" i="14"/>
  <c r="AB36" i="14"/>
  <c r="AB35" i="14"/>
  <c r="AB34" i="14"/>
  <c r="AB33" i="14"/>
  <c r="AB32" i="14"/>
  <c r="AB31" i="14"/>
  <c r="AB30" i="14"/>
  <c r="AB29" i="14"/>
  <c r="AB39" i="14" s="1"/>
  <c r="AB28" i="14"/>
  <c r="AB27" i="14"/>
  <c r="AB26" i="14"/>
  <c r="AB25" i="14"/>
  <c r="AA5" i="13"/>
  <c r="AA5" i="14"/>
  <c r="X108" i="10"/>
  <c r="Y19" i="13"/>
  <c r="Y21" i="13" s="1"/>
  <c r="X37" i="13"/>
  <c r="X61" i="6" s="1"/>
  <c r="W195" i="9"/>
  <c r="X163" i="9"/>
  <c r="AA5" i="12"/>
  <c r="AA5" i="6"/>
  <c r="K113" i="11"/>
  <c r="K127" i="11" s="1"/>
  <c r="K112" i="11"/>
  <c r="K126" i="11" s="1"/>
  <c r="K111" i="11"/>
  <c r="K125" i="11" s="1"/>
  <c r="K110" i="11"/>
  <c r="K124" i="11" s="1"/>
  <c r="K109" i="11"/>
  <c r="K123" i="11" s="1"/>
  <c r="K52" i="12"/>
  <c r="K50" i="6" s="1"/>
  <c r="K47" i="12"/>
  <c r="L46" i="12"/>
  <c r="L14" i="11"/>
  <c r="L84" i="11" s="1"/>
  <c r="M52" i="10"/>
  <c r="L48" i="12"/>
  <c r="AB59" i="8"/>
  <c r="AC22" i="7"/>
  <c r="W161" i="9"/>
  <c r="X145" i="9"/>
  <c r="Z160" i="9"/>
  <c r="Z176" i="9" s="1"/>
  <c r="Z192" i="9" s="1"/>
  <c r="AA144" i="9"/>
  <c r="V187" i="9"/>
  <c r="W171" i="9"/>
  <c r="X155" i="9"/>
  <c r="Y139" i="9"/>
  <c r="U173" i="9"/>
  <c r="V157" i="9"/>
  <c r="U57" i="11"/>
  <c r="U56" i="11"/>
  <c r="AA68" i="11"/>
  <c r="AA10" i="11"/>
  <c r="AA22" i="17" s="1"/>
  <c r="AA9" i="11"/>
  <c r="AA10" i="17" s="1"/>
  <c r="AA11" i="11"/>
  <c r="AA12" i="11"/>
  <c r="AA65" i="8"/>
  <c r="AA92" i="10" s="1"/>
  <c r="AA34" i="11"/>
  <c r="AA35" i="11"/>
  <c r="AA36" i="11"/>
  <c r="AA37" i="11"/>
  <c r="AA38" i="11"/>
  <c r="AA39" i="11"/>
  <c r="AA23" i="17" s="1"/>
  <c r="AA40" i="11"/>
  <c r="AA41" i="11"/>
  <c r="AA42" i="11"/>
  <c r="AA43" i="11"/>
  <c r="AA44" i="11"/>
  <c r="AA45" i="11"/>
  <c r="AA46" i="11"/>
  <c r="AA47" i="11"/>
  <c r="AA48" i="11"/>
  <c r="AA49" i="11"/>
  <c r="AA29" i="11"/>
  <c r="AA58" i="11"/>
  <c r="AA75" i="11"/>
  <c r="AA73" i="11"/>
  <c r="AA76" i="11"/>
  <c r="AA74" i="11"/>
  <c r="AA18" i="11"/>
  <c r="AA19" i="11" s="1"/>
  <c r="AA24" i="17" s="1"/>
  <c r="AA21" i="11"/>
  <c r="AA22" i="11" s="1"/>
  <c r="AA24" i="11"/>
  <c r="AA25" i="11" s="1"/>
  <c r="AA62" i="11"/>
  <c r="AA100" i="9" s="1"/>
  <c r="Z50" i="11"/>
  <c r="Z51" i="11"/>
  <c r="Y52" i="11"/>
  <c r="AA60" i="8"/>
  <c r="T59" i="11"/>
  <c r="AB58" i="8"/>
  <c r="AB57" i="8"/>
  <c r="AA5" i="11"/>
  <c r="AA5" i="10"/>
  <c r="AA5" i="9"/>
  <c r="AA55" i="8"/>
  <c r="AC147" i="9"/>
  <c r="AB13" i="7"/>
  <c r="AB27" i="10" s="1"/>
  <c r="AC11" i="7"/>
  <c r="AB12" i="7"/>
  <c r="AB5" i="17" s="1"/>
  <c r="I180" i="6" l="1"/>
  <c r="I179" i="6"/>
  <c r="I135" i="6"/>
  <c r="I35" i="12"/>
  <c r="J156" i="6"/>
  <c r="J123" i="6"/>
  <c r="J168" i="6"/>
  <c r="J13" i="6"/>
  <c r="G32" i="6"/>
  <c r="H29" i="6" s="1"/>
  <c r="G31" i="6"/>
  <c r="G33" i="6" s="1"/>
  <c r="V121" i="6"/>
  <c r="AB80" i="11"/>
  <c r="AB66" i="8"/>
  <c r="F100" i="9"/>
  <c r="F99" i="9" s="1"/>
  <c r="U14" i="17"/>
  <c r="AA64" i="11"/>
  <c r="AA63" i="11"/>
  <c r="AA190" i="9"/>
  <c r="AB158" i="9"/>
  <c r="AB174" i="9" s="1"/>
  <c r="U140" i="9"/>
  <c r="T188" i="9"/>
  <c r="O55" i="11"/>
  <c r="O189" i="9"/>
  <c r="P141" i="9"/>
  <c r="AB146" i="9"/>
  <c r="AA162" i="9"/>
  <c r="AA178" i="9" s="1"/>
  <c r="AA194" i="9" s="1"/>
  <c r="AI119" i="10"/>
  <c r="AI124" i="10" s="1"/>
  <c r="AC143" i="9"/>
  <c r="AB159" i="9"/>
  <c r="AB175" i="9" s="1"/>
  <c r="AB191" i="9" s="1"/>
  <c r="AF103" i="11"/>
  <c r="AF105" i="11"/>
  <c r="AF102" i="11"/>
  <c r="AF106" i="11"/>
  <c r="AF98" i="11"/>
  <c r="AG102" i="11"/>
  <c r="AG103" i="11"/>
  <c r="AG98" i="11"/>
  <c r="AG104" i="11"/>
  <c r="AG106" i="11"/>
  <c r="AG105" i="11"/>
  <c r="AA165" i="9"/>
  <c r="AA181" i="9" s="1"/>
  <c r="AA197" i="9" s="1"/>
  <c r="AB149" i="9"/>
  <c r="U88" i="17"/>
  <c r="AH52" i="17"/>
  <c r="AH128" i="10"/>
  <c r="AA75" i="8"/>
  <c r="AA57" i="10" s="1"/>
  <c r="AA27" i="11"/>
  <c r="AA28" i="11" s="1"/>
  <c r="AA30" i="11" s="1"/>
  <c r="AA16" i="17" s="1"/>
  <c r="AB73" i="8"/>
  <c r="AB74" i="8" s="1"/>
  <c r="AB13" i="11"/>
  <c r="AB13" i="17" s="1"/>
  <c r="AH51" i="17"/>
  <c r="AH127" i="10"/>
  <c r="AI75" i="10"/>
  <c r="AI81" i="10" s="1"/>
  <c r="AI73" i="10"/>
  <c r="AI40" i="17"/>
  <c r="AI122" i="10"/>
  <c r="AI123" i="10"/>
  <c r="AI41" i="17"/>
  <c r="AI39" i="17"/>
  <c r="AI121" i="10"/>
  <c r="AH82" i="10"/>
  <c r="AH85" i="10" s="1"/>
  <c r="AH77" i="10"/>
  <c r="AH84" i="17"/>
  <c r="AH86" i="17" s="1"/>
  <c r="AH50" i="17"/>
  <c r="AH126" i="10"/>
  <c r="AJ71" i="10"/>
  <c r="AJ117" i="10"/>
  <c r="AJ83" i="10"/>
  <c r="AJ118" i="10"/>
  <c r="AJ116" i="10"/>
  <c r="AJ80" i="10"/>
  <c r="AJ67" i="10"/>
  <c r="AJ68" i="10" s="1"/>
  <c r="AK105" i="10"/>
  <c r="AK62" i="10"/>
  <c r="AK63" i="10"/>
  <c r="AK64" i="10"/>
  <c r="AK17" i="11"/>
  <c r="AK20" i="11"/>
  <c r="AK23" i="11" s="1"/>
  <c r="AK26" i="11"/>
  <c r="AK65" i="10"/>
  <c r="AK107" i="10" s="1"/>
  <c r="AK66" i="10"/>
  <c r="AK106" i="10"/>
  <c r="AK54" i="10"/>
  <c r="AK56" i="10" s="1"/>
  <c r="AL49" i="10"/>
  <c r="AL105" i="10" s="1"/>
  <c r="AA12" i="17"/>
  <c r="AA11" i="17"/>
  <c r="AA15" i="17"/>
  <c r="K97" i="17"/>
  <c r="K67" i="17"/>
  <c r="L33" i="17"/>
  <c r="L57" i="17"/>
  <c r="L64" i="17" s="1"/>
  <c r="L56" i="17"/>
  <c r="L63" i="17" s="1"/>
  <c r="L55" i="17"/>
  <c r="L62" i="17" s="1"/>
  <c r="X49" i="17"/>
  <c r="X48" i="17"/>
  <c r="X47" i="17"/>
  <c r="X46" i="17"/>
  <c r="V26" i="17"/>
  <c r="V32" i="17"/>
  <c r="V87" i="17" s="1"/>
  <c r="Y96" i="10"/>
  <c r="Y101" i="10" s="1"/>
  <c r="Y69" i="11" s="1"/>
  <c r="Y70" i="11" s="1"/>
  <c r="Y89" i="11" s="1"/>
  <c r="Y15" i="6" s="1"/>
  <c r="Y36" i="17"/>
  <c r="Y42" i="17" s="1"/>
  <c r="AA98" i="10"/>
  <c r="W177" i="9"/>
  <c r="W193" i="9" s="1"/>
  <c r="W25" i="17"/>
  <c r="AA31" i="17"/>
  <c r="AA99" i="10"/>
  <c r="AA38" i="17"/>
  <c r="AA44" i="17" s="1"/>
  <c r="W143" i="6"/>
  <c r="W176" i="6"/>
  <c r="W122" i="6"/>
  <c r="AB93" i="10"/>
  <c r="AM48" i="10"/>
  <c r="AM47" i="10"/>
  <c r="AM46" i="10"/>
  <c r="AM45" i="10"/>
  <c r="AM44" i="10"/>
  <c r="AM43" i="10"/>
  <c r="AM42" i="10"/>
  <c r="AM41" i="10"/>
  <c r="AM40" i="10"/>
  <c r="AM39" i="10"/>
  <c r="AM38" i="10"/>
  <c r="AM37" i="10"/>
  <c r="AM36" i="10"/>
  <c r="AM35" i="10"/>
  <c r="AM34" i="10"/>
  <c r="AM33" i="10"/>
  <c r="W126" i="6"/>
  <c r="W157" i="6"/>
  <c r="W8" i="6"/>
  <c r="W165" i="6"/>
  <c r="W128" i="6"/>
  <c r="AK80" i="6"/>
  <c r="AL20" i="13"/>
  <c r="AL27" i="13" s="1"/>
  <c r="AL10" i="13"/>
  <c r="AL32" i="13"/>
  <c r="X9" i="6"/>
  <c r="X51" i="12"/>
  <c r="X41" i="6" s="1"/>
  <c r="X45" i="12"/>
  <c r="X39" i="6" s="1"/>
  <c r="X69" i="11"/>
  <c r="X70" i="11" s="1"/>
  <c r="X89" i="11" s="1"/>
  <c r="X15" i="6" s="1"/>
  <c r="X79" i="11"/>
  <c r="AN16" i="7"/>
  <c r="AN34" i="7" s="1"/>
  <c r="AN29" i="10" s="1"/>
  <c r="AN30" i="10" s="1"/>
  <c r="AM17" i="7"/>
  <c r="AM27" i="6" s="1"/>
  <c r="AL93" i="6"/>
  <c r="AM28" i="12"/>
  <c r="AM8" i="13"/>
  <c r="AB40" i="14"/>
  <c r="T50" i="12"/>
  <c r="AA62" i="8"/>
  <c r="AA89" i="10" s="1"/>
  <c r="AB64" i="14"/>
  <c r="AB77" i="11" s="1"/>
  <c r="AB46" i="14"/>
  <c r="AB63" i="8" s="1"/>
  <c r="AB90" i="10" s="1"/>
  <c r="AB97" i="10" s="1"/>
  <c r="AB48" i="14"/>
  <c r="AB49" i="14"/>
  <c r="AB47" i="14"/>
  <c r="AB64" i="8" s="1"/>
  <c r="AB91" i="10" s="1"/>
  <c r="AC63" i="14"/>
  <c r="AC62" i="14"/>
  <c r="AC61" i="14"/>
  <c r="AC60" i="14"/>
  <c r="AC59" i="14"/>
  <c r="AC58" i="14"/>
  <c r="AC57" i="14"/>
  <c r="AC56" i="14"/>
  <c r="AC55" i="14"/>
  <c r="AC54" i="14"/>
  <c r="AC53" i="14"/>
  <c r="AC52" i="14"/>
  <c r="AC36" i="14"/>
  <c r="AC35" i="14"/>
  <c r="AC34" i="14"/>
  <c r="AC33" i="14"/>
  <c r="AC32" i="14"/>
  <c r="AC31" i="14"/>
  <c r="AC30" i="14"/>
  <c r="AC29" i="14"/>
  <c r="AC39" i="14" s="1"/>
  <c r="AC28" i="14"/>
  <c r="AC27" i="14"/>
  <c r="AC26" i="14"/>
  <c r="AC25" i="14"/>
  <c r="AB5" i="13"/>
  <c r="AB5" i="14"/>
  <c r="K53" i="12"/>
  <c r="K54" i="12" s="1"/>
  <c r="K37" i="12" s="1"/>
  <c r="K49" i="6"/>
  <c r="Z19" i="13"/>
  <c r="Z21" i="13" s="1"/>
  <c r="Y37" i="13"/>
  <c r="Y61" i="6" s="1"/>
  <c r="X179" i="9"/>
  <c r="X91" i="11"/>
  <c r="X17" i="6" s="1"/>
  <c r="Z65" i="11"/>
  <c r="Z17" i="17" s="1"/>
  <c r="AB5" i="12"/>
  <c r="AB5" i="6"/>
  <c r="L86" i="11"/>
  <c r="L49" i="12"/>
  <c r="L40" i="6" s="1"/>
  <c r="M53" i="10"/>
  <c r="U59" i="11"/>
  <c r="AB60" i="8"/>
  <c r="AC59" i="8"/>
  <c r="AD22" i="7"/>
  <c r="X161" i="9"/>
  <c r="Y145" i="9"/>
  <c r="AA160" i="9"/>
  <c r="AA176" i="9" s="1"/>
  <c r="AA192" i="9" s="1"/>
  <c r="AB144" i="9"/>
  <c r="W187" i="9"/>
  <c r="X171" i="9"/>
  <c r="Y155" i="9" s="1"/>
  <c r="Z139" i="9"/>
  <c r="V173" i="9"/>
  <c r="W157" i="9"/>
  <c r="V57" i="11"/>
  <c r="V56" i="11"/>
  <c r="AB68" i="11"/>
  <c r="AB10" i="11"/>
  <c r="AB22" i="17" s="1"/>
  <c r="AB9" i="11"/>
  <c r="AB10" i="17" s="1"/>
  <c r="AB11" i="11"/>
  <c r="AB12" i="11"/>
  <c r="AB65" i="8"/>
  <c r="AB92" i="10" s="1"/>
  <c r="AB34" i="11"/>
  <c r="AB35" i="11"/>
  <c r="AB36" i="11"/>
  <c r="AB37" i="11"/>
  <c r="AB38" i="11"/>
  <c r="AB39" i="11"/>
  <c r="AB23" i="17" s="1"/>
  <c r="AB40" i="11"/>
  <c r="AB41" i="11"/>
  <c r="AB42" i="11"/>
  <c r="AB43" i="11"/>
  <c r="AB44" i="11"/>
  <c r="AB45" i="11"/>
  <c r="AB46" i="11"/>
  <c r="AB47" i="11"/>
  <c r="AB48" i="11"/>
  <c r="AB49" i="11"/>
  <c r="AB29" i="11"/>
  <c r="AB75" i="11"/>
  <c r="AB74" i="11"/>
  <c r="AB73" i="11"/>
  <c r="AB76" i="11"/>
  <c r="AB58" i="11"/>
  <c r="AB18" i="11"/>
  <c r="AB19" i="11" s="1"/>
  <c r="AB24" i="17" s="1"/>
  <c r="AB21" i="11"/>
  <c r="AB22" i="11" s="1"/>
  <c r="AB24" i="11"/>
  <c r="AB25" i="11" s="1"/>
  <c r="AB62" i="11"/>
  <c r="AA50" i="11"/>
  <c r="AA51" i="11"/>
  <c r="Z52" i="11"/>
  <c r="AC58" i="8"/>
  <c r="AC57" i="8"/>
  <c r="AB5" i="11"/>
  <c r="AB5" i="10"/>
  <c r="AB5" i="9"/>
  <c r="AB55" i="8"/>
  <c r="AD147" i="9"/>
  <c r="AD142" i="9"/>
  <c r="AD11" i="7"/>
  <c r="AC12" i="7"/>
  <c r="AC5" i="17" s="1"/>
  <c r="AC13" i="7"/>
  <c r="AC27" i="10" s="1"/>
  <c r="K169" i="6" l="1"/>
  <c r="J18" i="6"/>
  <c r="J178" i="6"/>
  <c r="J177" i="6"/>
  <c r="J155" i="6"/>
  <c r="J124" i="6"/>
  <c r="G36" i="12"/>
  <c r="G39" i="12" s="1"/>
  <c r="G21" i="6"/>
  <c r="G173" i="6"/>
  <c r="G190" i="6" s="1"/>
  <c r="W121" i="6"/>
  <c r="K98" i="17"/>
  <c r="K88" i="11"/>
  <c r="F101" i="9"/>
  <c r="BM99" i="9"/>
  <c r="BL99" i="9"/>
  <c r="BK99" i="9"/>
  <c r="BH99" i="9"/>
  <c r="BG99" i="9"/>
  <c r="AZ99" i="9"/>
  <c r="AW99" i="9"/>
  <c r="AR99" i="9"/>
  <c r="AQ99" i="9"/>
  <c r="AK99" i="9"/>
  <c r="AD99" i="9"/>
  <c r="AA99" i="9"/>
  <c r="U99" i="9"/>
  <c r="R99" i="9"/>
  <c r="O99" i="9"/>
  <c r="J99" i="9"/>
  <c r="BO99" i="9"/>
  <c r="BJ99" i="9"/>
  <c r="BB99" i="9"/>
  <c r="AS99" i="9"/>
  <c r="AP99" i="9"/>
  <c r="AM99" i="9"/>
  <c r="AG99" i="9"/>
  <c r="AE99" i="9"/>
  <c r="Y99" i="9"/>
  <c r="X99" i="9"/>
  <c r="M99" i="9"/>
  <c r="G99" i="9"/>
  <c r="BC99" i="9"/>
  <c r="AX99" i="9"/>
  <c r="AT99" i="9"/>
  <c r="AL99" i="9"/>
  <c r="AB99" i="9"/>
  <c r="V99" i="9"/>
  <c r="Q99" i="9"/>
  <c r="H99" i="9"/>
  <c r="L99" i="9"/>
  <c r="BE99" i="9"/>
  <c r="AY99" i="9"/>
  <c r="AN99" i="9"/>
  <c r="AH99" i="9"/>
  <c r="AF99" i="9"/>
  <c r="AC99" i="9"/>
  <c r="P99" i="9"/>
  <c r="I99" i="9"/>
  <c r="BN99" i="9"/>
  <c r="BI99" i="9"/>
  <c r="BD99" i="9"/>
  <c r="AV99" i="9"/>
  <c r="AO99" i="9"/>
  <c r="AJ99" i="9"/>
  <c r="Z99" i="9"/>
  <c r="S99" i="9"/>
  <c r="K99" i="9"/>
  <c r="W99" i="9"/>
  <c r="BF99" i="9"/>
  <c r="BA99" i="9"/>
  <c r="AU99" i="9"/>
  <c r="AI99" i="9"/>
  <c r="T99" i="9"/>
  <c r="N99" i="9"/>
  <c r="X143" i="6"/>
  <c r="AC80" i="11"/>
  <c r="AC66" i="8"/>
  <c r="AB64" i="11"/>
  <c r="AB63" i="11"/>
  <c r="AB190" i="9"/>
  <c r="AC158" i="9"/>
  <c r="AC174" i="9" s="1"/>
  <c r="U188" i="9"/>
  <c r="V140" i="9"/>
  <c r="P189" i="9"/>
  <c r="P55" i="11"/>
  <c r="Q141" i="9"/>
  <c r="V14" i="17"/>
  <c r="AD143" i="9"/>
  <c r="AC159" i="9"/>
  <c r="AC175" i="9" s="1"/>
  <c r="AC191" i="9" s="1"/>
  <c r="AC146" i="9"/>
  <c r="AB162" i="9"/>
  <c r="AB178" i="9" s="1"/>
  <c r="AB194" i="9" s="1"/>
  <c r="AB165" i="9"/>
  <c r="AB181" i="9" s="1"/>
  <c r="AB197" i="9" s="1"/>
  <c r="AC149" i="9"/>
  <c r="V88" i="17"/>
  <c r="AB27" i="11"/>
  <c r="AB28" i="11" s="1"/>
  <c r="AB30" i="11" s="1"/>
  <c r="AB16" i="17" s="1"/>
  <c r="AB75" i="8"/>
  <c r="AB57" i="10" s="1"/>
  <c r="AC73" i="8"/>
  <c r="AC74" i="8" s="1"/>
  <c r="AC13" i="11"/>
  <c r="AC13" i="17" s="1"/>
  <c r="AI74" i="10"/>
  <c r="AI84" i="17"/>
  <c r="AI86" i="17" s="1"/>
  <c r="AI77" i="10"/>
  <c r="AI82" i="10"/>
  <c r="AI85" i="10" s="1"/>
  <c r="AI127" i="10"/>
  <c r="AI51" i="17"/>
  <c r="AI52" i="17"/>
  <c r="AI128" i="10"/>
  <c r="AJ119" i="10"/>
  <c r="AJ124" i="10" s="1"/>
  <c r="AJ123" i="10"/>
  <c r="AJ41" i="17"/>
  <c r="AI50" i="17"/>
  <c r="AI126" i="10"/>
  <c r="AH98" i="11"/>
  <c r="AH104" i="11"/>
  <c r="AH106" i="11"/>
  <c r="AH105" i="11"/>
  <c r="AH103" i="11"/>
  <c r="AH102" i="11"/>
  <c r="AJ72" i="10"/>
  <c r="AJ75" i="10" s="1"/>
  <c r="AJ81" i="10" s="1"/>
  <c r="AJ40" i="17"/>
  <c r="AJ122" i="10"/>
  <c r="AJ39" i="17"/>
  <c r="AJ121" i="10"/>
  <c r="AK116" i="10"/>
  <c r="AK67" i="10"/>
  <c r="AK68" i="10" s="1"/>
  <c r="AK80" i="10"/>
  <c r="AK71" i="10"/>
  <c r="AK117" i="10"/>
  <c r="AK83" i="10"/>
  <c r="AK118" i="10"/>
  <c r="AL63" i="10"/>
  <c r="AL62" i="10"/>
  <c r="L65" i="17"/>
  <c r="AL106" i="10"/>
  <c r="AL64" i="10"/>
  <c r="AL65" i="10"/>
  <c r="AL107" i="10" s="1"/>
  <c r="AL66" i="10"/>
  <c r="AL17" i="11"/>
  <c r="AL20" i="11"/>
  <c r="AL23" i="11" s="1"/>
  <c r="AL26" i="11"/>
  <c r="AL54" i="10"/>
  <c r="AL56" i="10" s="1"/>
  <c r="AB12" i="17"/>
  <c r="AB11" i="17"/>
  <c r="AB15" i="17"/>
  <c r="L95" i="17"/>
  <c r="L94" i="17"/>
  <c r="W26" i="17"/>
  <c r="W32" i="17"/>
  <c r="W87" i="17" s="1"/>
  <c r="AM49" i="10"/>
  <c r="Z96" i="10"/>
  <c r="Z101" i="10" s="1"/>
  <c r="Z36" i="17"/>
  <c r="Z42" i="17" s="1"/>
  <c r="AB98" i="10"/>
  <c r="X177" i="9"/>
  <c r="X25" i="17"/>
  <c r="AB31" i="17"/>
  <c r="AB99" i="10"/>
  <c r="AB38" i="17"/>
  <c r="AB44" i="17" s="1"/>
  <c r="AC93" i="10"/>
  <c r="AN48" i="10"/>
  <c r="AN47" i="10"/>
  <c r="AN46" i="10"/>
  <c r="AN45" i="10"/>
  <c r="AN44" i="10"/>
  <c r="AN43" i="10"/>
  <c r="AN42" i="10"/>
  <c r="AN41" i="10"/>
  <c r="AN40" i="10"/>
  <c r="AN39" i="10"/>
  <c r="AN38" i="10"/>
  <c r="AN37" i="10"/>
  <c r="AN36" i="10"/>
  <c r="AN35" i="10"/>
  <c r="AN34" i="10"/>
  <c r="AN33" i="10"/>
  <c r="AL80" i="6"/>
  <c r="X122" i="6"/>
  <c r="X165" i="6"/>
  <c r="X176" i="6"/>
  <c r="X8" i="6"/>
  <c r="X126" i="6"/>
  <c r="X157" i="6"/>
  <c r="AN17" i="7"/>
  <c r="AN27" i="6" s="1"/>
  <c r="AO16" i="7"/>
  <c r="AO34" i="7" s="1"/>
  <c r="AO29" i="10" s="1"/>
  <c r="AO30" i="10" s="1"/>
  <c r="AM93" i="6"/>
  <c r="X128" i="6"/>
  <c r="AN28" i="12"/>
  <c r="AN8" i="13"/>
  <c r="Y79" i="11"/>
  <c r="Y108" i="10"/>
  <c r="Y9" i="6"/>
  <c r="Y51" i="12"/>
  <c r="Y41" i="6" s="1"/>
  <c r="Y45" i="12"/>
  <c r="Y39" i="6" s="1"/>
  <c r="U50" i="12"/>
  <c r="AC40" i="14"/>
  <c r="AC64" i="14"/>
  <c r="AC77" i="11" s="1"/>
  <c r="AB62" i="8"/>
  <c r="AB89" i="10" s="1"/>
  <c r="AC47" i="14"/>
  <c r="AC64" i="8" s="1"/>
  <c r="AC91" i="10" s="1"/>
  <c r="AC48" i="14"/>
  <c r="AC49" i="14"/>
  <c r="AC46" i="14"/>
  <c r="AC63" i="8" s="1"/>
  <c r="AC90" i="10" s="1"/>
  <c r="AC97" i="10" s="1"/>
  <c r="AD63" i="14"/>
  <c r="AD62" i="14"/>
  <c r="AD61" i="14"/>
  <c r="AD60" i="14"/>
  <c r="AD59" i="14"/>
  <c r="AD58" i="14"/>
  <c r="AD57" i="14"/>
  <c r="AD56" i="14"/>
  <c r="AD55" i="14"/>
  <c r="AD54" i="14"/>
  <c r="AD53" i="14"/>
  <c r="AD52" i="14"/>
  <c r="AD36" i="14"/>
  <c r="AD35" i="14"/>
  <c r="AD34" i="14"/>
  <c r="AD33" i="14"/>
  <c r="AD32" i="14"/>
  <c r="AD31" i="14"/>
  <c r="AD30" i="14"/>
  <c r="AD29" i="14"/>
  <c r="AD39" i="14" s="1"/>
  <c r="AD28" i="14"/>
  <c r="AD27" i="14"/>
  <c r="AD26" i="14"/>
  <c r="AD25" i="14"/>
  <c r="AC5" i="13"/>
  <c r="AC5" i="14"/>
  <c r="AA65" i="11"/>
  <c r="AA17" i="17" s="1"/>
  <c r="V59" i="11"/>
  <c r="K71" i="6"/>
  <c r="K103" i="6"/>
  <c r="AA19" i="13"/>
  <c r="AA21" i="13" s="1"/>
  <c r="Z37" i="13"/>
  <c r="Z61" i="6" s="1"/>
  <c r="Y163" i="9"/>
  <c r="X195" i="9"/>
  <c r="AC5" i="12"/>
  <c r="AC5" i="6"/>
  <c r="L97" i="11"/>
  <c r="L93" i="11"/>
  <c r="L94" i="11" s="1"/>
  <c r="M59" i="10"/>
  <c r="M8" i="11" s="1"/>
  <c r="M9" i="17" s="1"/>
  <c r="M55" i="10"/>
  <c r="AC60" i="8"/>
  <c r="AD59" i="8"/>
  <c r="AE22" i="7"/>
  <c r="Z145" i="9"/>
  <c r="AB160" i="9"/>
  <c r="AB176" i="9" s="1"/>
  <c r="AB192" i="9" s="1"/>
  <c r="AC144" i="9"/>
  <c r="X187" i="9"/>
  <c r="Y171" i="9"/>
  <c r="Z155" i="9" s="1"/>
  <c r="AA139" i="9"/>
  <c r="W173" i="9"/>
  <c r="X157" i="9"/>
  <c r="W56" i="11"/>
  <c r="W57" i="11"/>
  <c r="AC68" i="11"/>
  <c r="AC10" i="11"/>
  <c r="AC22" i="17" s="1"/>
  <c r="AC9" i="11"/>
  <c r="AC10" i="17" s="1"/>
  <c r="AC12" i="11"/>
  <c r="AC11" i="11"/>
  <c r="AC65" i="8"/>
  <c r="AC92" i="10" s="1"/>
  <c r="AC34" i="11"/>
  <c r="AC35" i="11"/>
  <c r="AC36" i="11"/>
  <c r="AC37" i="11"/>
  <c r="AC38" i="11"/>
  <c r="AC39" i="11"/>
  <c r="AC23" i="17" s="1"/>
  <c r="AC40" i="11"/>
  <c r="AC41" i="11"/>
  <c r="AC42" i="11"/>
  <c r="AC43" i="11"/>
  <c r="AC44" i="11"/>
  <c r="AC45" i="11"/>
  <c r="AC46" i="11"/>
  <c r="AC47" i="11"/>
  <c r="AC48" i="11"/>
  <c r="AC49" i="11"/>
  <c r="AC29" i="11"/>
  <c r="AC73" i="11"/>
  <c r="AC58" i="11"/>
  <c r="AC74" i="11"/>
  <c r="AC75" i="11"/>
  <c r="AC76" i="11"/>
  <c r="AC18" i="11"/>
  <c r="AC19" i="11" s="1"/>
  <c r="AC24" i="17" s="1"/>
  <c r="AC21" i="11"/>
  <c r="AC22" i="11" s="1"/>
  <c r="AC24" i="11"/>
  <c r="AC25" i="11" s="1"/>
  <c r="AC62" i="11"/>
  <c r="AB50" i="11"/>
  <c r="AB51" i="11"/>
  <c r="AA52" i="11"/>
  <c r="AD58" i="8"/>
  <c r="AD57" i="8"/>
  <c r="AC5" i="11"/>
  <c r="AC5" i="10"/>
  <c r="AC5" i="9"/>
  <c r="AC55" i="8"/>
  <c r="AE147" i="9"/>
  <c r="AE142" i="9"/>
  <c r="AE11" i="7"/>
  <c r="AD12" i="7"/>
  <c r="AD5" i="17" s="1"/>
  <c r="AD13" i="7"/>
  <c r="AD27" i="10" s="1"/>
  <c r="J129" i="6" l="1"/>
  <c r="J24" i="6"/>
  <c r="G132" i="6"/>
  <c r="G22" i="6"/>
  <c r="K87" i="11"/>
  <c r="K11" i="6" s="1"/>
  <c r="K12" i="6"/>
  <c r="X121" i="6"/>
  <c r="BM102" i="9"/>
  <c r="BM115" i="9" s="1"/>
  <c r="BM131" i="9"/>
  <c r="BL102" i="9"/>
  <c r="BL115" i="9" s="1"/>
  <c r="BL131" i="9"/>
  <c r="BK102" i="9"/>
  <c r="BK115" i="9" s="1"/>
  <c r="BK131" i="9"/>
  <c r="BH102" i="9"/>
  <c r="BH115" i="9" s="1"/>
  <c r="BH131" i="9"/>
  <c r="BG102" i="9"/>
  <c r="BG115" i="9" s="1"/>
  <c r="BG131" i="9"/>
  <c r="AZ102" i="9"/>
  <c r="AZ115" i="9" s="1"/>
  <c r="AZ131" i="9"/>
  <c r="AW102" i="9"/>
  <c r="AW115" i="9" s="1"/>
  <c r="AW131" i="9"/>
  <c r="AR102" i="9"/>
  <c r="AR115" i="9" s="1"/>
  <c r="AR131" i="9"/>
  <c r="AQ102" i="9"/>
  <c r="AQ115" i="9" s="1"/>
  <c r="AQ131" i="9"/>
  <c r="AK102" i="9"/>
  <c r="AK115" i="9" s="1"/>
  <c r="AK131" i="9"/>
  <c r="AD102" i="9"/>
  <c r="AD115" i="9" s="1"/>
  <c r="AD131" i="9"/>
  <c r="U102" i="9"/>
  <c r="U115" i="9" s="1"/>
  <c r="U131" i="9"/>
  <c r="R102" i="9"/>
  <c r="R115" i="9" s="1"/>
  <c r="R131" i="9"/>
  <c r="O102" i="9"/>
  <c r="O115" i="9" s="1"/>
  <c r="O131" i="9"/>
  <c r="J102" i="9"/>
  <c r="J115" i="9" s="1"/>
  <c r="J131" i="9"/>
  <c r="BO102" i="9"/>
  <c r="BO115" i="9" s="1"/>
  <c r="BO131" i="9"/>
  <c r="BJ102" i="9"/>
  <c r="BJ115" i="9" s="1"/>
  <c r="BJ131" i="9"/>
  <c r="BB102" i="9"/>
  <c r="BB115" i="9" s="1"/>
  <c r="BB131" i="9"/>
  <c r="AS102" i="9"/>
  <c r="AS115" i="9" s="1"/>
  <c r="AS131" i="9"/>
  <c r="AP102" i="9"/>
  <c r="AP115" i="9" s="1"/>
  <c r="AP131" i="9"/>
  <c r="AM102" i="9"/>
  <c r="AM115" i="9" s="1"/>
  <c r="AM131" i="9"/>
  <c r="AG102" i="9"/>
  <c r="AG115" i="9" s="1"/>
  <c r="AG131" i="9"/>
  <c r="AE102" i="9"/>
  <c r="AE115" i="9" s="1"/>
  <c r="AE131" i="9"/>
  <c r="Y102" i="9"/>
  <c r="Y115" i="9" s="1"/>
  <c r="Y131" i="9"/>
  <c r="X102" i="9"/>
  <c r="X115" i="9" s="1"/>
  <c r="X131" i="9"/>
  <c r="M102" i="9"/>
  <c r="M115" i="9" s="1"/>
  <c r="M131" i="9"/>
  <c r="G102" i="9"/>
  <c r="G115" i="9" s="1"/>
  <c r="G131" i="9"/>
  <c r="G148" i="9" s="1"/>
  <c r="BC102" i="9"/>
  <c r="BC115" i="9" s="1"/>
  <c r="BC131" i="9"/>
  <c r="AX102" i="9"/>
  <c r="AX115" i="9" s="1"/>
  <c r="AX131" i="9"/>
  <c r="AT102" i="9"/>
  <c r="AT115" i="9" s="1"/>
  <c r="AT131" i="9"/>
  <c r="AL102" i="9"/>
  <c r="AL115" i="9" s="1"/>
  <c r="AL131" i="9"/>
  <c r="AB102" i="9"/>
  <c r="AB115" i="9" s="1"/>
  <c r="AB131" i="9"/>
  <c r="V102" i="9"/>
  <c r="V115" i="9" s="1"/>
  <c r="V131" i="9"/>
  <c r="Q102" i="9"/>
  <c r="Q115" i="9" s="1"/>
  <c r="Q131" i="9"/>
  <c r="H102" i="9"/>
  <c r="H115" i="9" s="1"/>
  <c r="H131" i="9"/>
  <c r="L102" i="9"/>
  <c r="L115" i="9" s="1"/>
  <c r="L131" i="9"/>
  <c r="BE102" i="9"/>
  <c r="BE115" i="9" s="1"/>
  <c r="BE131" i="9"/>
  <c r="AY102" i="9"/>
  <c r="AY115" i="9" s="1"/>
  <c r="AY131" i="9"/>
  <c r="AN102" i="9"/>
  <c r="AN115" i="9" s="1"/>
  <c r="AN131" i="9"/>
  <c r="AH102" i="9"/>
  <c r="AH115" i="9" s="1"/>
  <c r="AH131" i="9"/>
  <c r="AF102" i="9"/>
  <c r="AF115" i="9" s="1"/>
  <c r="AF131" i="9"/>
  <c r="AC102" i="9"/>
  <c r="AC115" i="9" s="1"/>
  <c r="AC131" i="9"/>
  <c r="P102" i="9"/>
  <c r="P115" i="9" s="1"/>
  <c r="P131" i="9"/>
  <c r="I102" i="9"/>
  <c r="I115" i="9" s="1"/>
  <c r="I131" i="9"/>
  <c r="BN102" i="9"/>
  <c r="BN115" i="9" s="1"/>
  <c r="BN131" i="9"/>
  <c r="BI102" i="9"/>
  <c r="BI115" i="9" s="1"/>
  <c r="BI131" i="9"/>
  <c r="BD102" i="9"/>
  <c r="BD115" i="9" s="1"/>
  <c r="BD131" i="9"/>
  <c r="AV102" i="9"/>
  <c r="AV115" i="9" s="1"/>
  <c r="AV131" i="9"/>
  <c r="AO102" i="9"/>
  <c r="AO115" i="9" s="1"/>
  <c r="AO131" i="9"/>
  <c r="AJ102" i="9"/>
  <c r="AJ115" i="9" s="1"/>
  <c r="AJ131" i="9"/>
  <c r="Z102" i="9"/>
  <c r="Z115" i="9" s="1"/>
  <c r="Z131" i="9"/>
  <c r="S102" i="9"/>
  <c r="S115" i="9" s="1"/>
  <c r="S131" i="9"/>
  <c r="K102" i="9"/>
  <c r="K115" i="9" s="1"/>
  <c r="K131" i="9"/>
  <c r="W102" i="9"/>
  <c r="W115" i="9" s="1"/>
  <c r="W131" i="9"/>
  <c r="BF102" i="9"/>
  <c r="BF115" i="9" s="1"/>
  <c r="BF131" i="9"/>
  <c r="BA102" i="9"/>
  <c r="BA115" i="9" s="1"/>
  <c r="BA131" i="9"/>
  <c r="AU102" i="9"/>
  <c r="AU115" i="9" s="1"/>
  <c r="AU131" i="9"/>
  <c r="AI102" i="9"/>
  <c r="AI115" i="9" s="1"/>
  <c r="AI131" i="9"/>
  <c r="T102" i="9"/>
  <c r="T115" i="9" s="1"/>
  <c r="T131" i="9"/>
  <c r="N102" i="9"/>
  <c r="N115" i="9" s="1"/>
  <c r="N131" i="9"/>
  <c r="AA101" i="9"/>
  <c r="F102" i="9"/>
  <c r="F115" i="9" s="1"/>
  <c r="AD80" i="11"/>
  <c r="AD66" i="8"/>
  <c r="AC63" i="11"/>
  <c r="AC64" i="11"/>
  <c r="AC190" i="9"/>
  <c r="AD158" i="9"/>
  <c r="AD174" i="9" s="1"/>
  <c r="V188" i="9"/>
  <c r="W140" i="9"/>
  <c r="Q55" i="11"/>
  <c r="R141" i="9"/>
  <c r="Q189" i="9"/>
  <c r="AE143" i="9"/>
  <c r="AD159" i="9"/>
  <c r="AD175" i="9" s="1"/>
  <c r="AD191" i="9" s="1"/>
  <c r="AC75" i="8"/>
  <c r="AC57" i="10" s="1"/>
  <c r="AC27" i="11"/>
  <c r="AC28" i="11" s="1"/>
  <c r="AC30" i="11" s="1"/>
  <c r="AC16" i="17" s="1"/>
  <c r="AN49" i="10"/>
  <c r="AD146" i="9"/>
  <c r="AC162" i="9"/>
  <c r="AC178" i="9" s="1"/>
  <c r="AC194" i="9" s="1"/>
  <c r="AI104" i="11"/>
  <c r="AI102" i="11"/>
  <c r="AC165" i="9"/>
  <c r="AC181" i="9" s="1"/>
  <c r="AC197" i="9" s="1"/>
  <c r="AD149" i="9"/>
  <c r="AD73" i="8"/>
  <c r="AD74" i="8" s="1"/>
  <c r="AI106" i="11"/>
  <c r="AI105" i="11"/>
  <c r="AI98" i="11"/>
  <c r="AI103" i="11"/>
  <c r="AD13" i="11"/>
  <c r="AD13" i="17" s="1"/>
  <c r="AJ52" i="17"/>
  <c r="AJ128" i="10"/>
  <c r="L66" i="17"/>
  <c r="L99" i="17"/>
  <c r="W88" i="17"/>
  <c r="AJ73" i="10"/>
  <c r="AJ74" i="10" s="1"/>
  <c r="AJ127" i="10"/>
  <c r="AJ51" i="17"/>
  <c r="AK123" i="10"/>
  <c r="AK41" i="17"/>
  <c r="AK119" i="10"/>
  <c r="AK124" i="10" s="1"/>
  <c r="AK72" i="10"/>
  <c r="AK40" i="17"/>
  <c r="AK122" i="10"/>
  <c r="AL71" i="10"/>
  <c r="AL72" i="10" s="1"/>
  <c r="AL75" i="10" s="1"/>
  <c r="AL81" i="10" s="1"/>
  <c r="AL117" i="10"/>
  <c r="AJ126" i="10"/>
  <c r="AJ50" i="17"/>
  <c r="AK121" i="10"/>
  <c r="AK39" i="17"/>
  <c r="L96" i="17"/>
  <c r="AL116" i="10"/>
  <c r="AL80" i="10"/>
  <c r="AL83" i="10"/>
  <c r="AL118" i="10"/>
  <c r="AL67" i="10"/>
  <c r="AL68" i="10" s="1"/>
  <c r="AM106" i="10"/>
  <c r="AM105" i="10"/>
  <c r="AM62" i="10"/>
  <c r="AM63" i="10"/>
  <c r="AM64" i="10"/>
  <c r="AM65" i="10"/>
  <c r="AM107" i="10" s="1"/>
  <c r="AM66" i="10"/>
  <c r="AM17" i="11"/>
  <c r="AM20" i="11"/>
  <c r="AM23" i="11" s="1"/>
  <c r="AM26" i="11"/>
  <c r="AM54" i="10"/>
  <c r="AM56" i="10" s="1"/>
  <c r="Z9" i="6"/>
  <c r="Z69" i="11"/>
  <c r="Z70" i="11" s="1"/>
  <c r="Z89" i="11" s="1"/>
  <c r="Z15" i="6" s="1"/>
  <c r="Z79" i="11"/>
  <c r="Z108" i="10"/>
  <c r="W14" i="17"/>
  <c r="AC12" i="17"/>
  <c r="AC11" i="17"/>
  <c r="AC15" i="17"/>
  <c r="X193" i="9"/>
  <c r="Y161" i="9"/>
  <c r="X26" i="17"/>
  <c r="X32" i="17"/>
  <c r="X87" i="17" s="1"/>
  <c r="Z51" i="12"/>
  <c r="Z41" i="6" s="1"/>
  <c r="Z45" i="12"/>
  <c r="Z39" i="6" s="1"/>
  <c r="AA96" i="10"/>
  <c r="AA101" i="10" s="1"/>
  <c r="AA36" i="17"/>
  <c r="AA42" i="17" s="1"/>
  <c r="AC98" i="10"/>
  <c r="M19" i="17"/>
  <c r="M29" i="17"/>
  <c r="AC31" i="17"/>
  <c r="AC99" i="10"/>
  <c r="AC38" i="17"/>
  <c r="AC44" i="17" s="1"/>
  <c r="AD93" i="10"/>
  <c r="AO48" i="10"/>
  <c r="AO47" i="10"/>
  <c r="AO46" i="10"/>
  <c r="AO45" i="10"/>
  <c r="AO44" i="10"/>
  <c r="AO43" i="10"/>
  <c r="AO42" i="10"/>
  <c r="AO41" i="10"/>
  <c r="AO40" i="10"/>
  <c r="AO39" i="10"/>
  <c r="AO38" i="10"/>
  <c r="AO37" i="10"/>
  <c r="AO36" i="10"/>
  <c r="AO35" i="10"/>
  <c r="AO34" i="10"/>
  <c r="AO33" i="10"/>
  <c r="AN93" i="6"/>
  <c r="AO28" i="12"/>
  <c r="AO8" i="13"/>
  <c r="AO17" i="7"/>
  <c r="AO27" i="6" s="1"/>
  <c r="AP16" i="7"/>
  <c r="AN10" i="13"/>
  <c r="AN32" i="13"/>
  <c r="AN20" i="13"/>
  <c r="AN27" i="13" s="1"/>
  <c r="Y143" i="6"/>
  <c r="Y126" i="6"/>
  <c r="Y157" i="6"/>
  <c r="Y122" i="6"/>
  <c r="Y165" i="6"/>
  <c r="Y176" i="6"/>
  <c r="Y8" i="6"/>
  <c r="AD64" i="14"/>
  <c r="AD77" i="11" s="1"/>
  <c r="V50" i="12"/>
  <c r="AD40" i="14"/>
  <c r="AC62" i="8"/>
  <c r="AC89" i="10" s="1"/>
  <c r="AD47" i="14"/>
  <c r="AD64" i="8" s="1"/>
  <c r="AD91" i="10" s="1"/>
  <c r="AD46" i="14"/>
  <c r="AD63" i="8" s="1"/>
  <c r="AD90" i="10" s="1"/>
  <c r="AD97" i="10" s="1"/>
  <c r="AD49" i="14"/>
  <c r="AD48" i="14"/>
  <c r="AE63" i="14"/>
  <c r="AE62" i="14"/>
  <c r="AE61" i="14"/>
  <c r="AE60" i="14"/>
  <c r="AE59" i="14"/>
  <c r="AE58" i="14"/>
  <c r="AE57" i="14"/>
  <c r="AE56" i="14"/>
  <c r="AE55" i="14"/>
  <c r="AE54" i="14"/>
  <c r="AE53" i="14"/>
  <c r="AE52" i="14"/>
  <c r="AE36" i="14"/>
  <c r="AE35" i="14"/>
  <c r="AE34" i="14"/>
  <c r="AE33" i="14"/>
  <c r="AE32" i="14"/>
  <c r="AE31" i="14"/>
  <c r="AE30" i="14"/>
  <c r="AE29" i="14"/>
  <c r="AE39" i="14" s="1"/>
  <c r="AE28" i="14"/>
  <c r="AE27" i="14"/>
  <c r="AE26" i="14"/>
  <c r="AE25" i="14"/>
  <c r="AD5" i="13"/>
  <c r="AD5" i="14"/>
  <c r="AB19" i="13"/>
  <c r="AB21" i="13" s="1"/>
  <c r="AA37" i="13"/>
  <c r="AA61" i="6" s="1"/>
  <c r="Y179" i="9"/>
  <c r="AD60" i="8"/>
  <c r="AD5" i="12"/>
  <c r="AD5" i="6"/>
  <c r="L109" i="11"/>
  <c r="L123" i="11" s="1"/>
  <c r="L110" i="11"/>
  <c r="L124" i="11" s="1"/>
  <c r="L111" i="11"/>
  <c r="L125" i="11" s="1"/>
  <c r="L112" i="11"/>
  <c r="L126" i="11" s="1"/>
  <c r="L113" i="11"/>
  <c r="L127" i="11" s="1"/>
  <c r="L47" i="12"/>
  <c r="L49" i="6" s="1"/>
  <c r="L52" i="12"/>
  <c r="L50" i="6" s="1"/>
  <c r="M14" i="11"/>
  <c r="M84" i="11" s="1"/>
  <c r="M46" i="12"/>
  <c r="N52" i="10"/>
  <c r="M48" i="12"/>
  <c r="AE59" i="8"/>
  <c r="AF22" i="7"/>
  <c r="AA145" i="9"/>
  <c r="AD144" i="9"/>
  <c r="AC160" i="9"/>
  <c r="AC176" i="9" s="1"/>
  <c r="AC192" i="9" s="1"/>
  <c r="Y187" i="9"/>
  <c r="Z171" i="9"/>
  <c r="AA155" i="9" s="1"/>
  <c r="AB139" i="9"/>
  <c r="X173" i="9"/>
  <c r="X56" i="11"/>
  <c r="X57" i="11"/>
  <c r="AD68" i="11"/>
  <c r="AD10" i="11"/>
  <c r="AD22" i="17" s="1"/>
  <c r="AD9" i="11"/>
  <c r="AD10" i="17" s="1"/>
  <c r="AD12" i="11"/>
  <c r="AD11" i="11"/>
  <c r="AD65" i="8"/>
  <c r="AD92" i="10" s="1"/>
  <c r="AD34" i="11"/>
  <c r="AD35" i="11"/>
  <c r="AD36" i="11"/>
  <c r="AD37" i="11"/>
  <c r="AD38" i="11"/>
  <c r="AD39" i="11"/>
  <c r="AD23" i="17" s="1"/>
  <c r="AD40" i="11"/>
  <c r="AD41" i="11"/>
  <c r="AD42" i="11"/>
  <c r="AD43" i="11"/>
  <c r="AD44" i="11"/>
  <c r="AD45" i="11"/>
  <c r="AD46" i="11"/>
  <c r="AD47" i="11"/>
  <c r="AD48" i="11"/>
  <c r="AD49" i="11"/>
  <c r="AD29" i="11"/>
  <c r="AD58" i="11"/>
  <c r="AD75" i="11"/>
  <c r="AD76" i="11"/>
  <c r="AD73" i="11"/>
  <c r="AD74" i="11"/>
  <c r="AD18" i="11"/>
  <c r="AD19" i="11" s="1"/>
  <c r="AD24" i="17" s="1"/>
  <c r="AD21" i="11"/>
  <c r="AD22" i="11" s="1"/>
  <c r="AD24" i="11"/>
  <c r="AD25" i="11" s="1"/>
  <c r="AD62" i="11"/>
  <c r="W59" i="11"/>
  <c r="AB65" i="11"/>
  <c r="AB17" i="17" s="1"/>
  <c r="AC50" i="11"/>
  <c r="AC51" i="11"/>
  <c r="AB52" i="11"/>
  <c r="AE58" i="8"/>
  <c r="AE57" i="8"/>
  <c r="AD5" i="11"/>
  <c r="AD5" i="10"/>
  <c r="AD5" i="9"/>
  <c r="AD55" i="8"/>
  <c r="AF147" i="9"/>
  <c r="AF142" i="9"/>
  <c r="AE12" i="7"/>
  <c r="AE5" i="17" s="1"/>
  <c r="AE13" i="7"/>
  <c r="AE27" i="10" s="1"/>
  <c r="AF11" i="7"/>
  <c r="L169" i="6" l="1"/>
  <c r="J135" i="6"/>
  <c r="J179" i="6"/>
  <c r="J35" i="12"/>
  <c r="J180" i="6"/>
  <c r="G182" i="6"/>
  <c r="G69" i="6"/>
  <c r="G72" i="6" s="1"/>
  <c r="G140" i="6" s="1"/>
  <c r="G159" i="6"/>
  <c r="G181" i="6"/>
  <c r="G133" i="6"/>
  <c r="G99" i="6"/>
  <c r="G9" i="13"/>
  <c r="G26" i="13" s="1"/>
  <c r="G28" i="13" s="1"/>
  <c r="K168" i="6"/>
  <c r="K156" i="6"/>
  <c r="K123" i="6"/>
  <c r="K13" i="6"/>
  <c r="Y121" i="6"/>
  <c r="G17" i="12"/>
  <c r="D17" i="12"/>
  <c r="AA102" i="9"/>
  <c r="AA115" i="9" s="1"/>
  <c r="AA131" i="9"/>
  <c r="S19" i="12"/>
  <c r="H19" i="12"/>
  <c r="P19" i="12"/>
  <c r="I19" i="12"/>
  <c r="G19" i="12"/>
  <c r="H148" i="9"/>
  <c r="G196" i="9"/>
  <c r="BK19" i="12"/>
  <c r="BH19" i="12"/>
  <c r="BG19" i="12"/>
  <c r="AZ19" i="12"/>
  <c r="AW19" i="12"/>
  <c r="AR19" i="12"/>
  <c r="AQ19" i="12"/>
  <c r="U19" i="12"/>
  <c r="R19" i="12"/>
  <c r="O19" i="12"/>
  <c r="J19" i="12"/>
  <c r="BO19" i="12"/>
  <c r="BJ19" i="12"/>
  <c r="BB19" i="12"/>
  <c r="AP19" i="12"/>
  <c r="AG19" i="12"/>
  <c r="Y19" i="12"/>
  <c r="M19" i="12"/>
  <c r="AX19" i="12"/>
  <c r="AL19" i="12"/>
  <c r="V19" i="12"/>
  <c r="Z19" i="12"/>
  <c r="K19" i="12"/>
  <c r="W19" i="12"/>
  <c r="T19" i="12"/>
  <c r="N19" i="12"/>
  <c r="X19" i="12"/>
  <c r="Q19" i="12"/>
  <c r="L19" i="12"/>
  <c r="AE80" i="11"/>
  <c r="AE66" i="8"/>
  <c r="AD63" i="11"/>
  <c r="AD64" i="11"/>
  <c r="AD190" i="9"/>
  <c r="AE158" i="9"/>
  <c r="AE174" i="9" s="1"/>
  <c r="W188" i="9"/>
  <c r="X140" i="9"/>
  <c r="R189" i="9"/>
  <c r="S141" i="9"/>
  <c r="R55" i="11"/>
  <c r="AF143" i="9"/>
  <c r="AE159" i="9"/>
  <c r="AE175" i="9" s="1"/>
  <c r="AE191" i="9" s="1"/>
  <c r="AN105" i="10"/>
  <c r="AN62" i="10"/>
  <c r="AN63" i="10"/>
  <c r="AN106" i="10"/>
  <c r="AN64" i="10"/>
  <c r="AN65" i="10"/>
  <c r="AN107" i="10" s="1"/>
  <c r="AN66" i="10"/>
  <c r="AN17" i="11"/>
  <c r="AN20" i="11"/>
  <c r="AN23" i="11" s="1"/>
  <c r="AN26" i="11"/>
  <c r="AN54" i="10"/>
  <c r="AN56" i="10" s="1"/>
  <c r="AD162" i="9"/>
  <c r="AD178" i="9" s="1"/>
  <c r="AD194" i="9" s="1"/>
  <c r="AE146" i="9"/>
  <c r="AD75" i="8"/>
  <c r="AD57" i="10" s="1"/>
  <c r="AD27" i="11"/>
  <c r="AD28" i="11" s="1"/>
  <c r="AD30" i="11" s="1"/>
  <c r="AD16" i="17" s="1"/>
  <c r="AD165" i="9"/>
  <c r="AD181" i="9" s="1"/>
  <c r="AD197" i="9" s="1"/>
  <c r="AE149" i="9"/>
  <c r="X88" i="17"/>
  <c r="AE73" i="8"/>
  <c r="AE74" i="8" s="1"/>
  <c r="AE13" i="11"/>
  <c r="AE13" i="17" s="1"/>
  <c r="L67" i="17"/>
  <c r="L97" i="17"/>
  <c r="AL40" i="17"/>
  <c r="AL122" i="10"/>
  <c r="AK52" i="17"/>
  <c r="AK128" i="10"/>
  <c r="AK127" i="10"/>
  <c r="AK51" i="17"/>
  <c r="AK73" i="10"/>
  <c r="AK75" i="10"/>
  <c r="AK81" i="10" s="1"/>
  <c r="AJ77" i="10"/>
  <c r="AJ82" i="10"/>
  <c r="AJ85" i="10" s="1"/>
  <c r="AJ84" i="17"/>
  <c r="AJ86" i="17" s="1"/>
  <c r="AK126" i="10"/>
  <c r="AK50" i="17"/>
  <c r="AL119" i="10"/>
  <c r="AL124" i="10" s="1"/>
  <c r="AL39" i="17"/>
  <c r="AL121" i="10"/>
  <c r="Z143" i="6"/>
  <c r="AL123" i="10"/>
  <c r="AL41" i="17"/>
  <c r="AM116" i="10"/>
  <c r="AM67" i="10"/>
  <c r="AM68" i="10" s="1"/>
  <c r="AM80" i="10"/>
  <c r="AM71" i="10"/>
  <c r="AM117" i="10"/>
  <c r="AM83" i="10"/>
  <c r="AM118" i="10"/>
  <c r="AL73" i="10"/>
  <c r="AL74" i="10" s="1"/>
  <c r="Z8" i="6"/>
  <c r="Z176" i="6"/>
  <c r="Z122" i="6"/>
  <c r="Z165" i="6"/>
  <c r="Z157" i="6"/>
  <c r="Z126" i="6"/>
  <c r="Y177" i="9"/>
  <c r="Y25" i="17"/>
  <c r="X14" i="17"/>
  <c r="AD12" i="17"/>
  <c r="AD11" i="17"/>
  <c r="AD15" i="17"/>
  <c r="M33" i="17"/>
  <c r="M57" i="17"/>
  <c r="M64" i="17" s="1"/>
  <c r="M56" i="17"/>
  <c r="M63" i="17" s="1"/>
  <c r="M55" i="17"/>
  <c r="M62" i="17" s="1"/>
  <c r="AB96" i="10"/>
  <c r="AB101" i="10" s="1"/>
  <c r="AB36" i="17"/>
  <c r="AB42" i="17" s="1"/>
  <c r="AD98" i="10"/>
  <c r="AD31" i="17"/>
  <c r="AD99" i="10"/>
  <c r="AD38" i="17"/>
  <c r="AD44" i="17" s="1"/>
  <c r="AO49" i="10"/>
  <c r="AO32" i="13"/>
  <c r="AO20" i="13"/>
  <c r="AO27" i="13" s="1"/>
  <c r="AO10" i="13"/>
  <c r="AP34" i="7"/>
  <c r="AP29" i="10" s="1"/>
  <c r="AP30" i="10" s="1"/>
  <c r="AP28" i="12"/>
  <c r="AP8" i="13"/>
  <c r="AE93" i="10"/>
  <c r="AQ16" i="7"/>
  <c r="AQ34" i="7" s="1"/>
  <c r="AQ29" i="10" s="1"/>
  <c r="AQ30" i="10" s="1"/>
  <c r="AP17" i="7"/>
  <c r="AP27" i="6" s="1"/>
  <c r="AO93" i="6"/>
  <c r="AN80" i="6"/>
  <c r="AA79" i="11"/>
  <c r="AA108" i="10"/>
  <c r="AA69" i="11"/>
  <c r="AA70" i="11" s="1"/>
  <c r="AA89" i="11" s="1"/>
  <c r="AA15" i="6" s="1"/>
  <c r="AA9" i="6"/>
  <c r="AA51" i="12"/>
  <c r="AA41" i="6" s="1"/>
  <c r="AA45" i="12"/>
  <c r="AA39" i="6" s="1"/>
  <c r="AE40" i="14"/>
  <c r="AE64" i="14"/>
  <c r="AE77" i="11" s="1"/>
  <c r="W50" i="12"/>
  <c r="AD62" i="8"/>
  <c r="AD89" i="10" s="1"/>
  <c r="AE48" i="14"/>
  <c r="AE47" i="14"/>
  <c r="AE64" i="8" s="1"/>
  <c r="AE91" i="10" s="1"/>
  <c r="AE49" i="14"/>
  <c r="AE46" i="14"/>
  <c r="AE63" i="8" s="1"/>
  <c r="AE90" i="10" s="1"/>
  <c r="AE97" i="10" s="1"/>
  <c r="AF63" i="14"/>
  <c r="AF62" i="14"/>
  <c r="AF61" i="14"/>
  <c r="AF60" i="14"/>
  <c r="AF59" i="14"/>
  <c r="AF58" i="14"/>
  <c r="AF57" i="14"/>
  <c r="AF56" i="14"/>
  <c r="AF55" i="14"/>
  <c r="AF54" i="14"/>
  <c r="AF53" i="14"/>
  <c r="AF52" i="14"/>
  <c r="AE5" i="13"/>
  <c r="AE5" i="14"/>
  <c r="AF36" i="14"/>
  <c r="AF35" i="14"/>
  <c r="AF34" i="14"/>
  <c r="AF33" i="14"/>
  <c r="AF32" i="14"/>
  <c r="AF31" i="14"/>
  <c r="AF30" i="14"/>
  <c r="AF29" i="14"/>
  <c r="AF39" i="14" s="1"/>
  <c r="AF28" i="14"/>
  <c r="AF27" i="14"/>
  <c r="AF26" i="14"/>
  <c r="AF25" i="14"/>
  <c r="AC19" i="13"/>
  <c r="AC21" i="13" s="1"/>
  <c r="AB37" i="13"/>
  <c r="AB61" i="6" s="1"/>
  <c r="Z163" i="9"/>
  <c r="Y195" i="9"/>
  <c r="AE5" i="12"/>
  <c r="AE5" i="6"/>
  <c r="M86" i="11"/>
  <c r="M49" i="12"/>
  <c r="M40" i="6" s="1"/>
  <c r="N53" i="10"/>
  <c r="L53" i="12"/>
  <c r="L54" i="12" s="1"/>
  <c r="L37" i="12" s="1"/>
  <c r="AC65" i="11"/>
  <c r="AC17" i="17" s="1"/>
  <c r="X59" i="11"/>
  <c r="AC52" i="11"/>
  <c r="AF59" i="8"/>
  <c r="AG22" i="7"/>
  <c r="AB145" i="9"/>
  <c r="AD160" i="9"/>
  <c r="AD176" i="9" s="1"/>
  <c r="AD192" i="9" s="1"/>
  <c r="AE144" i="9"/>
  <c r="AA171" i="9"/>
  <c r="AB155" i="9" s="1"/>
  <c r="Z187" i="9"/>
  <c r="AC139" i="9"/>
  <c r="AE68" i="11"/>
  <c r="AE10" i="11"/>
  <c r="AE22" i="17" s="1"/>
  <c r="AE9" i="11"/>
  <c r="AE10" i="17" s="1"/>
  <c r="AE12" i="11"/>
  <c r="AE11" i="11"/>
  <c r="AE65" i="8"/>
  <c r="AE92" i="10" s="1"/>
  <c r="AE34" i="11"/>
  <c r="AE35" i="11"/>
  <c r="AE36" i="11"/>
  <c r="AE37" i="11"/>
  <c r="AE38" i="11"/>
  <c r="AE39" i="11"/>
  <c r="AE23" i="17" s="1"/>
  <c r="AE40" i="11"/>
  <c r="AE41" i="11"/>
  <c r="AE42" i="11"/>
  <c r="AE43" i="11"/>
  <c r="AE44" i="11"/>
  <c r="AE45" i="11"/>
  <c r="AE46" i="11"/>
  <c r="AE47" i="11"/>
  <c r="AE48" i="11"/>
  <c r="AE49" i="11"/>
  <c r="AE29" i="11"/>
  <c r="AE76" i="11"/>
  <c r="AE73" i="11"/>
  <c r="AE74" i="11"/>
  <c r="AE58" i="11"/>
  <c r="AE75" i="11"/>
  <c r="AE18" i="11"/>
  <c r="AE19" i="11" s="1"/>
  <c r="AE24" i="17" s="1"/>
  <c r="AE21" i="11"/>
  <c r="AE22" i="11" s="1"/>
  <c r="AE24" i="11"/>
  <c r="AE25" i="11" s="1"/>
  <c r="AE62" i="11"/>
  <c r="AE60" i="8"/>
  <c r="AD50" i="11"/>
  <c r="AD51" i="11"/>
  <c r="AE5" i="11"/>
  <c r="AE5" i="10"/>
  <c r="AE5" i="9"/>
  <c r="AE55" i="8"/>
  <c r="AF58" i="8"/>
  <c r="AF57" i="8"/>
  <c r="AG147" i="9"/>
  <c r="AG142" i="9"/>
  <c r="AF13" i="7"/>
  <c r="AF27" i="10" s="1"/>
  <c r="AG11" i="7"/>
  <c r="AF12" i="7"/>
  <c r="AF5" i="17" s="1"/>
  <c r="AH19" i="12" l="1"/>
  <c r="AY19" i="12"/>
  <c r="AC19" i="12"/>
  <c r="BI19" i="12"/>
  <c r="AO19" i="12"/>
  <c r="BN19" i="12"/>
  <c r="AV19" i="12"/>
  <c r="K18" i="6"/>
  <c r="K155" i="6"/>
  <c r="K124" i="6"/>
  <c r="K177" i="6"/>
  <c r="K178" i="6"/>
  <c r="Z121" i="6"/>
  <c r="L98" i="17"/>
  <c r="L88" i="11"/>
  <c r="AK19" i="12"/>
  <c r="BM12" i="12"/>
  <c r="AN12" i="12"/>
  <c r="AI12" i="12"/>
  <c r="AE12" i="12"/>
  <c r="BL12" i="12"/>
  <c r="BK12" i="12"/>
  <c r="BH12" i="12"/>
  <c r="BE12" i="12"/>
  <c r="BB12" i="12"/>
  <c r="BA12" i="12"/>
  <c r="AX12" i="12"/>
  <c r="AU12" i="12"/>
  <c r="AR12" i="12"/>
  <c r="AP12" i="12"/>
  <c r="AM12" i="12"/>
  <c r="AJ12" i="12"/>
  <c r="AF12" i="12"/>
  <c r="AB12" i="12"/>
  <c r="BO12" i="12"/>
  <c r="BI12" i="12"/>
  <c r="BF12" i="12"/>
  <c r="BC12" i="12"/>
  <c r="AY12" i="12"/>
  <c r="AV12" i="12"/>
  <c r="AS12" i="12"/>
  <c r="AO12" i="12"/>
  <c r="AK12" i="12"/>
  <c r="AG12" i="12"/>
  <c r="AC12" i="12"/>
  <c r="BN12" i="12"/>
  <c r="BJ12" i="12"/>
  <c r="BG12" i="12"/>
  <c r="BD12" i="12"/>
  <c r="AZ12" i="12"/>
  <c r="AW12" i="12"/>
  <c r="AT12" i="12"/>
  <c r="AQ12" i="12"/>
  <c r="AL12" i="12"/>
  <c r="AH12" i="12"/>
  <c r="AD12" i="12"/>
  <c r="BF19" i="12"/>
  <c r="BA19" i="12"/>
  <c r="AU19" i="12"/>
  <c r="AI19" i="12"/>
  <c r="BD19" i="12"/>
  <c r="AJ19" i="12"/>
  <c r="AS19" i="12"/>
  <c r="AM19" i="12"/>
  <c r="AE19" i="12"/>
  <c r="BC19" i="12"/>
  <c r="AT19" i="12"/>
  <c r="AB19" i="12"/>
  <c r="BE19" i="12"/>
  <c r="AN19" i="12"/>
  <c r="AF19" i="12"/>
  <c r="BM19" i="12"/>
  <c r="BL19" i="12"/>
  <c r="AD19" i="12"/>
  <c r="AA19" i="12"/>
  <c r="H25" i="12"/>
  <c r="I25" i="12"/>
  <c r="K25" i="12"/>
  <c r="N25" i="12"/>
  <c r="P25" i="12"/>
  <c r="R25" i="12"/>
  <c r="T25" i="12"/>
  <c r="V25" i="12"/>
  <c r="Y25" i="12"/>
  <c r="Z25" i="12"/>
  <c r="I26" i="12"/>
  <c r="J26" i="12"/>
  <c r="K26" i="12"/>
  <c r="G26" i="12"/>
  <c r="G25" i="12"/>
  <c r="H26" i="12"/>
  <c r="J25" i="12"/>
  <c r="L25" i="12"/>
  <c r="M25" i="12"/>
  <c r="O25" i="12"/>
  <c r="Q25" i="12"/>
  <c r="S25" i="12"/>
  <c r="U25" i="12"/>
  <c r="W25" i="12"/>
  <c r="X25" i="12"/>
  <c r="H196" i="9"/>
  <c r="I148" i="9"/>
  <c r="AF80" i="11"/>
  <c r="AF66" i="8"/>
  <c r="AE63" i="11"/>
  <c r="AE64" i="11"/>
  <c r="AM121" i="10"/>
  <c r="AM39" i="17"/>
  <c r="AE190" i="9"/>
  <c r="AF158" i="9"/>
  <c r="AF174" i="9" s="1"/>
  <c r="Y140" i="9"/>
  <c r="X188" i="9"/>
  <c r="S55" i="11"/>
  <c r="T141" i="9"/>
  <c r="S189" i="9"/>
  <c r="AF159" i="9"/>
  <c r="AF175" i="9" s="1"/>
  <c r="AF191" i="9" s="1"/>
  <c r="AG143" i="9"/>
  <c r="AN116" i="10"/>
  <c r="AN80" i="10"/>
  <c r="AN71" i="10"/>
  <c r="AN117" i="10"/>
  <c r="AN83" i="10"/>
  <c r="AN118" i="10"/>
  <c r="AN67" i="10"/>
  <c r="AN68" i="10" s="1"/>
  <c r="AE162" i="9"/>
  <c r="AE178" i="9" s="1"/>
  <c r="AE194" i="9" s="1"/>
  <c r="AF146" i="9"/>
  <c r="AE165" i="9"/>
  <c r="AE181" i="9" s="1"/>
  <c r="AE197" i="9" s="1"/>
  <c r="AF149" i="9"/>
  <c r="AE27" i="11"/>
  <c r="AE28" i="11" s="1"/>
  <c r="AE30" i="11" s="1"/>
  <c r="AE16" i="17" s="1"/>
  <c r="AE75" i="8"/>
  <c r="AE57" i="10" s="1"/>
  <c r="AF73" i="8"/>
  <c r="AF74" i="8" s="1"/>
  <c r="AF13" i="11"/>
  <c r="AF13" i="17" s="1"/>
  <c r="M65" i="17"/>
  <c r="AL127" i="10"/>
  <c r="AL51" i="17"/>
  <c r="AK84" i="17"/>
  <c r="AK86" i="17" s="1"/>
  <c r="AK74" i="10"/>
  <c r="AK77" i="10"/>
  <c r="AK82" i="10"/>
  <c r="AK85" i="10" s="1"/>
  <c r="AL52" i="17"/>
  <c r="AL128" i="10"/>
  <c r="AJ104" i="11"/>
  <c r="AJ98" i="11"/>
  <c r="AJ103" i="11"/>
  <c r="AJ106" i="11"/>
  <c r="AJ102" i="11"/>
  <c r="AJ105" i="11"/>
  <c r="Y32" i="17"/>
  <c r="Y87" i="17" s="1"/>
  <c r="Y89" i="17" s="1"/>
  <c r="Y26" i="17"/>
  <c r="AL50" i="17"/>
  <c r="AL126" i="10"/>
  <c r="AM72" i="10"/>
  <c r="AM40" i="17"/>
  <c r="AM122" i="10"/>
  <c r="AM119" i="10"/>
  <c r="AM124" i="10" s="1"/>
  <c r="AM123" i="10"/>
  <c r="AM41" i="17"/>
  <c r="AL82" i="10"/>
  <c r="AL85" i="10" s="1"/>
  <c r="AL77" i="10"/>
  <c r="AL84" i="17"/>
  <c r="AL86" i="17" s="1"/>
  <c r="Z161" i="9"/>
  <c r="Y193" i="9"/>
  <c r="AO105" i="10"/>
  <c r="AO62" i="10"/>
  <c r="AE12" i="17"/>
  <c r="AE11" i="17"/>
  <c r="AE15" i="17"/>
  <c r="M95" i="17"/>
  <c r="M94" i="17"/>
  <c r="AC96" i="10"/>
  <c r="AC101" i="10" s="1"/>
  <c r="AC36" i="17"/>
  <c r="AC42" i="17" s="1"/>
  <c r="AE98" i="10"/>
  <c r="AE31" i="17"/>
  <c r="AE99" i="10"/>
  <c r="AE38" i="17"/>
  <c r="AE44" i="17" s="1"/>
  <c r="AO106" i="10"/>
  <c r="AO63" i="10"/>
  <c r="AO64" i="10"/>
  <c r="AO65" i="10"/>
  <c r="AO107" i="10" s="1"/>
  <c r="AO66" i="10"/>
  <c r="AO17" i="11"/>
  <c r="AO20" i="11"/>
  <c r="AO23" i="11" s="1"/>
  <c r="AO26" i="11"/>
  <c r="AO54" i="10"/>
  <c r="AO56" i="10" s="1"/>
  <c r="AO80" i="6"/>
  <c r="AA8" i="6"/>
  <c r="AA176" i="6"/>
  <c r="AP48" i="10"/>
  <c r="AP47" i="10"/>
  <c r="AP46" i="10"/>
  <c r="AP45" i="10"/>
  <c r="AP44" i="10"/>
  <c r="AP43" i="10"/>
  <c r="AP42" i="10"/>
  <c r="AP41" i="10"/>
  <c r="AP40" i="10"/>
  <c r="AP39" i="10"/>
  <c r="AP38" i="10"/>
  <c r="AP37" i="10"/>
  <c r="AP36" i="10"/>
  <c r="AP35" i="10"/>
  <c r="AP34" i="10"/>
  <c r="AP33" i="10"/>
  <c r="AF93" i="10"/>
  <c r="AQ48" i="10"/>
  <c r="AQ47" i="10"/>
  <c r="AQ46" i="10"/>
  <c r="AQ45" i="10"/>
  <c r="AQ44" i="10"/>
  <c r="AQ43" i="10"/>
  <c r="AQ42" i="10"/>
  <c r="AQ41" i="10"/>
  <c r="AQ40" i="10"/>
  <c r="AQ39" i="10"/>
  <c r="AQ38" i="10"/>
  <c r="AQ37" i="10"/>
  <c r="AQ36" i="10"/>
  <c r="AQ35" i="10"/>
  <c r="AQ34" i="10"/>
  <c r="AQ33" i="10"/>
  <c r="AA122" i="6"/>
  <c r="AQ17" i="7"/>
  <c r="AQ27" i="6" s="1"/>
  <c r="AR16" i="7"/>
  <c r="AR34" i="7" s="1"/>
  <c r="AR29" i="10" s="1"/>
  <c r="AR30" i="10" s="1"/>
  <c r="AQ28" i="12"/>
  <c r="AQ8" i="13"/>
  <c r="AP93" i="6"/>
  <c r="AA157" i="6"/>
  <c r="AA126" i="6"/>
  <c r="AA165" i="6"/>
  <c r="AA143" i="6"/>
  <c r="AB69" i="11"/>
  <c r="AB70" i="11" s="1"/>
  <c r="AB89" i="11" s="1"/>
  <c r="AB15" i="6" s="1"/>
  <c r="AB79" i="11"/>
  <c r="AB108" i="10"/>
  <c r="AB9" i="6"/>
  <c r="AB51" i="12"/>
  <c r="AB41" i="6" s="1"/>
  <c r="AB45" i="12"/>
  <c r="AB39" i="6" s="1"/>
  <c r="X50" i="12"/>
  <c r="AF64" i="14"/>
  <c r="AF77" i="11" s="1"/>
  <c r="AF40" i="14"/>
  <c r="AE62" i="8"/>
  <c r="AE89" i="10" s="1"/>
  <c r="AF49" i="14"/>
  <c r="AF48" i="14"/>
  <c r="AF46" i="14"/>
  <c r="AF63" i="8" s="1"/>
  <c r="AF90" i="10" s="1"/>
  <c r="AF97" i="10" s="1"/>
  <c r="AF47" i="14"/>
  <c r="AF64" i="8" s="1"/>
  <c r="AF91" i="10" s="1"/>
  <c r="AG63" i="14"/>
  <c r="AG62" i="14"/>
  <c r="AG61" i="14"/>
  <c r="AG60" i="14"/>
  <c r="AG59" i="14"/>
  <c r="AG58" i="14"/>
  <c r="AG57" i="14"/>
  <c r="AG56" i="14"/>
  <c r="AG55" i="14"/>
  <c r="AG54" i="14"/>
  <c r="AG53" i="14"/>
  <c r="AG52" i="14"/>
  <c r="AG36" i="14"/>
  <c r="AG35" i="14"/>
  <c r="AG34" i="14"/>
  <c r="AG33" i="14"/>
  <c r="AG32" i="14"/>
  <c r="AG31" i="14"/>
  <c r="AG30" i="14"/>
  <c r="AG29" i="14"/>
  <c r="AG39" i="14" s="1"/>
  <c r="AG28" i="14"/>
  <c r="AG27" i="14"/>
  <c r="AG26" i="14"/>
  <c r="AG25" i="14"/>
  <c r="AF5" i="13"/>
  <c r="AF5" i="14"/>
  <c r="L71" i="6"/>
  <c r="L103" i="6"/>
  <c r="AD19" i="13"/>
  <c r="AC37" i="13"/>
  <c r="AC61" i="6" s="1"/>
  <c r="Z179" i="9"/>
  <c r="AF5" i="12"/>
  <c r="AF5" i="6"/>
  <c r="M97" i="11"/>
  <c r="M93" i="11"/>
  <c r="M94" i="11" s="1"/>
  <c r="N59" i="10"/>
  <c r="N8" i="11" s="1"/>
  <c r="N9" i="17" s="1"/>
  <c r="N55" i="10"/>
  <c r="AE51" i="11"/>
  <c r="AG59" i="8"/>
  <c r="AH22" i="7"/>
  <c r="AC145" i="9"/>
  <c r="AE160" i="9"/>
  <c r="AE176" i="9" s="1"/>
  <c r="AE192" i="9" s="1"/>
  <c r="AF144" i="9"/>
  <c r="AB171" i="9"/>
  <c r="AC155" i="9" s="1"/>
  <c r="AA187" i="9"/>
  <c r="AD139" i="9"/>
  <c r="AF68" i="11"/>
  <c r="AF10" i="11"/>
  <c r="AF22" i="17" s="1"/>
  <c r="AF9" i="11"/>
  <c r="AF10" i="17" s="1"/>
  <c r="AF11" i="11"/>
  <c r="AF12" i="11"/>
  <c r="AF65" i="8"/>
  <c r="AF92" i="10" s="1"/>
  <c r="AF34" i="11"/>
  <c r="AF35" i="11"/>
  <c r="AF36" i="11"/>
  <c r="AF37" i="11"/>
  <c r="AF38" i="11"/>
  <c r="AF39" i="11"/>
  <c r="AF23" i="17" s="1"/>
  <c r="AF40" i="11"/>
  <c r="AF41" i="11"/>
  <c r="AF42" i="11"/>
  <c r="AF43" i="11"/>
  <c r="AF44" i="11"/>
  <c r="AF45" i="11"/>
  <c r="AF46" i="11"/>
  <c r="AF47" i="11"/>
  <c r="AF48" i="11"/>
  <c r="AF49" i="11"/>
  <c r="AF29" i="11"/>
  <c r="AF76" i="11"/>
  <c r="AF73" i="11"/>
  <c r="AF74" i="11"/>
  <c r="AF58" i="11"/>
  <c r="AF75" i="11"/>
  <c r="AF18" i="11"/>
  <c r="AF19" i="11" s="1"/>
  <c r="AF24" i="17" s="1"/>
  <c r="AF21" i="11"/>
  <c r="AF22" i="11" s="1"/>
  <c r="AF24" i="11"/>
  <c r="AF25" i="11" s="1"/>
  <c r="AF62" i="11"/>
  <c r="AD65" i="11"/>
  <c r="AD17" i="17" s="1"/>
  <c r="AE50" i="11"/>
  <c r="AD52" i="11"/>
  <c r="AF60" i="8"/>
  <c r="AG58" i="8"/>
  <c r="AG57" i="8"/>
  <c r="AF5" i="11"/>
  <c r="AF5" i="10"/>
  <c r="AF5" i="9"/>
  <c r="AF55" i="8"/>
  <c r="AH147" i="9"/>
  <c r="AH142" i="9"/>
  <c r="AG13" i="7"/>
  <c r="AG27" i="10" s="1"/>
  <c r="AH11" i="7"/>
  <c r="AG12" i="7"/>
  <c r="AG5" i="17" s="1"/>
  <c r="K129" i="6" l="1"/>
  <c r="K24" i="6"/>
  <c r="L87" i="11"/>
  <c r="L11" i="6" s="1"/>
  <c r="L12" i="6"/>
  <c r="AA121" i="6"/>
  <c r="AB25" i="12"/>
  <c r="AD25" i="12"/>
  <c r="AE25" i="12"/>
  <c r="AO25" i="12"/>
  <c r="AG25" i="12"/>
  <c r="AH25" i="12"/>
  <c r="AK25" i="12"/>
  <c r="AM25" i="12"/>
  <c r="AR25" i="12"/>
  <c r="AU25" i="12"/>
  <c r="AW25" i="12"/>
  <c r="BA25" i="12"/>
  <c r="BE25" i="12"/>
  <c r="BH25" i="12"/>
  <c r="AQ26" i="12"/>
  <c r="BL25" i="12"/>
  <c r="BN25" i="12"/>
  <c r="AB26" i="12"/>
  <c r="AB106" i="9" s="1"/>
  <c r="AG26" i="12"/>
  <c r="AJ26" i="12"/>
  <c r="AL26" i="12"/>
  <c r="AO26" i="12"/>
  <c r="AR26" i="12"/>
  <c r="AU26" i="12"/>
  <c r="AU106" i="9" s="1"/>
  <c r="AW26" i="12"/>
  <c r="AW106" i="9" s="1"/>
  <c r="AY26" i="12"/>
  <c r="BA26" i="12"/>
  <c r="BA106" i="9" s="1"/>
  <c r="BC26" i="12"/>
  <c r="BF26" i="12"/>
  <c r="BH26" i="12"/>
  <c r="BJ26" i="12"/>
  <c r="BL26" i="12"/>
  <c r="BO26" i="12"/>
  <c r="AP25" i="12"/>
  <c r="AS25" i="12"/>
  <c r="AX25" i="12"/>
  <c r="AZ25" i="12"/>
  <c r="BD25" i="12"/>
  <c r="BG25" i="12"/>
  <c r="BJ25" i="12"/>
  <c r="BJ106" i="9" s="1"/>
  <c r="BJ20" i="12" s="1"/>
  <c r="BM25" i="12"/>
  <c r="AC26" i="12"/>
  <c r="AE26" i="12"/>
  <c r="AI26" i="12"/>
  <c r="AK26" i="12"/>
  <c r="AN26" i="12"/>
  <c r="AS26" i="12"/>
  <c r="AA25" i="12"/>
  <c r="AC25" i="12"/>
  <c r="AF25" i="12"/>
  <c r="AI25" i="12"/>
  <c r="AJ25" i="12"/>
  <c r="AL25" i="12"/>
  <c r="AN25" i="12"/>
  <c r="AQ25" i="12"/>
  <c r="AT25" i="12"/>
  <c r="AV25" i="12"/>
  <c r="AY25" i="12"/>
  <c r="BB25" i="12"/>
  <c r="BC25" i="12"/>
  <c r="BF25" i="12"/>
  <c r="BI25" i="12"/>
  <c r="BK25" i="12"/>
  <c r="BO25" i="12"/>
  <c r="AD26" i="12"/>
  <c r="AF26" i="12"/>
  <c r="AH26" i="12"/>
  <c r="AM26" i="12"/>
  <c r="AP26" i="12"/>
  <c r="AT26" i="12"/>
  <c r="BN26" i="12"/>
  <c r="AV26" i="12"/>
  <c r="AX26" i="12"/>
  <c r="AZ26" i="12"/>
  <c r="BB26" i="12"/>
  <c r="BD26" i="12"/>
  <c r="BE26" i="12"/>
  <c r="BG26" i="12"/>
  <c r="BI26" i="12"/>
  <c r="BK26" i="12"/>
  <c r="BM26" i="12"/>
  <c r="I196" i="9"/>
  <c r="J148" i="9"/>
  <c r="AN39" i="17"/>
  <c r="AN121" i="10"/>
  <c r="AG80" i="11"/>
  <c r="AG66" i="8"/>
  <c r="AF63" i="11"/>
  <c r="AF64" i="11"/>
  <c r="AM50" i="17"/>
  <c r="AM126" i="10"/>
  <c r="AF190" i="9"/>
  <c r="AG158" i="9"/>
  <c r="AG174" i="9" s="1"/>
  <c r="Y156" i="9"/>
  <c r="Y172" i="9" s="1"/>
  <c r="Y188" i="9" s="1"/>
  <c r="Z140" i="9"/>
  <c r="U141" i="9"/>
  <c r="T55" i="11"/>
  <c r="T189" i="9"/>
  <c r="AN72" i="10"/>
  <c r="AN75" i="10" s="1"/>
  <c r="AN81" i="10" s="1"/>
  <c r="AN40" i="17"/>
  <c r="AN122" i="10"/>
  <c r="AH143" i="9"/>
  <c r="AI143" i="9" s="1"/>
  <c r="AG159" i="9"/>
  <c r="AG175" i="9" s="1"/>
  <c r="AN119" i="10"/>
  <c r="AN124" i="10" s="1"/>
  <c r="AN123" i="10"/>
  <c r="AN41" i="17"/>
  <c r="AG146" i="9"/>
  <c r="AF162" i="9"/>
  <c r="AF178" i="9" s="1"/>
  <c r="AF194" i="9" s="1"/>
  <c r="AF165" i="9"/>
  <c r="AF181" i="9" s="1"/>
  <c r="AF197" i="9" s="1"/>
  <c r="AG149" i="9"/>
  <c r="AG73" i="8"/>
  <c r="AG74" i="8" s="1"/>
  <c r="AF75" i="8"/>
  <c r="AF57" i="10" s="1"/>
  <c r="AF27" i="11"/>
  <c r="AF28" i="11" s="1"/>
  <c r="AF30" i="11" s="1"/>
  <c r="AF16" i="17" s="1"/>
  <c r="AG13" i="11"/>
  <c r="AG13" i="17" s="1"/>
  <c r="AP49" i="10"/>
  <c r="M66" i="17"/>
  <c r="M99" i="17"/>
  <c r="Y37" i="17"/>
  <c r="Y43" i="17" s="1"/>
  <c r="Y45" i="17" s="1"/>
  <c r="Y88" i="17"/>
  <c r="AM75" i="10"/>
  <c r="AM81" i="10" s="1"/>
  <c r="AM73" i="10"/>
  <c r="AK104" i="11"/>
  <c r="AK106" i="11"/>
  <c r="AK98" i="11"/>
  <c r="AK105" i="11"/>
  <c r="AK102" i="11"/>
  <c r="AK103" i="11"/>
  <c r="AM127" i="10"/>
  <c r="AM51" i="17"/>
  <c r="AM52" i="17"/>
  <c r="AM128" i="10"/>
  <c r="M96" i="17"/>
  <c r="AL98" i="11"/>
  <c r="AL104" i="11"/>
  <c r="AL103" i="11"/>
  <c r="AL105" i="11"/>
  <c r="AL102" i="11"/>
  <c r="AL106" i="11"/>
  <c r="AO116" i="10"/>
  <c r="AO80" i="10"/>
  <c r="AO83" i="10"/>
  <c r="AO118" i="10"/>
  <c r="Z25" i="17"/>
  <c r="Z177" i="9"/>
  <c r="AO71" i="10"/>
  <c r="AO72" i="10" s="1"/>
  <c r="AO117" i="10"/>
  <c r="AO67" i="10"/>
  <c r="AO68" i="10" s="1"/>
  <c r="AF11" i="17"/>
  <c r="AF12" i="17"/>
  <c r="AF15" i="17"/>
  <c r="AD96" i="10"/>
  <c r="AD101" i="10" s="1"/>
  <c r="AD36" i="17"/>
  <c r="AD42" i="17" s="1"/>
  <c r="AF98" i="10"/>
  <c r="N29" i="17"/>
  <c r="N19" i="17"/>
  <c r="AF31" i="17"/>
  <c r="AF99" i="10"/>
  <c r="AF38" i="17"/>
  <c r="AF44" i="17" s="1"/>
  <c r="AQ49" i="10"/>
  <c r="AG93" i="10"/>
  <c r="AR48" i="10"/>
  <c r="AR47" i="10"/>
  <c r="AR46" i="10"/>
  <c r="AR45" i="10"/>
  <c r="AR44" i="10"/>
  <c r="AR43" i="10"/>
  <c r="AR42" i="10"/>
  <c r="AR41" i="10"/>
  <c r="AR40" i="10"/>
  <c r="AR39" i="10"/>
  <c r="AR38" i="10"/>
  <c r="AR37" i="10"/>
  <c r="AR36" i="10"/>
  <c r="AR35" i="10"/>
  <c r="AR34" i="10"/>
  <c r="AR33" i="10"/>
  <c r="AQ93" i="6"/>
  <c r="AR28" i="12"/>
  <c r="AR8" i="13"/>
  <c r="AS16" i="7"/>
  <c r="AR17" i="7"/>
  <c r="AR27" i="6" s="1"/>
  <c r="AQ20" i="13"/>
  <c r="AQ27" i="13" s="1"/>
  <c r="AQ10" i="13"/>
  <c r="AQ32" i="13"/>
  <c r="AE65" i="11"/>
  <c r="AE17" i="17" s="1"/>
  <c r="AB122" i="6"/>
  <c r="AB157" i="6"/>
  <c r="AB126" i="6"/>
  <c r="AB8" i="6"/>
  <c r="AB176" i="6"/>
  <c r="AB143" i="6"/>
  <c r="AB165" i="6"/>
  <c r="AC108" i="10"/>
  <c r="AC9" i="6"/>
  <c r="AG64" i="14"/>
  <c r="AG77" i="11" s="1"/>
  <c r="AC45" i="12"/>
  <c r="AC39" i="6" s="1"/>
  <c r="AC51" i="12"/>
  <c r="AC41" i="6" s="1"/>
  <c r="AC69" i="11"/>
  <c r="AC70" i="11" s="1"/>
  <c r="AC89" i="11" s="1"/>
  <c r="AC15" i="6" s="1"/>
  <c r="AC79" i="11"/>
  <c r="AG40" i="14"/>
  <c r="AF62" i="8"/>
  <c r="AF89" i="10" s="1"/>
  <c r="AG46" i="14"/>
  <c r="AG63" i="8" s="1"/>
  <c r="AG90" i="10" s="1"/>
  <c r="AG97" i="10" s="1"/>
  <c r="AG48" i="14"/>
  <c r="AG47" i="14"/>
  <c r="AG64" i="8" s="1"/>
  <c r="AG91" i="10" s="1"/>
  <c r="AG49" i="14"/>
  <c r="AH63" i="14"/>
  <c r="AH62" i="14"/>
  <c r="AH61" i="14"/>
  <c r="AH60" i="14"/>
  <c r="AH59" i="14"/>
  <c r="AH58" i="14"/>
  <c r="AH57" i="14"/>
  <c r="AH56" i="14"/>
  <c r="AH55" i="14"/>
  <c r="AH54" i="14"/>
  <c r="AH53" i="14"/>
  <c r="AH52" i="14"/>
  <c r="AH36" i="14"/>
  <c r="AH35" i="14"/>
  <c r="AH34" i="14"/>
  <c r="AH33" i="14"/>
  <c r="AH32" i="14"/>
  <c r="AH31" i="14"/>
  <c r="AH30" i="14"/>
  <c r="AH29" i="14"/>
  <c r="AH39" i="14" s="1"/>
  <c r="AH28" i="14"/>
  <c r="AH27" i="14"/>
  <c r="AH26" i="14"/>
  <c r="AH25" i="14"/>
  <c r="AG5" i="13"/>
  <c r="AG5" i="14"/>
  <c r="AA163" i="9"/>
  <c r="Z195" i="9"/>
  <c r="AG5" i="12"/>
  <c r="AG5" i="6"/>
  <c r="AE52" i="11"/>
  <c r="M110" i="11"/>
  <c r="M124" i="11" s="1"/>
  <c r="M112" i="11"/>
  <c r="M126" i="11" s="1"/>
  <c r="M113" i="11"/>
  <c r="M127" i="11" s="1"/>
  <c r="M111" i="11"/>
  <c r="M125" i="11" s="1"/>
  <c r="M109" i="11"/>
  <c r="M123" i="11" s="1"/>
  <c r="M47" i="12"/>
  <c r="M49" i="6" s="1"/>
  <c r="M52" i="12"/>
  <c r="M50" i="6" s="1"/>
  <c r="N14" i="11"/>
  <c r="N84" i="11" s="1"/>
  <c r="N46" i="12"/>
  <c r="O52" i="10"/>
  <c r="N48" i="12"/>
  <c r="AG60" i="8"/>
  <c r="AH59" i="8"/>
  <c r="AI22" i="7"/>
  <c r="AD145" i="9"/>
  <c r="AF160" i="9"/>
  <c r="AF176" i="9" s="1"/>
  <c r="AF192" i="9" s="1"/>
  <c r="AG144" i="9"/>
  <c r="AB187" i="9"/>
  <c r="AC171" i="9"/>
  <c r="AD155" i="9" s="1"/>
  <c r="AE139" i="9"/>
  <c r="AG68" i="11"/>
  <c r="AG10" i="11"/>
  <c r="AG22" i="17" s="1"/>
  <c r="AG9" i="11"/>
  <c r="AG10" i="17" s="1"/>
  <c r="AG11" i="11"/>
  <c r="AG12" i="11"/>
  <c r="AG65" i="8"/>
  <c r="AG92" i="10" s="1"/>
  <c r="AG34" i="11"/>
  <c r="AG35" i="11"/>
  <c r="AG36" i="11"/>
  <c r="AG37" i="11"/>
  <c r="AG38" i="11"/>
  <c r="AG39" i="11"/>
  <c r="AG23" i="17" s="1"/>
  <c r="AG40" i="11"/>
  <c r="AG41" i="11"/>
  <c r="AG42" i="11"/>
  <c r="AG43" i="11"/>
  <c r="AG44" i="11"/>
  <c r="AG45" i="11"/>
  <c r="AG46" i="11"/>
  <c r="AG47" i="11"/>
  <c r="AG48" i="11"/>
  <c r="AG49" i="11"/>
  <c r="AG29" i="11"/>
  <c r="AG76" i="11"/>
  <c r="AG73" i="11"/>
  <c r="AG74" i="11"/>
  <c r="AG58" i="11"/>
  <c r="AG75" i="11"/>
  <c r="AG18" i="11"/>
  <c r="AG19" i="11" s="1"/>
  <c r="AG24" i="17" s="1"/>
  <c r="AG21" i="11"/>
  <c r="AG22" i="11" s="1"/>
  <c r="AG24" i="11"/>
  <c r="AG25" i="11" s="1"/>
  <c r="AG62" i="11"/>
  <c r="AF50" i="11"/>
  <c r="AF51" i="11"/>
  <c r="AH58" i="8"/>
  <c r="AH57" i="8"/>
  <c r="AG5" i="11"/>
  <c r="AG5" i="10"/>
  <c r="AG5" i="9"/>
  <c r="AG55" i="8"/>
  <c r="AI147" i="9"/>
  <c r="AI142" i="9"/>
  <c r="AH13" i="7"/>
  <c r="AH27" i="10" s="1"/>
  <c r="AI11" i="7"/>
  <c r="AH12" i="7"/>
  <c r="AH5" i="17" s="1"/>
  <c r="M169" i="6" l="1"/>
  <c r="K135" i="6"/>
  <c r="K179" i="6"/>
  <c r="K180" i="6"/>
  <c r="K35" i="12"/>
  <c r="L123" i="6"/>
  <c r="L156" i="6"/>
  <c r="L168" i="6"/>
  <c r="L13" i="6"/>
  <c r="AK106" i="9"/>
  <c r="AB121" i="6"/>
  <c r="AE106" i="9"/>
  <c r="AR106" i="9"/>
  <c r="AG106" i="9"/>
  <c r="AO106" i="9"/>
  <c r="BM106" i="9"/>
  <c r="AD106" i="9"/>
  <c r="BE106" i="9"/>
  <c r="AN106" i="9"/>
  <c r="AS106" i="9"/>
  <c r="AS116" i="9" s="1"/>
  <c r="AS117" i="9" s="1"/>
  <c r="AC106" i="9"/>
  <c r="AI106" i="9"/>
  <c r="AJ106" i="9"/>
  <c r="AL106" i="9"/>
  <c r="AL116" i="9" s="1"/>
  <c r="AL117" i="9" s="1"/>
  <c r="AH106" i="9"/>
  <c r="AM106" i="9"/>
  <c r="BH106" i="9"/>
  <c r="BL106" i="9"/>
  <c r="AQ106" i="9"/>
  <c r="AY106" i="9"/>
  <c r="BC106" i="9"/>
  <c r="BF106" i="9"/>
  <c r="BF116" i="9" s="1"/>
  <c r="BF117" i="9" s="1"/>
  <c r="BN106" i="9"/>
  <c r="BN116" i="9" s="1"/>
  <c r="BN117" i="9" s="1"/>
  <c r="BO106" i="9"/>
  <c r="AF106" i="9"/>
  <c r="AP106" i="9"/>
  <c r="AT106" i="9"/>
  <c r="AV106" i="9"/>
  <c r="AX106" i="9"/>
  <c r="AZ106" i="9"/>
  <c r="BB106" i="9"/>
  <c r="BD106" i="9"/>
  <c r="BG106" i="9"/>
  <c r="BI106" i="9"/>
  <c r="BK106" i="9"/>
  <c r="BJ116" i="9"/>
  <c r="BJ117" i="9" s="1"/>
  <c r="BJ133" i="9"/>
  <c r="BJ134" i="9" s="1"/>
  <c r="AB116" i="9"/>
  <c r="AB117" i="9" s="1"/>
  <c r="AB133" i="9"/>
  <c r="AB134" i="9" s="1"/>
  <c r="AU116" i="9"/>
  <c r="AU117" i="9" s="1"/>
  <c r="AU133" i="9"/>
  <c r="AU134" i="9" s="1"/>
  <c r="AW116" i="9"/>
  <c r="AW117" i="9" s="1"/>
  <c r="AW133" i="9"/>
  <c r="AW134" i="9" s="1"/>
  <c r="BA116" i="9"/>
  <c r="BA117" i="9" s="1"/>
  <c r="BA133" i="9"/>
  <c r="BA134" i="9" s="1"/>
  <c r="J196" i="9"/>
  <c r="K148" i="9"/>
  <c r="AB20" i="12"/>
  <c r="AU20" i="12"/>
  <c r="AW20" i="12"/>
  <c r="BA20" i="12"/>
  <c r="AN126" i="10"/>
  <c r="AN50" i="17"/>
  <c r="AH80" i="11"/>
  <c r="AH66" i="8"/>
  <c r="AG63" i="11"/>
  <c r="AG64" i="11"/>
  <c r="AG190" i="9"/>
  <c r="AH158" i="9"/>
  <c r="AH174" i="9" s="1"/>
  <c r="AN127" i="10"/>
  <c r="AN51" i="17"/>
  <c r="AA140" i="9"/>
  <c r="Z156" i="9"/>
  <c r="Z172" i="9" s="1"/>
  <c r="Z188" i="9" s="1"/>
  <c r="V141" i="9"/>
  <c r="U55" i="11"/>
  <c r="U189" i="9"/>
  <c r="AN73" i="10"/>
  <c r="AN74" i="10" s="1"/>
  <c r="AG191" i="9"/>
  <c r="AH159" i="9"/>
  <c r="AH175" i="9" s="1"/>
  <c r="AN52" i="17"/>
  <c r="AN128" i="10"/>
  <c r="AG162" i="9"/>
  <c r="AG178" i="9" s="1"/>
  <c r="AG194" i="9" s="1"/>
  <c r="AH146" i="9"/>
  <c r="AG27" i="11"/>
  <c r="AG28" i="11" s="1"/>
  <c r="AG30" i="11" s="1"/>
  <c r="AG16" i="17" s="1"/>
  <c r="AG75" i="8"/>
  <c r="AG57" i="10" s="1"/>
  <c r="AH149" i="9"/>
  <c r="AG165" i="9"/>
  <c r="AG181" i="9" s="1"/>
  <c r="AG197" i="9" s="1"/>
  <c r="AH73" i="8"/>
  <c r="AH74" i="8" s="1"/>
  <c r="AH13" i="11"/>
  <c r="AH13" i="17" s="1"/>
  <c r="AP54" i="10"/>
  <c r="AP56" i="10" s="1"/>
  <c r="AP26" i="11"/>
  <c r="AP20" i="11"/>
  <c r="AP23" i="11" s="1"/>
  <c r="AP17" i="11"/>
  <c r="AP65" i="10"/>
  <c r="AP107" i="10" s="1"/>
  <c r="AP64" i="10"/>
  <c r="AP63" i="10"/>
  <c r="AP105" i="10"/>
  <c r="AP106" i="10"/>
  <c r="AP66" i="10"/>
  <c r="AP62" i="10"/>
  <c r="M97" i="17"/>
  <c r="M67" i="17"/>
  <c r="AM74" i="10"/>
  <c r="AM77" i="10"/>
  <c r="AM82" i="10"/>
  <c r="AM85" i="10" s="1"/>
  <c r="AM84" i="17"/>
  <c r="AM86" i="17" s="1"/>
  <c r="Y48" i="17"/>
  <c r="Y47" i="17"/>
  <c r="Y46" i="17"/>
  <c r="AO123" i="10"/>
  <c r="AO41" i="17"/>
  <c r="AG15" i="17"/>
  <c r="AO121" i="10"/>
  <c r="AO39" i="17"/>
  <c r="AO75" i="10"/>
  <c r="AO81" i="10" s="1"/>
  <c r="AO73" i="10"/>
  <c r="Z32" i="17"/>
  <c r="Z87" i="17" s="1"/>
  <c r="Z89" i="17" s="1"/>
  <c r="Z26" i="17"/>
  <c r="AA161" i="9"/>
  <c r="Z193" i="9"/>
  <c r="AG12" i="17"/>
  <c r="AO40" i="17"/>
  <c r="AO122" i="10"/>
  <c r="AO119" i="10"/>
  <c r="AO124" i="10" s="1"/>
  <c r="AG11" i="17"/>
  <c r="N33" i="17"/>
  <c r="N56" i="17"/>
  <c r="N63" i="17" s="1"/>
  <c r="N55" i="17"/>
  <c r="N62" i="17" s="1"/>
  <c r="N57" i="17"/>
  <c r="N64" i="17" s="1"/>
  <c r="AQ106" i="10"/>
  <c r="AQ105" i="10"/>
  <c r="AQ62" i="10"/>
  <c r="AQ63" i="10"/>
  <c r="AQ64" i="10"/>
  <c r="AQ65" i="10"/>
  <c r="AQ107" i="10" s="1"/>
  <c r="AQ66" i="10"/>
  <c r="AQ17" i="11"/>
  <c r="AQ20" i="11"/>
  <c r="AQ23" i="11" s="1"/>
  <c r="AQ26" i="11"/>
  <c r="AQ54" i="10"/>
  <c r="AQ56" i="10" s="1"/>
  <c r="AE96" i="10"/>
  <c r="AE101" i="10" s="1"/>
  <c r="AE36" i="17"/>
  <c r="AE42" i="17" s="1"/>
  <c r="AG98" i="10"/>
  <c r="AG31" i="17"/>
  <c r="AG99" i="10"/>
  <c r="AG38" i="17"/>
  <c r="AG44" i="17" s="1"/>
  <c r="AH93" i="10"/>
  <c r="AR49" i="10"/>
  <c r="AS8" i="13"/>
  <c r="AS34" i="7"/>
  <c r="AS29" i="10" s="1"/>
  <c r="AS30" i="10" s="1"/>
  <c r="AR32" i="13"/>
  <c r="AR20" i="13"/>
  <c r="AR27" i="13" s="1"/>
  <c r="AR10" i="13"/>
  <c r="AS28" i="12"/>
  <c r="AT16" i="7"/>
  <c r="AT34" i="7" s="1"/>
  <c r="AT29" i="10" s="1"/>
  <c r="AT30" i="10" s="1"/>
  <c r="AS17" i="7"/>
  <c r="AS27" i="6" s="1"/>
  <c r="AR93" i="6"/>
  <c r="AQ80" i="6"/>
  <c r="AC8" i="6"/>
  <c r="AC176" i="6"/>
  <c r="AC122" i="6"/>
  <c r="AH40" i="14"/>
  <c r="AC143" i="6"/>
  <c r="AC165" i="6"/>
  <c r="AC157" i="6"/>
  <c r="AC126" i="6"/>
  <c r="AD51" i="12"/>
  <c r="AD41" i="6" s="1"/>
  <c r="AD45" i="12"/>
  <c r="AD39" i="6" s="1"/>
  <c r="AD9" i="6"/>
  <c r="AD69" i="11"/>
  <c r="AD70" i="11" s="1"/>
  <c r="AD89" i="11" s="1"/>
  <c r="AD15" i="6" s="1"/>
  <c r="AD79" i="11"/>
  <c r="AD108" i="10"/>
  <c r="AG62" i="8"/>
  <c r="AG89" i="10" s="1"/>
  <c r="AH64" i="14"/>
  <c r="AH77" i="11" s="1"/>
  <c r="AH48" i="14"/>
  <c r="AH46" i="14"/>
  <c r="AH63" i="8" s="1"/>
  <c r="AH90" i="10" s="1"/>
  <c r="AH97" i="10" s="1"/>
  <c r="AH49" i="14"/>
  <c r="AH47" i="14"/>
  <c r="AH64" i="8" s="1"/>
  <c r="AH91" i="10" s="1"/>
  <c r="AI63" i="14"/>
  <c r="AI62" i="14"/>
  <c r="AI61" i="14"/>
  <c r="AI60" i="14"/>
  <c r="AI59" i="14"/>
  <c r="AI58" i="14"/>
  <c r="AI57" i="14"/>
  <c r="AI56" i="14"/>
  <c r="AI55" i="14"/>
  <c r="AI54" i="14"/>
  <c r="AI53" i="14"/>
  <c r="AI52" i="14"/>
  <c r="AF65" i="11"/>
  <c r="AF17" i="17" s="1"/>
  <c r="AI36" i="14"/>
  <c r="AI35" i="14"/>
  <c r="AI34" i="14"/>
  <c r="AI33" i="14"/>
  <c r="AI32" i="14"/>
  <c r="AI31" i="14"/>
  <c r="AI30" i="14"/>
  <c r="AI29" i="14"/>
  <c r="AI39" i="14" s="1"/>
  <c r="AI28" i="14"/>
  <c r="AI27" i="14"/>
  <c r="AI26" i="14"/>
  <c r="AI25" i="14"/>
  <c r="AH5" i="13"/>
  <c r="AH5" i="14"/>
  <c r="AA179" i="9"/>
  <c r="AH5" i="12"/>
  <c r="AH5" i="6"/>
  <c r="N86" i="11"/>
  <c r="N49" i="12"/>
  <c r="N40" i="6" s="1"/>
  <c r="O53" i="10"/>
  <c r="M53" i="12"/>
  <c r="M54" i="12" s="1"/>
  <c r="M37" i="12" s="1"/>
  <c r="AI59" i="8"/>
  <c r="AJ22" i="7"/>
  <c r="AE145" i="9"/>
  <c r="AG160" i="9"/>
  <c r="AG176" i="9" s="1"/>
  <c r="AG192" i="9" s="1"/>
  <c r="AH144" i="9"/>
  <c r="AC187" i="9"/>
  <c r="AD171" i="9"/>
  <c r="AE155" i="9" s="1"/>
  <c r="AF139" i="9"/>
  <c r="AH68" i="11"/>
  <c r="AH10" i="11"/>
  <c r="AH22" i="17" s="1"/>
  <c r="AH9" i="11"/>
  <c r="AH10" i="17" s="1"/>
  <c r="AH11" i="11"/>
  <c r="AH12" i="11"/>
  <c r="AH65" i="8"/>
  <c r="AH92" i="10" s="1"/>
  <c r="AH34" i="11"/>
  <c r="AH35" i="11"/>
  <c r="AH36" i="11"/>
  <c r="AH37" i="11"/>
  <c r="AH38" i="11"/>
  <c r="AH39" i="11"/>
  <c r="AH23" i="17" s="1"/>
  <c r="AH40" i="11"/>
  <c r="AH41" i="11"/>
  <c r="AH42" i="11"/>
  <c r="AH43" i="11"/>
  <c r="AH44" i="11"/>
  <c r="AH45" i="11"/>
  <c r="AH46" i="11"/>
  <c r="AH47" i="11"/>
  <c r="AH48" i="11"/>
  <c r="AH49" i="11"/>
  <c r="AH29" i="11"/>
  <c r="AH75" i="11"/>
  <c r="AH58" i="11"/>
  <c r="AH74" i="11"/>
  <c r="AH76" i="11"/>
  <c r="AH73" i="11"/>
  <c r="AH18" i="11"/>
  <c r="AH19" i="11" s="1"/>
  <c r="AH24" i="17" s="1"/>
  <c r="AH21" i="11"/>
  <c r="AH22" i="11" s="1"/>
  <c r="AH24" i="11"/>
  <c r="AH25" i="11" s="1"/>
  <c r="AH62" i="11"/>
  <c r="AG51" i="11"/>
  <c r="AG50" i="11"/>
  <c r="AF52" i="11"/>
  <c r="AH60" i="8"/>
  <c r="AI58" i="8"/>
  <c r="AI57" i="8"/>
  <c r="AH5" i="11"/>
  <c r="AH5" i="10"/>
  <c r="AH5" i="9"/>
  <c r="AH55" i="8"/>
  <c r="AJ147" i="9"/>
  <c r="AJ143" i="9"/>
  <c r="AJ142" i="9"/>
  <c r="AI13" i="7"/>
  <c r="AI27" i="10" s="1"/>
  <c r="AI12" i="7"/>
  <c r="AI5" i="17" s="1"/>
  <c r="AJ11" i="7"/>
  <c r="L18" i="6" l="1"/>
  <c r="L178" i="6"/>
  <c r="L177" i="6"/>
  <c r="L155" i="6"/>
  <c r="L124" i="6"/>
  <c r="AK116" i="9"/>
  <c r="AK117" i="9" s="1"/>
  <c r="AK133" i="9"/>
  <c r="AK134" i="9" s="1"/>
  <c r="AK20" i="12"/>
  <c r="BC20" i="12"/>
  <c r="BC116" i="9"/>
  <c r="BC117" i="9" s="1"/>
  <c r="BC133" i="9"/>
  <c r="BC134" i="9" s="1"/>
  <c r="BO116" i="9"/>
  <c r="BO117" i="9" s="1"/>
  <c r="BO20" i="12"/>
  <c r="BO133" i="9"/>
  <c r="BO134" i="9" s="1"/>
  <c r="AC121" i="6"/>
  <c r="AE116" i="9"/>
  <c r="AE117" i="9" s="1"/>
  <c r="AE133" i="9"/>
  <c r="AE134" i="9" s="1"/>
  <c r="AE20" i="12"/>
  <c r="M98" i="17"/>
  <c r="M88" i="11"/>
  <c r="AR116" i="9"/>
  <c r="AR117" i="9" s="1"/>
  <c r="AR133" i="9"/>
  <c r="AR134" i="9" s="1"/>
  <c r="AR20" i="12"/>
  <c r="BF20" i="12"/>
  <c r="BF133" i="9"/>
  <c r="BF134" i="9" s="1"/>
  <c r="BF135" i="9" s="1"/>
  <c r="AG116" i="9"/>
  <c r="AG117" i="9" s="1"/>
  <c r="AG133" i="9"/>
  <c r="AG134" i="9" s="1"/>
  <c r="AG20" i="12"/>
  <c r="BJ135" i="9"/>
  <c r="AO116" i="9"/>
  <c r="AO117" i="9" s="1"/>
  <c r="AO133" i="9"/>
  <c r="AO134" i="9" s="1"/>
  <c r="AO20" i="12"/>
  <c r="BM20" i="12"/>
  <c r="BM116" i="9"/>
  <c r="BM117" i="9" s="1"/>
  <c r="BM133" i="9"/>
  <c r="BM134" i="9" s="1"/>
  <c r="AD20" i="12"/>
  <c r="AD116" i="9"/>
  <c r="AD117" i="9" s="1"/>
  <c r="AD133" i="9"/>
  <c r="AD134" i="9" s="1"/>
  <c r="BE20" i="12"/>
  <c r="BE116" i="9"/>
  <c r="BE117" i="9" s="1"/>
  <c r="BE133" i="9"/>
  <c r="BE134" i="9" s="1"/>
  <c r="AH20" i="12"/>
  <c r="AH116" i="9"/>
  <c r="AH117" i="9" s="1"/>
  <c r="AH133" i="9"/>
  <c r="AH134" i="9" s="1"/>
  <c r="AM20" i="12"/>
  <c r="AM116" i="9"/>
  <c r="AM117" i="9" s="1"/>
  <c r="AM133" i="9"/>
  <c r="AM134" i="9" s="1"/>
  <c r="BH20" i="12"/>
  <c r="BH116" i="9"/>
  <c r="BH117" i="9" s="1"/>
  <c r="BH133" i="9"/>
  <c r="BH134" i="9" s="1"/>
  <c r="BL20" i="12"/>
  <c r="BL116" i="9"/>
  <c r="BL117" i="9" s="1"/>
  <c r="BL133" i="9"/>
  <c r="BL134" i="9" s="1"/>
  <c r="AN116" i="9"/>
  <c r="AN117" i="9" s="1"/>
  <c r="AN133" i="9"/>
  <c r="AN134" i="9" s="1"/>
  <c r="AN20" i="12"/>
  <c r="BN20" i="12"/>
  <c r="BN133" i="9"/>
  <c r="BN134" i="9" s="1"/>
  <c r="BN135" i="9" s="1"/>
  <c r="AP20" i="12"/>
  <c r="AP116" i="9"/>
  <c r="AP117" i="9" s="1"/>
  <c r="AP133" i="9"/>
  <c r="AP134" i="9" s="1"/>
  <c r="AS20" i="12"/>
  <c r="AS133" i="9"/>
  <c r="AS134" i="9" s="1"/>
  <c r="AS135" i="9" s="1"/>
  <c r="AC20" i="12"/>
  <c r="AC116" i="9"/>
  <c r="AC117" i="9" s="1"/>
  <c r="AC133" i="9"/>
  <c r="AC134" i="9" s="1"/>
  <c r="AI20" i="12"/>
  <c r="AI116" i="9"/>
  <c r="AI117" i="9" s="1"/>
  <c r="AI133" i="9"/>
  <c r="AI134" i="9" s="1"/>
  <c r="AJ20" i="12"/>
  <c r="AJ116" i="9"/>
  <c r="AJ117" i="9" s="1"/>
  <c r="AJ133" i="9"/>
  <c r="AJ134" i="9" s="1"/>
  <c r="AF20" i="12"/>
  <c r="AF116" i="9"/>
  <c r="AF117" i="9" s="1"/>
  <c r="AF133" i="9"/>
  <c r="AF134" i="9" s="1"/>
  <c r="AL20" i="12"/>
  <c r="AL133" i="9"/>
  <c r="AL134" i="9" s="1"/>
  <c r="AL135" i="9" s="1"/>
  <c r="AQ133" i="9"/>
  <c r="AQ134" i="9" s="1"/>
  <c r="AQ116" i="9"/>
  <c r="AQ117" i="9" s="1"/>
  <c r="AQ102" i="6" s="1"/>
  <c r="AQ20" i="12"/>
  <c r="AY133" i="9"/>
  <c r="AY134" i="9" s="1"/>
  <c r="AY116" i="9"/>
  <c r="AY117" i="9" s="1"/>
  <c r="AY20" i="12"/>
  <c r="AT133" i="9"/>
  <c r="AT134" i="9" s="1"/>
  <c r="AT116" i="9"/>
  <c r="AT117" i="9" s="1"/>
  <c r="AT20" i="12"/>
  <c r="AV133" i="9"/>
  <c r="AV134" i="9" s="1"/>
  <c r="AV116" i="9"/>
  <c r="AV117" i="9" s="1"/>
  <c r="AV20" i="12"/>
  <c r="AX116" i="9"/>
  <c r="AX117" i="9" s="1"/>
  <c r="AX133" i="9"/>
  <c r="AX134" i="9" s="1"/>
  <c r="AX20" i="12"/>
  <c r="AZ116" i="9"/>
  <c r="AZ117" i="9" s="1"/>
  <c r="AZ133" i="9"/>
  <c r="AZ134" i="9" s="1"/>
  <c r="AZ20" i="12"/>
  <c r="BB116" i="9"/>
  <c r="BB117" i="9" s="1"/>
  <c r="BB133" i="9"/>
  <c r="BB134" i="9" s="1"/>
  <c r="BB20" i="12"/>
  <c r="BD116" i="9"/>
  <c r="BD117" i="9" s="1"/>
  <c r="BD133" i="9"/>
  <c r="BD134" i="9" s="1"/>
  <c r="BD20" i="12"/>
  <c r="BG116" i="9"/>
  <c r="BG117" i="9" s="1"/>
  <c r="BG133" i="9"/>
  <c r="BG134" i="9" s="1"/>
  <c r="BG20" i="12"/>
  <c r="BI20" i="12"/>
  <c r="BI116" i="9"/>
  <c r="BI117" i="9" s="1"/>
  <c r="BI133" i="9"/>
  <c r="BI134" i="9" s="1"/>
  <c r="BJ102" i="6"/>
  <c r="BJ8" i="12"/>
  <c r="BJ74" i="6"/>
  <c r="BJ75" i="6" s="1"/>
  <c r="BK133" i="9"/>
  <c r="BK134" i="9" s="1"/>
  <c r="BK116" i="9"/>
  <c r="BK117" i="9" s="1"/>
  <c r="BK20" i="12"/>
  <c r="BF8" i="12"/>
  <c r="BF74" i="6"/>
  <c r="BF75" i="6" s="1"/>
  <c r="BF102" i="6"/>
  <c r="K196" i="9"/>
  <c r="L148" i="9"/>
  <c r="AB102" i="6"/>
  <c r="AB8" i="12"/>
  <c r="AB74" i="6"/>
  <c r="AB75" i="6" s="1"/>
  <c r="AU102" i="6"/>
  <c r="AU74" i="6"/>
  <c r="AU75" i="6" s="1"/>
  <c r="AU8" i="12"/>
  <c r="AW74" i="6"/>
  <c r="AW75" i="6" s="1"/>
  <c r="AW102" i="6"/>
  <c r="AW8" i="12"/>
  <c r="BA102" i="6"/>
  <c r="BA74" i="6"/>
  <c r="BA75" i="6" s="1"/>
  <c r="BA8" i="12"/>
  <c r="BN74" i="6"/>
  <c r="BN75" i="6" s="1"/>
  <c r="BN8" i="12"/>
  <c r="BN102" i="6"/>
  <c r="AS74" i="6"/>
  <c r="AS75" i="6" s="1"/>
  <c r="AS102" i="6"/>
  <c r="AS8" i="12"/>
  <c r="AL102" i="6"/>
  <c r="AL8" i="12"/>
  <c r="AL74" i="6"/>
  <c r="AL75" i="6" s="1"/>
  <c r="AB135" i="9"/>
  <c r="AU135" i="9"/>
  <c r="AW135" i="9"/>
  <c r="BA135" i="9"/>
  <c r="AI80" i="11"/>
  <c r="AI66" i="8"/>
  <c r="AH63" i="11"/>
  <c r="AH64" i="11"/>
  <c r="AH190" i="9"/>
  <c r="AI158" i="9"/>
  <c r="AI174" i="9" s="1"/>
  <c r="AA156" i="9"/>
  <c r="AA172" i="9" s="1"/>
  <c r="AA188" i="9" s="1"/>
  <c r="AB140" i="9"/>
  <c r="W141" i="9"/>
  <c r="V55" i="11"/>
  <c r="V189" i="9"/>
  <c r="AN77" i="10"/>
  <c r="AN82" i="10"/>
  <c r="AN85" i="10" s="1"/>
  <c r="AN84" i="17"/>
  <c r="AN86" i="17" s="1"/>
  <c r="AH191" i="9"/>
  <c r="AI159" i="9"/>
  <c r="AI175" i="9" s="1"/>
  <c r="AH75" i="8"/>
  <c r="AH57" i="10" s="1"/>
  <c r="AH27" i="11"/>
  <c r="AH28" i="11" s="1"/>
  <c r="AH30" i="11" s="1"/>
  <c r="AH16" i="17" s="1"/>
  <c r="AH162" i="9"/>
  <c r="AH178" i="9" s="1"/>
  <c r="AH194" i="9" s="1"/>
  <c r="AI146" i="9"/>
  <c r="Y49" i="17"/>
  <c r="AH165" i="9"/>
  <c r="AH181" i="9" s="1"/>
  <c r="AH197" i="9" s="1"/>
  <c r="AI149" i="9"/>
  <c r="AI73" i="8"/>
  <c r="AI74" i="8" s="1"/>
  <c r="AI13" i="11"/>
  <c r="AI13" i="17" s="1"/>
  <c r="AM98" i="11"/>
  <c r="AM105" i="11"/>
  <c r="AM104" i="11"/>
  <c r="AM103" i="11"/>
  <c r="AM102" i="11"/>
  <c r="AM106" i="11"/>
  <c r="AP83" i="10"/>
  <c r="AP118" i="10"/>
  <c r="AP71" i="10"/>
  <c r="AP72" i="10" s="1"/>
  <c r="AP75" i="10" s="1"/>
  <c r="AP81" i="10" s="1"/>
  <c r="AP117" i="10"/>
  <c r="AP116" i="10"/>
  <c r="AP67" i="10"/>
  <c r="AP68" i="10" s="1"/>
  <c r="AP80" i="10"/>
  <c r="AO52" i="17"/>
  <c r="AO128" i="10"/>
  <c r="AO74" i="10"/>
  <c r="AO84" i="17"/>
  <c r="AO86" i="17" s="1"/>
  <c r="AO77" i="10"/>
  <c r="AO82" i="10"/>
  <c r="AO85" i="10" s="1"/>
  <c r="AQ71" i="10"/>
  <c r="AQ117" i="10"/>
  <c r="AQ83" i="10"/>
  <c r="AQ118" i="10"/>
  <c r="AO127" i="10"/>
  <c r="AO51" i="17"/>
  <c r="AO50" i="17"/>
  <c r="AO126" i="10"/>
  <c r="Z88" i="17"/>
  <c r="Z37" i="17"/>
  <c r="Z43" i="17" s="1"/>
  <c r="Z45" i="17" s="1"/>
  <c r="AA25" i="17"/>
  <c r="AA177" i="9"/>
  <c r="AQ116" i="10"/>
  <c r="AQ80" i="10"/>
  <c r="AQ67" i="10"/>
  <c r="AQ68" i="10" s="1"/>
  <c r="N65" i="17"/>
  <c r="AH11" i="17"/>
  <c r="AH15" i="17"/>
  <c r="AH12" i="17"/>
  <c r="N95" i="17"/>
  <c r="N94" i="17"/>
  <c r="AF96" i="10"/>
  <c r="AF101" i="10" s="1"/>
  <c r="AF36" i="17"/>
  <c r="AF42" i="17" s="1"/>
  <c r="AH98" i="10"/>
  <c r="AH31" i="17"/>
  <c r="AH99" i="10"/>
  <c r="AH38" i="17"/>
  <c r="AH44" i="17" s="1"/>
  <c r="AR63" i="10"/>
  <c r="AR64" i="10"/>
  <c r="AR65" i="10"/>
  <c r="AR107" i="10" s="1"/>
  <c r="AR66" i="10"/>
  <c r="AR17" i="11"/>
  <c r="AR20" i="11"/>
  <c r="AR23" i="11" s="1"/>
  <c r="AR26" i="11"/>
  <c r="AR54" i="10"/>
  <c r="AR56" i="10" s="1"/>
  <c r="AR106" i="10"/>
  <c r="AR105" i="10"/>
  <c r="AR62" i="10"/>
  <c r="AS32" i="13"/>
  <c r="AS20" i="13"/>
  <c r="AS27" i="13" s="1"/>
  <c r="AS10" i="13"/>
  <c r="AI93" i="10"/>
  <c r="AS48" i="10"/>
  <c r="AS47" i="10"/>
  <c r="AS46" i="10"/>
  <c r="AS45" i="10"/>
  <c r="AS44" i="10"/>
  <c r="AS43" i="10"/>
  <c r="AS42" i="10"/>
  <c r="AS41" i="10"/>
  <c r="AS40" i="10"/>
  <c r="AS39" i="10"/>
  <c r="AS38" i="10"/>
  <c r="AS37" i="10"/>
  <c r="AS36" i="10"/>
  <c r="AS35" i="10"/>
  <c r="AS34" i="10"/>
  <c r="AS33" i="10"/>
  <c r="AT48" i="10"/>
  <c r="AT47" i="10"/>
  <c r="AT46" i="10"/>
  <c r="AT45" i="10"/>
  <c r="AT44" i="10"/>
  <c r="AT43" i="10"/>
  <c r="AT42" i="10"/>
  <c r="AT41" i="10"/>
  <c r="AT40" i="10"/>
  <c r="AT39" i="10"/>
  <c r="AT38" i="10"/>
  <c r="AT37" i="10"/>
  <c r="AT36" i="10"/>
  <c r="AT35" i="10"/>
  <c r="AT34" i="10"/>
  <c r="AT33" i="10"/>
  <c r="AU16" i="7"/>
  <c r="AU34" i="7" s="1"/>
  <c r="AU29" i="10" s="1"/>
  <c r="AU30" i="10" s="1"/>
  <c r="AT17" i="7"/>
  <c r="AT27" i="6" s="1"/>
  <c r="AR80" i="6"/>
  <c r="AT28" i="12"/>
  <c r="AT8" i="13"/>
  <c r="AS93" i="6"/>
  <c r="AI40" i="14"/>
  <c r="AE51" i="12"/>
  <c r="AE41" i="6" s="1"/>
  <c r="AE45" i="12"/>
  <c r="AE39" i="6" s="1"/>
  <c r="AE9" i="6"/>
  <c r="AE69" i="11"/>
  <c r="AE70" i="11" s="1"/>
  <c r="AE89" i="11" s="1"/>
  <c r="AE15" i="6" s="1"/>
  <c r="AE79" i="11"/>
  <c r="AE108" i="10"/>
  <c r="AD143" i="6"/>
  <c r="AD8" i="6"/>
  <c r="AD176" i="6"/>
  <c r="AD165" i="6"/>
  <c r="AD122" i="6"/>
  <c r="AD157" i="6"/>
  <c r="AD126" i="6"/>
  <c r="AI64" i="14"/>
  <c r="AI77" i="11" s="1"/>
  <c r="AH62" i="8"/>
  <c r="AH89" i="10" s="1"/>
  <c r="AI49" i="14"/>
  <c r="AI48" i="14"/>
  <c r="AI46" i="14"/>
  <c r="AI63" i="8" s="1"/>
  <c r="AI90" i="10" s="1"/>
  <c r="AI97" i="10" s="1"/>
  <c r="AI47" i="14"/>
  <c r="AI64" i="8" s="1"/>
  <c r="AI91" i="10" s="1"/>
  <c r="AJ63" i="14"/>
  <c r="AJ62" i="14"/>
  <c r="AJ61" i="14"/>
  <c r="AJ60" i="14"/>
  <c r="AJ59" i="14"/>
  <c r="AJ58" i="14"/>
  <c r="AJ57" i="14"/>
  <c r="AJ56" i="14"/>
  <c r="AJ55" i="14"/>
  <c r="AJ54" i="14"/>
  <c r="AJ53" i="14"/>
  <c r="AJ52" i="14"/>
  <c r="AI5" i="13"/>
  <c r="AI5" i="14"/>
  <c r="AJ36" i="14"/>
  <c r="AJ35" i="14"/>
  <c r="AJ34" i="14"/>
  <c r="AJ33" i="14"/>
  <c r="AJ32" i="14"/>
  <c r="AJ31" i="14"/>
  <c r="AJ30" i="14"/>
  <c r="AJ29" i="14"/>
  <c r="AJ39" i="14" s="1"/>
  <c r="AJ28" i="14"/>
  <c r="AJ27" i="14"/>
  <c r="AJ26" i="14"/>
  <c r="AJ25" i="14"/>
  <c r="AG52" i="11"/>
  <c r="AB163" i="9"/>
  <c r="AA195" i="9"/>
  <c r="M71" i="6"/>
  <c r="M103" i="6"/>
  <c r="AI5" i="12"/>
  <c r="AI5" i="6"/>
  <c r="N97" i="11"/>
  <c r="N93" i="11"/>
  <c r="N94" i="11" s="1"/>
  <c r="O59" i="10"/>
  <c r="O8" i="11" s="1"/>
  <c r="O9" i="17" s="1"/>
  <c r="O55" i="10"/>
  <c r="AI60" i="8"/>
  <c r="AJ59" i="8"/>
  <c r="AK22" i="7"/>
  <c r="AF145" i="9"/>
  <c r="AH160" i="9"/>
  <c r="AH176" i="9" s="1"/>
  <c r="AH192" i="9" s="1"/>
  <c r="AI144" i="9"/>
  <c r="AD187" i="9"/>
  <c r="AE171" i="9"/>
  <c r="AF155" i="9" s="1"/>
  <c r="AG139" i="9"/>
  <c r="AI68" i="11"/>
  <c r="AI10" i="11"/>
  <c r="AI22" i="17" s="1"/>
  <c r="AI9" i="11"/>
  <c r="AI10" i="17" s="1"/>
  <c r="AI11" i="11"/>
  <c r="AI12" i="11"/>
  <c r="AI65" i="8"/>
  <c r="AI92" i="10" s="1"/>
  <c r="AI34" i="11"/>
  <c r="AI35" i="11"/>
  <c r="AI36" i="11"/>
  <c r="AI37" i="11"/>
  <c r="AI38" i="11"/>
  <c r="AI39" i="11"/>
  <c r="AI23" i="17" s="1"/>
  <c r="AI40" i="11"/>
  <c r="AI41" i="11"/>
  <c r="AI42" i="11"/>
  <c r="AI43" i="11"/>
  <c r="AI44" i="11"/>
  <c r="AI45" i="11"/>
  <c r="AI46" i="11"/>
  <c r="AI47" i="11"/>
  <c r="AI48" i="11"/>
  <c r="AI49" i="11"/>
  <c r="AI29" i="11"/>
  <c r="AI75" i="11"/>
  <c r="AI58" i="11"/>
  <c r="AI73" i="11"/>
  <c r="AI74" i="11"/>
  <c r="AI76" i="11"/>
  <c r="AI18" i="11"/>
  <c r="AI19" i="11" s="1"/>
  <c r="AI24" i="17" s="1"/>
  <c r="AI21" i="11"/>
  <c r="AI22" i="11" s="1"/>
  <c r="AI24" i="11"/>
  <c r="AI25" i="11" s="1"/>
  <c r="AI62" i="11"/>
  <c r="AG65" i="11"/>
  <c r="AG17" i="17" s="1"/>
  <c r="AH50" i="11"/>
  <c r="AH51" i="11"/>
  <c r="AI5" i="11"/>
  <c r="AI5" i="10"/>
  <c r="AI5" i="9"/>
  <c r="AI55" i="8"/>
  <c r="AJ58" i="8"/>
  <c r="AJ57" i="8"/>
  <c r="AK147" i="9"/>
  <c r="AK143" i="9"/>
  <c r="AK142" i="9"/>
  <c r="AK11" i="7"/>
  <c r="AJ13" i="7"/>
  <c r="AJ27" i="10" s="1"/>
  <c r="AJ12" i="7"/>
  <c r="AJ5" i="17" s="1"/>
  <c r="AZ135" i="9" l="1"/>
  <c r="BC135" i="9"/>
  <c r="AK135" i="9"/>
  <c r="BO135" i="9"/>
  <c r="AE135" i="9"/>
  <c r="AM135" i="9"/>
  <c r="AX135" i="9"/>
  <c r="AG135" i="9"/>
  <c r="AR135" i="9"/>
  <c r="AN135" i="9"/>
  <c r="AK74" i="6"/>
  <c r="AK75" i="6" s="1"/>
  <c r="AK8" i="12"/>
  <c r="AK102" i="6"/>
  <c r="BC102" i="6"/>
  <c r="BC74" i="6"/>
  <c r="BC75" i="6" s="1"/>
  <c r="BC8" i="12"/>
  <c r="BO74" i="6"/>
  <c r="BO75" i="6" s="1"/>
  <c r="BO102" i="6"/>
  <c r="BO8" i="12"/>
  <c r="L129" i="6"/>
  <c r="L24" i="6"/>
  <c r="M87" i="11"/>
  <c r="M11" i="6" s="1"/>
  <c r="M12" i="6"/>
  <c r="AD121" i="6"/>
  <c r="AO135" i="9"/>
  <c r="AE74" i="6"/>
  <c r="AE75" i="6" s="1"/>
  <c r="AE102" i="6"/>
  <c r="AE8" i="12"/>
  <c r="BD135" i="9"/>
  <c r="AR74" i="6"/>
  <c r="AR75" i="6" s="1"/>
  <c r="AR8" i="12"/>
  <c r="AR102" i="6"/>
  <c r="BL135" i="9"/>
  <c r="AG74" i="6"/>
  <c r="AG75" i="6" s="1"/>
  <c r="AG102" i="6"/>
  <c r="AG8" i="12"/>
  <c r="BE135" i="9"/>
  <c r="AD135" i="9"/>
  <c r="AC135" i="9"/>
  <c r="BG135" i="9"/>
  <c r="BM135" i="9"/>
  <c r="BB135" i="9"/>
  <c r="BH135" i="9"/>
  <c r="AJ135" i="9"/>
  <c r="BI135" i="9"/>
  <c r="AI135" i="9"/>
  <c r="AP135" i="9"/>
  <c r="AF135" i="9"/>
  <c r="AH135" i="9"/>
  <c r="AQ74" i="6"/>
  <c r="AQ75" i="6" s="1"/>
  <c r="AQ8" i="12"/>
  <c r="AO74" i="6"/>
  <c r="AO75" i="6" s="1"/>
  <c r="AO8" i="12"/>
  <c r="AO102" i="6"/>
  <c r="BM74" i="6"/>
  <c r="BM75" i="6" s="1"/>
  <c r="BM8" i="12"/>
  <c r="BM102" i="6"/>
  <c r="AD74" i="6"/>
  <c r="AD75" i="6" s="1"/>
  <c r="AD8" i="12"/>
  <c r="AD102" i="6"/>
  <c r="BE102" i="6"/>
  <c r="BE74" i="6"/>
  <c r="BE75" i="6" s="1"/>
  <c r="BE8" i="12"/>
  <c r="AH102" i="6"/>
  <c r="AH8" i="12"/>
  <c r="AH74" i="6"/>
  <c r="AH75" i="6" s="1"/>
  <c r="AM8" i="12"/>
  <c r="AM102" i="6"/>
  <c r="AM74" i="6"/>
  <c r="AM75" i="6" s="1"/>
  <c r="BH74" i="6"/>
  <c r="BH75" i="6" s="1"/>
  <c r="BH102" i="6"/>
  <c r="BH8" i="12"/>
  <c r="BL8" i="12"/>
  <c r="BL74" i="6"/>
  <c r="BL75" i="6" s="1"/>
  <c r="BL102" i="6"/>
  <c r="AN74" i="6"/>
  <c r="AN75" i="6" s="1"/>
  <c r="AN8" i="12"/>
  <c r="AN102" i="6"/>
  <c r="AP8" i="12"/>
  <c r="AP74" i="6"/>
  <c r="AP75" i="6" s="1"/>
  <c r="AP102" i="6"/>
  <c r="AC74" i="6"/>
  <c r="AC75" i="6" s="1"/>
  <c r="AC8" i="12"/>
  <c r="AC102" i="6"/>
  <c r="AI74" i="6"/>
  <c r="AI75" i="6" s="1"/>
  <c r="AI8" i="12"/>
  <c r="AI102" i="6"/>
  <c r="AJ8" i="12"/>
  <c r="AJ102" i="6"/>
  <c r="AJ74" i="6"/>
  <c r="AJ75" i="6" s="1"/>
  <c r="AF8" i="12"/>
  <c r="AF102" i="6"/>
  <c r="AF74" i="6"/>
  <c r="AF75" i="6" s="1"/>
  <c r="AT8" i="12"/>
  <c r="AT74" i="6"/>
  <c r="AT75" i="6" s="1"/>
  <c r="AT102" i="6"/>
  <c r="AV8" i="12"/>
  <c r="AV102" i="6"/>
  <c r="AV74" i="6"/>
  <c r="AV75" i="6" s="1"/>
  <c r="AX74" i="6"/>
  <c r="AX75" i="6" s="1"/>
  <c r="AX102" i="6"/>
  <c r="AX8" i="12"/>
  <c r="AZ102" i="6"/>
  <c r="AZ8" i="12"/>
  <c r="AZ74" i="6"/>
  <c r="AZ75" i="6" s="1"/>
  <c r="AQ135" i="9"/>
  <c r="AT135" i="9"/>
  <c r="AY102" i="6"/>
  <c r="AY8" i="12"/>
  <c r="AY74" i="6"/>
  <c r="AY75" i="6" s="1"/>
  <c r="AY135" i="9"/>
  <c r="AV135" i="9"/>
  <c r="BD102" i="6"/>
  <c r="BD74" i="6"/>
  <c r="BD75" i="6" s="1"/>
  <c r="BD8" i="12"/>
  <c r="BG74" i="6"/>
  <c r="BG75" i="6" s="1"/>
  <c r="BG8" i="12"/>
  <c r="BG102" i="6"/>
  <c r="BB74" i="6"/>
  <c r="BB75" i="6" s="1"/>
  <c r="BB102" i="6"/>
  <c r="BB8" i="12"/>
  <c r="BI74" i="6"/>
  <c r="BI75" i="6" s="1"/>
  <c r="BI8" i="12"/>
  <c r="BI102" i="6"/>
  <c r="BK74" i="6"/>
  <c r="BK75" i="6" s="1"/>
  <c r="BK8" i="12"/>
  <c r="BK102" i="6"/>
  <c r="BK135" i="9"/>
  <c r="L196" i="9"/>
  <c r="M148" i="9"/>
  <c r="AJ80" i="11"/>
  <c r="AJ66" i="8"/>
  <c r="AI63" i="11"/>
  <c r="AI64" i="11"/>
  <c r="AI190" i="9"/>
  <c r="AJ158" i="9"/>
  <c r="AJ174" i="9" s="1"/>
  <c r="AC140" i="9"/>
  <c r="AB156" i="9"/>
  <c r="AB172" i="9" s="1"/>
  <c r="AB188" i="9" s="1"/>
  <c r="X141" i="9"/>
  <c r="W55" i="11"/>
  <c r="W189" i="9"/>
  <c r="AN102" i="11"/>
  <c r="AN98" i="11"/>
  <c r="AN106" i="11"/>
  <c r="AN105" i="11"/>
  <c r="AN104" i="11"/>
  <c r="AN103" i="11"/>
  <c r="AI191" i="9"/>
  <c r="AJ159" i="9"/>
  <c r="AJ175" i="9" s="1"/>
  <c r="AI162" i="9"/>
  <c r="AI178" i="9" s="1"/>
  <c r="AI194" i="9" s="1"/>
  <c r="AJ146" i="9"/>
  <c r="AI165" i="9"/>
  <c r="AI181" i="9" s="1"/>
  <c r="AI197" i="9" s="1"/>
  <c r="AJ149" i="9"/>
  <c r="AI27" i="11"/>
  <c r="AI28" i="11" s="1"/>
  <c r="AI30" i="11" s="1"/>
  <c r="AI16" i="17" s="1"/>
  <c r="AI75" i="8"/>
  <c r="AI57" i="10" s="1"/>
  <c r="AJ73" i="8"/>
  <c r="AJ74" i="8" s="1"/>
  <c r="AJ13" i="11"/>
  <c r="AJ13" i="17" s="1"/>
  <c r="N66" i="17"/>
  <c r="N99" i="17"/>
  <c r="AP123" i="10"/>
  <c r="AP41" i="17"/>
  <c r="AP122" i="10"/>
  <c r="AP40" i="17"/>
  <c r="AQ119" i="10"/>
  <c r="AQ124" i="10" s="1"/>
  <c r="AP119" i="10"/>
  <c r="AP124" i="10" s="1"/>
  <c r="AP121" i="10"/>
  <c r="AP39" i="17"/>
  <c r="N96" i="17"/>
  <c r="AO103" i="11"/>
  <c r="AO102" i="11"/>
  <c r="AO105" i="11"/>
  <c r="AO106" i="11"/>
  <c r="AO104" i="11"/>
  <c r="AO98" i="11"/>
  <c r="AQ41" i="17"/>
  <c r="AQ123" i="10"/>
  <c r="AQ40" i="17"/>
  <c r="AQ122" i="10"/>
  <c r="AQ72" i="10"/>
  <c r="AQ75" i="10" s="1"/>
  <c r="AQ81" i="10" s="1"/>
  <c r="AI11" i="17"/>
  <c r="AP73" i="10"/>
  <c r="AP74" i="10" s="1"/>
  <c r="AQ39" i="17"/>
  <c r="AQ121" i="10"/>
  <c r="Z48" i="17"/>
  <c r="Z47" i="17"/>
  <c r="Z46" i="17"/>
  <c r="AA26" i="17"/>
  <c r="AA32" i="17"/>
  <c r="AA87" i="17" s="1"/>
  <c r="AA89" i="17" s="1"/>
  <c r="AA193" i="9"/>
  <c r="AB161" i="9"/>
  <c r="AS49" i="10"/>
  <c r="AI12" i="17"/>
  <c r="AI15" i="17"/>
  <c r="AR71" i="10"/>
  <c r="AR72" i="10" s="1"/>
  <c r="AR117" i="10"/>
  <c r="AR83" i="10"/>
  <c r="AR118" i="10"/>
  <c r="AG96" i="10"/>
  <c r="AG101" i="10" s="1"/>
  <c r="AG36" i="17"/>
  <c r="AG42" i="17" s="1"/>
  <c r="AI98" i="10"/>
  <c r="O19" i="17"/>
  <c r="O29" i="17"/>
  <c r="AI31" i="17"/>
  <c r="AI99" i="10"/>
  <c r="AI38" i="17"/>
  <c r="AI44" i="17" s="1"/>
  <c r="AR116" i="10"/>
  <c r="AR80" i="10"/>
  <c r="AR67" i="10"/>
  <c r="AR68" i="10" s="1"/>
  <c r="AS80" i="6"/>
  <c r="AJ93" i="10"/>
  <c r="AT49" i="10"/>
  <c r="AU48" i="10"/>
  <c r="AU47" i="10"/>
  <c r="AU46" i="10"/>
  <c r="AU45" i="10"/>
  <c r="AU44" i="10"/>
  <c r="AU43" i="10"/>
  <c r="AU42" i="10"/>
  <c r="AU41" i="10"/>
  <c r="AU40" i="10"/>
  <c r="AU39" i="10"/>
  <c r="AU38" i="10"/>
  <c r="AU37" i="10"/>
  <c r="AU36" i="10"/>
  <c r="AU35" i="10"/>
  <c r="AU34" i="10"/>
  <c r="AU33" i="10"/>
  <c r="AE8" i="6"/>
  <c r="AE176" i="6"/>
  <c r="AE122" i="6"/>
  <c r="AU17" i="7"/>
  <c r="AU27" i="6" s="1"/>
  <c r="AV16" i="7"/>
  <c r="AV34" i="7" s="1"/>
  <c r="AV29" i="10" s="1"/>
  <c r="AV30" i="10" s="1"/>
  <c r="AU28" i="12"/>
  <c r="AU8" i="13"/>
  <c r="AT93" i="6"/>
  <c r="AT20" i="13"/>
  <c r="AT27" i="13" s="1"/>
  <c r="AT10" i="13"/>
  <c r="AT32" i="13"/>
  <c r="AF69" i="11"/>
  <c r="AF70" i="11" s="1"/>
  <c r="AF89" i="11" s="1"/>
  <c r="AF15" i="6" s="1"/>
  <c r="AF79" i="11"/>
  <c r="AF108" i="10"/>
  <c r="AF9" i="6"/>
  <c r="AF51" i="12"/>
  <c r="AF41" i="6" s="1"/>
  <c r="AF45" i="12"/>
  <c r="AF39" i="6" s="1"/>
  <c r="AE165" i="6"/>
  <c r="AE143" i="6"/>
  <c r="AE157" i="6"/>
  <c r="AE126" i="6"/>
  <c r="AJ40" i="14"/>
  <c r="AI62" i="8"/>
  <c r="AI89" i="10" s="1"/>
  <c r="AJ64" i="14"/>
  <c r="AJ77" i="11" s="1"/>
  <c r="AJ49" i="14"/>
  <c r="AJ46" i="14"/>
  <c r="AJ63" i="8" s="1"/>
  <c r="AJ90" i="10" s="1"/>
  <c r="AJ97" i="10" s="1"/>
  <c r="AJ48" i="14"/>
  <c r="AJ47" i="14"/>
  <c r="AJ64" i="8" s="1"/>
  <c r="AJ91" i="10" s="1"/>
  <c r="AK63" i="14"/>
  <c r="AK62" i="14"/>
  <c r="AK61" i="14"/>
  <c r="AK60" i="14"/>
  <c r="AK59" i="14"/>
  <c r="AK58" i="14"/>
  <c r="AK57" i="14"/>
  <c r="AK56" i="14"/>
  <c r="AK55" i="14"/>
  <c r="AK54" i="14"/>
  <c r="AK53" i="14"/>
  <c r="AK52" i="14"/>
  <c r="AK36" i="14"/>
  <c r="AK35" i="14"/>
  <c r="AK34" i="14"/>
  <c r="AK33" i="14"/>
  <c r="AK32" i="14"/>
  <c r="AK31" i="14"/>
  <c r="AK30" i="14"/>
  <c r="AK29" i="14"/>
  <c r="AK39" i="14" s="1"/>
  <c r="AK28" i="14"/>
  <c r="AK27" i="14"/>
  <c r="AK26" i="14"/>
  <c r="AK25" i="14"/>
  <c r="AJ5" i="13"/>
  <c r="AJ5" i="14"/>
  <c r="AB179" i="9"/>
  <c r="AJ5" i="12"/>
  <c r="AJ5" i="6"/>
  <c r="AJ60" i="8"/>
  <c r="AH65" i="11"/>
  <c r="AH17" i="17" s="1"/>
  <c r="N109" i="11"/>
  <c r="N123" i="11" s="1"/>
  <c r="N110" i="11"/>
  <c r="N124" i="11" s="1"/>
  <c r="N112" i="11"/>
  <c r="N126" i="11" s="1"/>
  <c r="N111" i="11"/>
  <c r="N125" i="11" s="1"/>
  <c r="N113" i="11"/>
  <c r="N127" i="11" s="1"/>
  <c r="N52" i="12"/>
  <c r="N50" i="6" s="1"/>
  <c r="N47" i="12"/>
  <c r="O14" i="11"/>
  <c r="O84" i="11" s="1"/>
  <c r="O46" i="12"/>
  <c r="P52" i="10"/>
  <c r="O48" i="12"/>
  <c r="AK59" i="8"/>
  <c r="AL22" i="7"/>
  <c r="AG145" i="9"/>
  <c r="AI160" i="9"/>
  <c r="AI176" i="9" s="1"/>
  <c r="AI192" i="9" s="1"/>
  <c r="AJ144" i="9"/>
  <c r="AF171" i="9"/>
  <c r="AG155" i="9" s="1"/>
  <c r="AE187" i="9"/>
  <c r="AH139" i="9"/>
  <c r="AJ68" i="11"/>
  <c r="AJ10" i="11"/>
  <c r="AJ22" i="17" s="1"/>
  <c r="AJ9" i="11"/>
  <c r="AJ10" i="17" s="1"/>
  <c r="AJ11" i="11"/>
  <c r="AJ12" i="11"/>
  <c r="AJ65" i="8"/>
  <c r="AJ92" i="10" s="1"/>
  <c r="AJ34" i="11"/>
  <c r="AJ35" i="11"/>
  <c r="AJ36" i="11"/>
  <c r="AJ37" i="11"/>
  <c r="AJ38" i="11"/>
  <c r="AJ39" i="11"/>
  <c r="AJ23" i="17" s="1"/>
  <c r="AJ40" i="11"/>
  <c r="AJ41" i="11"/>
  <c r="AJ42" i="11"/>
  <c r="AJ43" i="11"/>
  <c r="AJ44" i="11"/>
  <c r="AJ45" i="11"/>
  <c r="AJ46" i="11"/>
  <c r="AJ47" i="11"/>
  <c r="AJ48" i="11"/>
  <c r="AJ49" i="11"/>
  <c r="AJ29" i="11"/>
  <c r="AJ58" i="11"/>
  <c r="AJ76" i="11"/>
  <c r="AJ75" i="11"/>
  <c r="AJ73" i="11"/>
  <c r="AJ74" i="11"/>
  <c r="AJ18" i="11"/>
  <c r="AJ19" i="11" s="1"/>
  <c r="AJ24" i="17" s="1"/>
  <c r="AJ21" i="11"/>
  <c r="AJ22" i="11" s="1"/>
  <c r="AJ24" i="11"/>
  <c r="AJ25" i="11" s="1"/>
  <c r="AJ62" i="11"/>
  <c r="AI50" i="11"/>
  <c r="AH52" i="11"/>
  <c r="AI51" i="11"/>
  <c r="AK58" i="8"/>
  <c r="AK57" i="8"/>
  <c r="AJ5" i="11"/>
  <c r="AJ5" i="10"/>
  <c r="AJ5" i="9"/>
  <c r="AJ55" i="8"/>
  <c r="AL147" i="9"/>
  <c r="AL143" i="9"/>
  <c r="AL142" i="9"/>
  <c r="AL11" i="7"/>
  <c r="AK12" i="7"/>
  <c r="AK5" i="17" s="1"/>
  <c r="AK13" i="7"/>
  <c r="AK27" i="10" s="1"/>
  <c r="L135" i="6" l="1"/>
  <c r="L180" i="6"/>
  <c r="L179" i="6"/>
  <c r="L35" i="12"/>
  <c r="M123" i="6"/>
  <c r="M156" i="6"/>
  <c r="M168" i="6"/>
  <c r="M13" i="6"/>
  <c r="AE121" i="6"/>
  <c r="N148" i="9"/>
  <c r="M196" i="9"/>
  <c r="AK80" i="11"/>
  <c r="AK66" i="8"/>
  <c r="AJ63" i="11"/>
  <c r="AJ64" i="11"/>
  <c r="AJ190" i="9"/>
  <c r="AK158" i="9"/>
  <c r="AK174" i="9" s="1"/>
  <c r="AD140" i="9"/>
  <c r="AC156" i="9"/>
  <c r="AC172" i="9" s="1"/>
  <c r="AC188" i="9" s="1"/>
  <c r="Y141" i="9"/>
  <c r="X55" i="11"/>
  <c r="X189" i="9"/>
  <c r="AJ191" i="9"/>
  <c r="AK159" i="9"/>
  <c r="AK175" i="9" s="1"/>
  <c r="AJ162" i="9"/>
  <c r="AJ178" i="9" s="1"/>
  <c r="AJ194" i="9" s="1"/>
  <c r="AK146" i="9"/>
  <c r="AJ165" i="9"/>
  <c r="AJ181" i="9" s="1"/>
  <c r="AJ197" i="9" s="1"/>
  <c r="AK149" i="9"/>
  <c r="AJ27" i="11"/>
  <c r="AJ28" i="11" s="1"/>
  <c r="AJ30" i="11" s="1"/>
  <c r="AJ16" i="17" s="1"/>
  <c r="AJ75" i="8"/>
  <c r="AJ57" i="10" s="1"/>
  <c r="AK73" i="8"/>
  <c r="AK74" i="8" s="1"/>
  <c r="AK13" i="11"/>
  <c r="AK13" i="17" s="1"/>
  <c r="N97" i="17"/>
  <c r="N67" i="17"/>
  <c r="AP51" i="17"/>
  <c r="AP127" i="10"/>
  <c r="AP52" i="17"/>
  <c r="AP128" i="10"/>
  <c r="AP50" i="17"/>
  <c r="AP126" i="10"/>
  <c r="AQ52" i="17"/>
  <c r="AQ128" i="10"/>
  <c r="Z49" i="17"/>
  <c r="AQ127" i="10"/>
  <c r="AQ51" i="17"/>
  <c r="AQ73" i="10"/>
  <c r="AQ74" i="10" s="1"/>
  <c r="AB25" i="17"/>
  <c r="AB177" i="9"/>
  <c r="AP77" i="10"/>
  <c r="AP82" i="10"/>
  <c r="AP85" i="10" s="1"/>
  <c r="AP84" i="17"/>
  <c r="AP86" i="17" s="1"/>
  <c r="AS106" i="10"/>
  <c r="AS105" i="10"/>
  <c r="AS62" i="10"/>
  <c r="AS63" i="10"/>
  <c r="AS64" i="10"/>
  <c r="AS65" i="10"/>
  <c r="AS107" i="10" s="1"/>
  <c r="AS66" i="10"/>
  <c r="AS17" i="11"/>
  <c r="AS20" i="11"/>
  <c r="AS23" i="11" s="1"/>
  <c r="AS26" i="11"/>
  <c r="AS54" i="10"/>
  <c r="AS56" i="10" s="1"/>
  <c r="AQ50" i="17"/>
  <c r="AQ126" i="10"/>
  <c r="AA88" i="17"/>
  <c r="AA37" i="17"/>
  <c r="AA43" i="17" s="1"/>
  <c r="AA45" i="17" s="1"/>
  <c r="AJ12" i="17"/>
  <c r="AJ11" i="17"/>
  <c r="AJ15" i="17"/>
  <c r="O33" i="17"/>
  <c r="O56" i="17"/>
  <c r="O63" i="17" s="1"/>
  <c r="O55" i="17"/>
  <c r="O62" i="17" s="1"/>
  <c r="O57" i="17"/>
  <c r="O64" i="17" s="1"/>
  <c r="AR41" i="17"/>
  <c r="AR123" i="10"/>
  <c r="AR75" i="10"/>
  <c r="AR81" i="10" s="1"/>
  <c r="AR73" i="10"/>
  <c r="AR84" i="17" s="1"/>
  <c r="AR40" i="17"/>
  <c r="AR122" i="10"/>
  <c r="AR119" i="10"/>
  <c r="AR124" i="10" s="1"/>
  <c r="AR121" i="10"/>
  <c r="AR39" i="17"/>
  <c r="AH96" i="10"/>
  <c r="AH101" i="10" s="1"/>
  <c r="AH108" i="10" s="1"/>
  <c r="AH36" i="17"/>
  <c r="AH42" i="17" s="1"/>
  <c r="AJ98" i="10"/>
  <c r="AJ31" i="17"/>
  <c r="AJ99" i="10"/>
  <c r="AJ38" i="17"/>
  <c r="AJ44" i="17" s="1"/>
  <c r="AK93" i="10"/>
  <c r="AT54" i="10"/>
  <c r="AT56" i="10" s="1"/>
  <c r="AT26" i="11"/>
  <c r="AT20" i="11"/>
  <c r="AT23" i="11" s="1"/>
  <c r="AT17" i="11"/>
  <c r="AT66" i="10"/>
  <c r="AT65" i="10"/>
  <c r="AT107" i="10" s="1"/>
  <c r="AT64" i="10"/>
  <c r="AT63" i="10"/>
  <c r="AT62" i="10"/>
  <c r="AT116" i="10" s="1"/>
  <c r="AT39" i="17" s="1"/>
  <c r="AT105" i="10"/>
  <c r="AT106" i="10"/>
  <c r="AU49" i="10"/>
  <c r="AV48" i="10"/>
  <c r="AV47" i="10"/>
  <c r="AV46" i="10"/>
  <c r="AV45" i="10"/>
  <c r="AV44" i="10"/>
  <c r="AV43" i="10"/>
  <c r="AV42" i="10"/>
  <c r="AV41" i="10"/>
  <c r="AV40" i="10"/>
  <c r="AV39" i="10"/>
  <c r="AV38" i="10"/>
  <c r="AV37" i="10"/>
  <c r="AV36" i="10"/>
  <c r="AV35" i="10"/>
  <c r="AV34" i="10"/>
  <c r="AV33" i="10"/>
  <c r="AW16" i="7"/>
  <c r="AW34" i="7" s="1"/>
  <c r="AW29" i="10" s="1"/>
  <c r="AW30" i="10" s="1"/>
  <c r="AV17" i="7"/>
  <c r="AV27" i="6" s="1"/>
  <c r="AU93" i="6"/>
  <c r="AV28" i="12"/>
  <c r="AV8" i="13"/>
  <c r="AU32" i="13"/>
  <c r="AU20" i="13"/>
  <c r="AU27" i="13" s="1"/>
  <c r="AU10" i="13"/>
  <c r="AT80" i="6"/>
  <c r="AF157" i="6"/>
  <c r="AF126" i="6"/>
  <c r="AF143" i="6"/>
  <c r="AF165" i="6"/>
  <c r="AF122" i="6"/>
  <c r="AF176" i="6"/>
  <c r="AF8" i="6"/>
  <c r="AG51" i="12"/>
  <c r="AG41" i="6" s="1"/>
  <c r="AG45" i="12"/>
  <c r="AG39" i="6" s="1"/>
  <c r="AG9" i="6"/>
  <c r="AG69" i="11"/>
  <c r="AG70" i="11" s="1"/>
  <c r="AG89" i="11" s="1"/>
  <c r="AG15" i="6" s="1"/>
  <c r="AG79" i="11"/>
  <c r="AG108" i="10"/>
  <c r="AK64" i="14"/>
  <c r="AK77" i="11" s="1"/>
  <c r="AK40" i="14"/>
  <c r="AJ62" i="8"/>
  <c r="AJ89" i="10" s="1"/>
  <c r="AK49" i="14"/>
  <c r="AK46" i="14"/>
  <c r="AK63" i="8" s="1"/>
  <c r="AK90" i="10" s="1"/>
  <c r="AK97" i="10" s="1"/>
  <c r="AK47" i="14"/>
  <c r="AK64" i="8" s="1"/>
  <c r="AK91" i="10" s="1"/>
  <c r="AK48" i="14"/>
  <c r="AL63" i="14"/>
  <c r="AL62" i="14"/>
  <c r="AL61" i="14"/>
  <c r="AL60" i="14"/>
  <c r="AL59" i="14"/>
  <c r="AL58" i="14"/>
  <c r="AL57" i="14"/>
  <c r="AL56" i="14"/>
  <c r="AL55" i="14"/>
  <c r="AL54" i="14"/>
  <c r="AL53" i="14"/>
  <c r="AL52" i="14"/>
  <c r="AL36" i="14"/>
  <c r="AL35" i="14"/>
  <c r="AL34" i="14"/>
  <c r="AL33" i="14"/>
  <c r="AL32" i="14"/>
  <c r="AL31" i="14"/>
  <c r="AL30" i="14"/>
  <c r="AL29" i="14"/>
  <c r="AL39" i="14" s="1"/>
  <c r="AL28" i="14"/>
  <c r="AL27" i="14"/>
  <c r="AL26" i="14"/>
  <c r="AL25" i="14"/>
  <c r="AK5" i="13"/>
  <c r="AK5" i="14"/>
  <c r="AB195" i="9"/>
  <c r="AC163" i="9"/>
  <c r="AI65" i="11"/>
  <c r="AI17" i="17" s="1"/>
  <c r="N53" i="12"/>
  <c r="N54" i="12" s="1"/>
  <c r="N37" i="12" s="1"/>
  <c r="N49" i="6"/>
  <c r="AK5" i="12"/>
  <c r="AK5" i="6"/>
  <c r="O86" i="11"/>
  <c r="O49" i="12"/>
  <c r="O40" i="6" s="1"/>
  <c r="P53" i="10"/>
  <c r="AI52" i="11"/>
  <c r="AL59" i="8"/>
  <c r="AM22" i="7"/>
  <c r="AH145" i="9"/>
  <c r="AJ160" i="9"/>
  <c r="AJ176" i="9" s="1"/>
  <c r="AJ192" i="9" s="1"/>
  <c r="AK144" i="9"/>
  <c r="AF187" i="9"/>
  <c r="AG171" i="9"/>
  <c r="AH155" i="9" s="1"/>
  <c r="AI139" i="9"/>
  <c r="AK68" i="11"/>
  <c r="AK10" i="11"/>
  <c r="AK22" i="17" s="1"/>
  <c r="AK9" i="11"/>
  <c r="AK10" i="17" s="1"/>
  <c r="AK11" i="11"/>
  <c r="AK12" i="11"/>
  <c r="AK65" i="8"/>
  <c r="AK92" i="10" s="1"/>
  <c r="AK34" i="11"/>
  <c r="AK35" i="11"/>
  <c r="AK36" i="11"/>
  <c r="AK37" i="11"/>
  <c r="AK38" i="11"/>
  <c r="AK39" i="11"/>
  <c r="AK23" i="17" s="1"/>
  <c r="AK40" i="11"/>
  <c r="AK41" i="11"/>
  <c r="AK42" i="11"/>
  <c r="AK43" i="11"/>
  <c r="AK44" i="11"/>
  <c r="AK45" i="11"/>
  <c r="AK46" i="11"/>
  <c r="AK47" i="11"/>
  <c r="AK48" i="11"/>
  <c r="AK49" i="11"/>
  <c r="AK29" i="11"/>
  <c r="AK73" i="11"/>
  <c r="AK74" i="11"/>
  <c r="AK75" i="11"/>
  <c r="AK58" i="11"/>
  <c r="AK76" i="11"/>
  <c r="AK18" i="11"/>
  <c r="AK19" i="11" s="1"/>
  <c r="AK24" i="17" s="1"/>
  <c r="AK21" i="11"/>
  <c r="AK22" i="11" s="1"/>
  <c r="AK24" i="11"/>
  <c r="AK25" i="11" s="1"/>
  <c r="AK62" i="11"/>
  <c r="AJ50" i="11"/>
  <c r="AJ51" i="11"/>
  <c r="AK60" i="8"/>
  <c r="AL58" i="8"/>
  <c r="AL57" i="8"/>
  <c r="AK5" i="11"/>
  <c r="AK5" i="10"/>
  <c r="AK5" i="9"/>
  <c r="AK55" i="8"/>
  <c r="AM147" i="9"/>
  <c r="AM143" i="9"/>
  <c r="AM142" i="9"/>
  <c r="AM11" i="7"/>
  <c r="AL12" i="7"/>
  <c r="AL5" i="17" s="1"/>
  <c r="AL13" i="7"/>
  <c r="AL27" i="10" s="1"/>
  <c r="N169" i="6" l="1"/>
  <c r="M18" i="6"/>
  <c r="M178" i="6"/>
  <c r="M177" i="6"/>
  <c r="M155" i="6"/>
  <c r="M124" i="6"/>
  <c r="AF121" i="6"/>
  <c r="N98" i="17"/>
  <c r="N88" i="11"/>
  <c r="N196" i="9"/>
  <c r="O148" i="9"/>
  <c r="AL80" i="11"/>
  <c r="AL66" i="8"/>
  <c r="AK64" i="11"/>
  <c r="AK63" i="11"/>
  <c r="AK190" i="9"/>
  <c r="AL158" i="9"/>
  <c r="AL174" i="9" s="1"/>
  <c r="AE140" i="9"/>
  <c r="AD156" i="9"/>
  <c r="AD172" i="9" s="1"/>
  <c r="AD188" i="9" s="1"/>
  <c r="Z141" i="9"/>
  <c r="Y55" i="11"/>
  <c r="Y157" i="9"/>
  <c r="Y173" i="9" s="1"/>
  <c r="Y189" i="9" s="1"/>
  <c r="AK191" i="9"/>
  <c r="AL159" i="9"/>
  <c r="AL175" i="9" s="1"/>
  <c r="AK162" i="9"/>
  <c r="AK178" i="9" s="1"/>
  <c r="AK194" i="9" s="1"/>
  <c r="AL146" i="9"/>
  <c r="AK165" i="9"/>
  <c r="AK181" i="9" s="1"/>
  <c r="AK197" i="9" s="1"/>
  <c r="AL149" i="9"/>
  <c r="AK75" i="8"/>
  <c r="AK57" i="10" s="1"/>
  <c r="AK27" i="11"/>
  <c r="AK28" i="11" s="1"/>
  <c r="AK30" i="11" s="1"/>
  <c r="AK16" i="17" s="1"/>
  <c r="AL73" i="8"/>
  <c r="AL74" i="8" s="1"/>
  <c r="AL13" i="11"/>
  <c r="AL13" i="17" s="1"/>
  <c r="AB32" i="17"/>
  <c r="AB87" i="17" s="1"/>
  <c r="AB89" i="17" s="1"/>
  <c r="AB26" i="17"/>
  <c r="AC161" i="9"/>
  <c r="AB193" i="9"/>
  <c r="AS116" i="10"/>
  <c r="AS80" i="10"/>
  <c r="AQ77" i="10"/>
  <c r="AQ82" i="10"/>
  <c r="AQ85" i="10" s="1"/>
  <c r="AQ84" i="17"/>
  <c r="AQ86" i="17" s="1"/>
  <c r="AP103" i="11"/>
  <c r="AP106" i="11"/>
  <c r="AP105" i="11"/>
  <c r="AP104" i="11"/>
  <c r="AP102" i="11"/>
  <c r="AP98" i="11"/>
  <c r="AS71" i="10"/>
  <c r="AS117" i="10"/>
  <c r="AS67" i="10"/>
  <c r="AS68" i="10" s="1"/>
  <c r="AS83" i="10"/>
  <c r="AS118" i="10"/>
  <c r="AA48" i="17"/>
  <c r="AA47" i="17"/>
  <c r="AA46" i="17"/>
  <c r="AK11" i="17"/>
  <c r="O65" i="17"/>
  <c r="AK12" i="17"/>
  <c r="AK15" i="17"/>
  <c r="AR86" i="17"/>
  <c r="O95" i="17"/>
  <c r="O94" i="17"/>
  <c r="AR52" i="17"/>
  <c r="AR128" i="10"/>
  <c r="AR51" i="17"/>
  <c r="AR127" i="10"/>
  <c r="AR50" i="17"/>
  <c r="AR126" i="10"/>
  <c r="AR74" i="10"/>
  <c r="AR82" i="10"/>
  <c r="AR85" i="10" s="1"/>
  <c r="AR77" i="10"/>
  <c r="AI96" i="10"/>
  <c r="AI101" i="10" s="1"/>
  <c r="AI36" i="17"/>
  <c r="AI42" i="17" s="1"/>
  <c r="AK98" i="10"/>
  <c r="AK31" i="17"/>
  <c r="AK99" i="10"/>
  <c r="AK38" i="17"/>
  <c r="AK44" i="17" s="1"/>
  <c r="AT83" i="10"/>
  <c r="AT118" i="10"/>
  <c r="AT71" i="10"/>
  <c r="AT117" i="10"/>
  <c r="AT121" i="10"/>
  <c r="AT119" i="10"/>
  <c r="AT124" i="10" s="1"/>
  <c r="AL93" i="10"/>
  <c r="AT80" i="10"/>
  <c r="AT67" i="10"/>
  <c r="AT68" i="10" s="1"/>
  <c r="AU54" i="10"/>
  <c r="AU56" i="10" s="1"/>
  <c r="AU26" i="11"/>
  <c r="AU20" i="11"/>
  <c r="AU23" i="11" s="1"/>
  <c r="AU17" i="11"/>
  <c r="AU66" i="10"/>
  <c r="AU65" i="10"/>
  <c r="AU107" i="10" s="1"/>
  <c r="AU64" i="10"/>
  <c r="AU63" i="10"/>
  <c r="AU62" i="10"/>
  <c r="AU116" i="10" s="1"/>
  <c r="AU39" i="17" s="1"/>
  <c r="AU105" i="10"/>
  <c r="AU106" i="10"/>
  <c r="AV49" i="10"/>
  <c r="AW48" i="10"/>
  <c r="AW47" i="10"/>
  <c r="AW46" i="10"/>
  <c r="AW45" i="10"/>
  <c r="AW44" i="10"/>
  <c r="AW43" i="10"/>
  <c r="AW42" i="10"/>
  <c r="AW41" i="10"/>
  <c r="AW40" i="10"/>
  <c r="AW39" i="10"/>
  <c r="AW38" i="10"/>
  <c r="AW37" i="10"/>
  <c r="AW36" i="10"/>
  <c r="AW35" i="10"/>
  <c r="AW34" i="10"/>
  <c r="AW33" i="10"/>
  <c r="AW17" i="7"/>
  <c r="AW27" i="6" s="1"/>
  <c r="AX16" i="7"/>
  <c r="AX34" i="7" s="1"/>
  <c r="AX29" i="10" s="1"/>
  <c r="AX30" i="10" s="1"/>
  <c r="AW28" i="12"/>
  <c r="AW8" i="13"/>
  <c r="AV93" i="6"/>
  <c r="AG176" i="6"/>
  <c r="AG8" i="6"/>
  <c r="AG122" i="6"/>
  <c r="AU80" i="6"/>
  <c r="AG165" i="6"/>
  <c r="AG143" i="6"/>
  <c r="AG157" i="6"/>
  <c r="AG126" i="6"/>
  <c r="AL40" i="14"/>
  <c r="AH9" i="6"/>
  <c r="AH51" i="12"/>
  <c r="AH41" i="6" s="1"/>
  <c r="AH45" i="12"/>
  <c r="AH39" i="6" s="1"/>
  <c r="AH69" i="11"/>
  <c r="AH70" i="11" s="1"/>
  <c r="AH89" i="11" s="1"/>
  <c r="AH15" i="6" s="1"/>
  <c r="AH79" i="11"/>
  <c r="AL64" i="14"/>
  <c r="AL77" i="11" s="1"/>
  <c r="AK62" i="8"/>
  <c r="AK89" i="10" s="1"/>
  <c r="AL47" i="14"/>
  <c r="AL64" i="8" s="1"/>
  <c r="AL91" i="10" s="1"/>
  <c r="AL46" i="14"/>
  <c r="AL63" i="8" s="1"/>
  <c r="AL90" i="10" s="1"/>
  <c r="AL97" i="10" s="1"/>
  <c r="AL48" i="14"/>
  <c r="AL49" i="14"/>
  <c r="AC179" i="9"/>
  <c r="AM63" i="14"/>
  <c r="AM62" i="14"/>
  <c r="AM61" i="14"/>
  <c r="AM60" i="14"/>
  <c r="AM59" i="14"/>
  <c r="AM58" i="14"/>
  <c r="AM57" i="14"/>
  <c r="AM56" i="14"/>
  <c r="AM55" i="14"/>
  <c r="AM54" i="14"/>
  <c r="AM53" i="14"/>
  <c r="AM52" i="14"/>
  <c r="AM36" i="14"/>
  <c r="AM35" i="14"/>
  <c r="AM34" i="14"/>
  <c r="AM33" i="14"/>
  <c r="AM32" i="14"/>
  <c r="AM31" i="14"/>
  <c r="AM30" i="14"/>
  <c r="AM29" i="14"/>
  <c r="AM39" i="14" s="1"/>
  <c r="AM28" i="14"/>
  <c r="AM27" i="14"/>
  <c r="AM26" i="14"/>
  <c r="AM25" i="14"/>
  <c r="AL5" i="13"/>
  <c r="AL5" i="14"/>
  <c r="N71" i="6"/>
  <c r="N103" i="6"/>
  <c r="AL5" i="12"/>
  <c r="AL5" i="6"/>
  <c r="O93" i="11"/>
  <c r="O94" i="11" s="1"/>
  <c r="O97" i="11"/>
  <c r="P59" i="10"/>
  <c r="P8" i="11" s="1"/>
  <c r="P9" i="17" s="1"/>
  <c r="P55" i="10"/>
  <c r="AL60" i="8"/>
  <c r="AJ65" i="11"/>
  <c r="AJ17" i="17" s="1"/>
  <c r="AJ52" i="11"/>
  <c r="AM59" i="8"/>
  <c r="AN22" i="7"/>
  <c r="AI145" i="9"/>
  <c r="AK160" i="9"/>
  <c r="AK176" i="9" s="1"/>
  <c r="AK192" i="9" s="1"/>
  <c r="AL144" i="9"/>
  <c r="AG187" i="9"/>
  <c r="AH171" i="9"/>
  <c r="AI155" i="9" s="1"/>
  <c r="AJ139" i="9"/>
  <c r="AL68" i="11"/>
  <c r="AL10" i="11"/>
  <c r="AL22" i="17" s="1"/>
  <c r="AL9" i="11"/>
  <c r="AL10" i="17" s="1"/>
  <c r="AL11" i="11"/>
  <c r="AL12" i="11"/>
  <c r="AL65" i="8"/>
  <c r="AL92" i="10" s="1"/>
  <c r="AL34" i="11"/>
  <c r="AL35" i="11"/>
  <c r="AL36" i="11"/>
  <c r="AL37" i="11"/>
  <c r="AL38" i="11"/>
  <c r="AL39" i="11"/>
  <c r="AL23" i="17" s="1"/>
  <c r="AL40" i="11"/>
  <c r="AL41" i="11"/>
  <c r="AL42" i="11"/>
  <c r="AL43" i="11"/>
  <c r="AL44" i="11"/>
  <c r="AL45" i="11"/>
  <c r="AL46" i="11"/>
  <c r="AL47" i="11"/>
  <c r="AL48" i="11"/>
  <c r="AL49" i="11"/>
  <c r="AL29" i="11"/>
  <c r="AL73" i="11"/>
  <c r="AL74" i="11"/>
  <c r="AL75" i="11"/>
  <c r="AL58" i="11"/>
  <c r="AL76" i="11"/>
  <c r="AL18" i="11"/>
  <c r="AL19" i="11" s="1"/>
  <c r="AL24" i="17" s="1"/>
  <c r="AL21" i="11"/>
  <c r="AL22" i="11" s="1"/>
  <c r="AL24" i="11"/>
  <c r="AL25" i="11" s="1"/>
  <c r="AL62" i="11"/>
  <c r="AK50" i="11"/>
  <c r="AK51" i="11"/>
  <c r="AM58" i="8"/>
  <c r="AM57" i="8"/>
  <c r="AL5" i="11"/>
  <c r="AL5" i="10"/>
  <c r="AL5" i="9"/>
  <c r="AL55" i="8"/>
  <c r="AN147" i="9"/>
  <c r="AN143" i="9"/>
  <c r="AN142" i="9"/>
  <c r="AM12" i="7"/>
  <c r="AM5" i="17" s="1"/>
  <c r="AM13" i="7"/>
  <c r="AM27" i="10" s="1"/>
  <c r="AN11" i="7"/>
  <c r="M129" i="6" l="1"/>
  <c r="M24" i="6"/>
  <c r="N87" i="11"/>
  <c r="N11" i="6" s="1"/>
  <c r="N12" i="6"/>
  <c r="AG121" i="6"/>
  <c r="P148" i="9"/>
  <c r="O196" i="9"/>
  <c r="AH143" i="6"/>
  <c r="AM80" i="11"/>
  <c r="AM66" i="8"/>
  <c r="AL64" i="11"/>
  <c r="AL63" i="11"/>
  <c r="AL190" i="9"/>
  <c r="AM158" i="9"/>
  <c r="AM174" i="9" s="1"/>
  <c r="AL75" i="8"/>
  <c r="AL57" i="10" s="1"/>
  <c r="AL27" i="11"/>
  <c r="AL28" i="11" s="1"/>
  <c r="AL30" i="11" s="1"/>
  <c r="AL16" i="17" s="1"/>
  <c r="AE156" i="9"/>
  <c r="AE172" i="9" s="1"/>
  <c r="AE188" i="9" s="1"/>
  <c r="AF140" i="9"/>
  <c r="Z55" i="11"/>
  <c r="AA141" i="9"/>
  <c r="Z157" i="9"/>
  <c r="Z173" i="9" s="1"/>
  <c r="Z189" i="9" s="1"/>
  <c r="Y57" i="11"/>
  <c r="Y56" i="11"/>
  <c r="AL191" i="9"/>
  <c r="AM159" i="9"/>
  <c r="AM175" i="9" s="1"/>
  <c r="AL162" i="9"/>
  <c r="AL178" i="9" s="1"/>
  <c r="AL194" i="9" s="1"/>
  <c r="AM146" i="9"/>
  <c r="AL165" i="9"/>
  <c r="AL181" i="9" s="1"/>
  <c r="AL197" i="9" s="1"/>
  <c r="AM149" i="9"/>
  <c r="AM73" i="8"/>
  <c r="AM74" i="8" s="1"/>
  <c r="AS39" i="17"/>
  <c r="AS121" i="10"/>
  <c r="AM13" i="11"/>
  <c r="AM13" i="17" s="1"/>
  <c r="AS119" i="10"/>
  <c r="AS124" i="10" s="1"/>
  <c r="AB88" i="17"/>
  <c r="AB37" i="17"/>
  <c r="AB43" i="17" s="1"/>
  <c r="AB45" i="17" s="1"/>
  <c r="AC25" i="17"/>
  <c r="AC177" i="9"/>
  <c r="O96" i="17"/>
  <c r="AA49" i="17"/>
  <c r="O99" i="17"/>
  <c r="O66" i="17"/>
  <c r="AS40" i="17"/>
  <c r="AS122" i="10"/>
  <c r="AQ103" i="11"/>
  <c r="AQ102" i="11"/>
  <c r="AQ98" i="11"/>
  <c r="AQ105" i="11"/>
  <c r="AQ104" i="11"/>
  <c r="AQ106" i="11"/>
  <c r="AS72" i="10"/>
  <c r="AS123" i="10"/>
  <c r="AS41" i="17"/>
  <c r="AR106" i="11"/>
  <c r="AR104" i="11"/>
  <c r="AR105" i="11"/>
  <c r="AR103" i="11"/>
  <c r="AR102" i="11"/>
  <c r="AR98" i="11"/>
  <c r="AL12" i="17"/>
  <c r="AL11" i="17"/>
  <c r="AL15" i="17"/>
  <c r="AT123" i="10"/>
  <c r="AT41" i="17"/>
  <c r="AT122" i="10"/>
  <c r="AT40" i="17"/>
  <c r="AT126" i="10"/>
  <c r="AT50" i="17"/>
  <c r="AJ96" i="10"/>
  <c r="AJ101" i="10" s="1"/>
  <c r="AJ69" i="11" s="1"/>
  <c r="AJ70" i="11" s="1"/>
  <c r="AJ89" i="11" s="1"/>
  <c r="AJ15" i="6" s="1"/>
  <c r="AJ36" i="17"/>
  <c r="AJ42" i="17" s="1"/>
  <c r="AL98" i="10"/>
  <c r="P29" i="17"/>
  <c r="P19" i="17"/>
  <c r="AL31" i="17"/>
  <c r="AL99" i="10"/>
  <c r="AL38" i="17"/>
  <c r="AL44" i="17" s="1"/>
  <c r="AT72" i="10"/>
  <c r="AU83" i="10"/>
  <c r="AU118" i="10"/>
  <c r="AU71" i="10"/>
  <c r="AU117" i="10"/>
  <c r="AU119" i="10" s="1"/>
  <c r="AU124" i="10" s="1"/>
  <c r="AU121" i="10"/>
  <c r="AM93" i="10"/>
  <c r="AW49" i="10"/>
  <c r="AU80" i="10"/>
  <c r="AU67" i="10"/>
  <c r="AU68" i="10" s="1"/>
  <c r="AV54" i="10"/>
  <c r="AV56" i="10" s="1"/>
  <c r="AV26" i="11"/>
  <c r="AV20" i="11"/>
  <c r="AV23" i="11" s="1"/>
  <c r="AV17" i="11"/>
  <c r="AV66" i="10"/>
  <c r="AV65" i="10"/>
  <c r="AV107" i="10" s="1"/>
  <c r="AV64" i="10"/>
  <c r="AV63" i="10"/>
  <c r="AV62" i="10"/>
  <c r="AV116" i="10" s="1"/>
  <c r="AV39" i="17" s="1"/>
  <c r="AV105" i="10"/>
  <c r="AV106" i="10"/>
  <c r="AX48" i="10"/>
  <c r="AX47" i="10"/>
  <c r="AX46" i="10"/>
  <c r="AX45" i="10"/>
  <c r="AX44" i="10"/>
  <c r="AX43" i="10"/>
  <c r="AX42" i="10"/>
  <c r="AX41" i="10"/>
  <c r="AX40" i="10"/>
  <c r="AX39" i="10"/>
  <c r="AX38" i="10"/>
  <c r="AX37" i="10"/>
  <c r="AX36" i="10"/>
  <c r="AX35" i="10"/>
  <c r="AX34" i="10"/>
  <c r="AX33" i="10"/>
  <c r="AX28" i="12"/>
  <c r="AX8" i="13"/>
  <c r="AY16" i="7"/>
  <c r="AY34" i="7" s="1"/>
  <c r="AY29" i="10" s="1"/>
  <c r="AY30" i="10" s="1"/>
  <c r="AX17" i="7"/>
  <c r="AX27" i="6" s="1"/>
  <c r="AW93" i="6"/>
  <c r="AH176" i="6"/>
  <c r="AH8" i="6"/>
  <c r="AH122" i="6"/>
  <c r="AW32" i="13"/>
  <c r="AW10" i="13"/>
  <c r="AW20" i="13"/>
  <c r="AW27" i="13" s="1"/>
  <c r="AH165" i="6"/>
  <c r="AH157" i="6"/>
  <c r="AH126" i="6"/>
  <c r="AM40" i="14"/>
  <c r="AI9" i="6"/>
  <c r="AI45" i="12"/>
  <c r="AI39" i="6" s="1"/>
  <c r="AI51" i="12"/>
  <c r="AI41" i="6" s="1"/>
  <c r="AI69" i="11"/>
  <c r="AI70" i="11" s="1"/>
  <c r="AI89" i="11" s="1"/>
  <c r="AI15" i="6" s="1"/>
  <c r="AI79" i="11"/>
  <c r="AI108" i="10"/>
  <c r="AC195" i="9"/>
  <c r="AD163" i="9"/>
  <c r="AL62" i="8"/>
  <c r="AL89" i="10" s="1"/>
  <c r="AM64" i="14"/>
  <c r="AM77" i="11" s="1"/>
  <c r="AM47" i="14"/>
  <c r="AM64" i="8" s="1"/>
  <c r="AM91" i="10" s="1"/>
  <c r="AM49" i="14"/>
  <c r="AM48" i="14"/>
  <c r="AM46" i="14"/>
  <c r="AM63" i="8" s="1"/>
  <c r="AM90" i="10" s="1"/>
  <c r="AM97" i="10" s="1"/>
  <c r="AN63" i="14"/>
  <c r="AN62" i="14"/>
  <c r="AN61" i="14"/>
  <c r="AN60" i="14"/>
  <c r="AN59" i="14"/>
  <c r="AN58" i="14"/>
  <c r="AN57" i="14"/>
  <c r="AN56" i="14"/>
  <c r="AN55" i="14"/>
  <c r="AN54" i="14"/>
  <c r="AN53" i="14"/>
  <c r="AN52" i="14"/>
  <c r="AM5" i="13"/>
  <c r="AM5" i="14"/>
  <c r="AN36" i="14"/>
  <c r="AN35" i="14"/>
  <c r="AN34" i="14"/>
  <c r="AN33" i="14"/>
  <c r="AN32" i="14"/>
  <c r="AN31" i="14"/>
  <c r="AN30" i="14"/>
  <c r="AN29" i="14"/>
  <c r="AN39" i="14" s="1"/>
  <c r="AN28" i="14"/>
  <c r="AN27" i="14"/>
  <c r="AN26" i="14"/>
  <c r="AN25" i="14"/>
  <c r="AM5" i="12"/>
  <c r="AM5" i="6"/>
  <c r="O52" i="12"/>
  <c r="O50" i="6" s="1"/>
  <c r="O47" i="12"/>
  <c r="O109" i="11"/>
  <c r="O123" i="11" s="1"/>
  <c r="O113" i="11"/>
  <c r="O127" i="11" s="1"/>
  <c r="O112" i="11"/>
  <c r="O126" i="11" s="1"/>
  <c r="O111" i="11"/>
  <c r="O125" i="11" s="1"/>
  <c r="O110" i="11"/>
  <c r="O124" i="11" s="1"/>
  <c r="P14" i="11"/>
  <c r="P84" i="11" s="1"/>
  <c r="P46" i="12"/>
  <c r="Q52" i="10"/>
  <c r="P48" i="12"/>
  <c r="AK65" i="11"/>
  <c r="AK17" i="17" s="1"/>
  <c r="AM60" i="8"/>
  <c r="AN59" i="8"/>
  <c r="AO22" i="7"/>
  <c r="AJ145" i="9"/>
  <c r="AL160" i="9"/>
  <c r="AL176" i="9" s="1"/>
  <c r="AL192" i="9" s="1"/>
  <c r="AM144" i="9"/>
  <c r="AH187" i="9"/>
  <c r="AI171" i="9"/>
  <c r="AK139" i="9"/>
  <c r="AM68" i="11"/>
  <c r="AM10" i="11"/>
  <c r="AM22" i="17" s="1"/>
  <c r="AM9" i="11"/>
  <c r="AM10" i="17" s="1"/>
  <c r="AM11" i="11"/>
  <c r="AM12" i="11"/>
  <c r="AM65" i="8"/>
  <c r="AM92" i="10" s="1"/>
  <c r="AM34" i="11"/>
  <c r="AM35" i="11"/>
  <c r="AM36" i="11"/>
  <c r="AM37" i="11"/>
  <c r="AM38" i="11"/>
  <c r="AM39" i="11"/>
  <c r="AM23" i="17" s="1"/>
  <c r="AM40" i="11"/>
  <c r="AM41" i="11"/>
  <c r="AM42" i="11"/>
  <c r="AM43" i="11"/>
  <c r="AM44" i="11"/>
  <c r="AM45" i="11"/>
  <c r="AM46" i="11"/>
  <c r="AM47" i="11"/>
  <c r="AM48" i="11"/>
  <c r="AM49" i="11"/>
  <c r="AM29" i="11"/>
  <c r="AM73" i="11"/>
  <c r="AM75" i="11"/>
  <c r="AM76" i="11"/>
  <c r="AM74" i="11"/>
  <c r="AM58" i="11"/>
  <c r="AM18" i="11"/>
  <c r="AM19" i="11" s="1"/>
  <c r="AM24" i="17" s="1"/>
  <c r="AM21" i="11"/>
  <c r="AM22" i="11" s="1"/>
  <c r="AM24" i="11"/>
  <c r="AM25" i="11" s="1"/>
  <c r="AM62" i="11"/>
  <c r="AL50" i="11"/>
  <c r="AL51" i="11"/>
  <c r="AK52" i="11"/>
  <c r="AM5" i="11"/>
  <c r="AM5" i="10"/>
  <c r="AM5" i="9"/>
  <c r="AM55" i="8"/>
  <c r="AN58" i="8"/>
  <c r="AN57" i="8"/>
  <c r="AO147" i="9"/>
  <c r="AO143" i="9"/>
  <c r="AO142" i="9"/>
  <c r="AN12" i="7"/>
  <c r="AN5" i="17" s="1"/>
  <c r="AN13" i="7"/>
  <c r="AN27" i="10" s="1"/>
  <c r="AO11" i="7"/>
  <c r="M179" i="6" l="1"/>
  <c r="M35" i="12"/>
  <c r="M180" i="6"/>
  <c r="M135" i="6"/>
  <c r="N168" i="6"/>
  <c r="N156" i="6"/>
  <c r="N123" i="6"/>
  <c r="N13" i="6"/>
  <c r="AH121" i="6"/>
  <c r="P196" i="9"/>
  <c r="Q148" i="9"/>
  <c r="AN80" i="11"/>
  <c r="AN66" i="8"/>
  <c r="AM64" i="11"/>
  <c r="AM63" i="11"/>
  <c r="AM190" i="9"/>
  <c r="AN158" i="9"/>
  <c r="AN174" i="9" s="1"/>
  <c r="AF156" i="9"/>
  <c r="AF172" i="9" s="1"/>
  <c r="AF188" i="9" s="1"/>
  <c r="AG140" i="9"/>
  <c r="Z56" i="11"/>
  <c r="Z57" i="11"/>
  <c r="AB141" i="9"/>
  <c r="AA55" i="11"/>
  <c r="AA157" i="9"/>
  <c r="AA173" i="9" s="1"/>
  <c r="AA189" i="9" s="1"/>
  <c r="Y14" i="17"/>
  <c r="Y59" i="11"/>
  <c r="Y50" i="12" s="1"/>
  <c r="Y164" i="9"/>
  <c r="AM191" i="9"/>
  <c r="AN159" i="9"/>
  <c r="AN175" i="9" s="1"/>
  <c r="AM75" i="8"/>
  <c r="AM57" i="10" s="1"/>
  <c r="AM27" i="11"/>
  <c r="AM28" i="11" s="1"/>
  <c r="AM30" i="11" s="1"/>
  <c r="AM16" i="17" s="1"/>
  <c r="AM162" i="9"/>
  <c r="AM178" i="9" s="1"/>
  <c r="AM194" i="9" s="1"/>
  <c r="AN146" i="9"/>
  <c r="AM165" i="9"/>
  <c r="AM181" i="9" s="1"/>
  <c r="AM197" i="9" s="1"/>
  <c r="AN149" i="9"/>
  <c r="O97" i="17"/>
  <c r="O67" i="17"/>
  <c r="AS126" i="10"/>
  <c r="AS50" i="17"/>
  <c r="AN73" i="8"/>
  <c r="AN74" i="8" s="1"/>
  <c r="AN13" i="11"/>
  <c r="AN13" i="17" s="1"/>
  <c r="AX49" i="10"/>
  <c r="AB48" i="17"/>
  <c r="AB47" i="17"/>
  <c r="AB46" i="17"/>
  <c r="AC26" i="17"/>
  <c r="AC32" i="17"/>
  <c r="AC87" i="17" s="1"/>
  <c r="AC89" i="17" s="1"/>
  <c r="AC193" i="9"/>
  <c r="AD161" i="9"/>
  <c r="AS127" i="10"/>
  <c r="AS51" i="17"/>
  <c r="AS73" i="10"/>
  <c r="AS75" i="10"/>
  <c r="AS81" i="10" s="1"/>
  <c r="AS52" i="17"/>
  <c r="AS128" i="10"/>
  <c r="AM12" i="17"/>
  <c r="AM11" i="17"/>
  <c r="AM15" i="17"/>
  <c r="P33" i="17"/>
  <c r="P57" i="17"/>
  <c r="P64" i="17" s="1"/>
  <c r="P56" i="17"/>
  <c r="P63" i="17" s="1"/>
  <c r="P55" i="17"/>
  <c r="P62" i="17" s="1"/>
  <c r="AT52" i="17"/>
  <c r="AT128" i="10"/>
  <c r="AT51" i="17"/>
  <c r="AT127" i="10"/>
  <c r="AT73" i="10"/>
  <c r="AT75" i="10"/>
  <c r="AT81" i="10" s="1"/>
  <c r="AU123" i="10"/>
  <c r="AU41" i="17"/>
  <c r="AU122" i="10"/>
  <c r="AU40" i="17"/>
  <c r="AU126" i="10"/>
  <c r="AU50" i="17"/>
  <c r="AK96" i="10"/>
  <c r="AK101" i="10" s="1"/>
  <c r="AK36" i="17"/>
  <c r="AK42" i="17" s="1"/>
  <c r="AM98" i="10"/>
  <c r="AM31" i="17"/>
  <c r="AM99" i="10"/>
  <c r="AM38" i="17"/>
  <c r="AM44" i="17" s="1"/>
  <c r="AU72" i="10"/>
  <c r="AU75" i="10" s="1"/>
  <c r="AU81" i="10" s="1"/>
  <c r="AW64" i="10"/>
  <c r="AW66" i="10"/>
  <c r="AW20" i="11"/>
  <c r="AW23" i="11" s="1"/>
  <c r="AW54" i="10"/>
  <c r="AW56" i="10" s="1"/>
  <c r="AW62" i="10"/>
  <c r="AW17" i="11"/>
  <c r="AW106" i="10"/>
  <c r="AW63" i="10"/>
  <c r="AW65" i="10"/>
  <c r="AW107" i="10" s="1"/>
  <c r="AW26" i="11"/>
  <c r="AW105" i="10"/>
  <c r="AV83" i="10"/>
  <c r="AV118" i="10"/>
  <c r="AV71" i="10"/>
  <c r="AV117" i="10"/>
  <c r="AV40" i="17" s="1"/>
  <c r="AV121" i="10"/>
  <c r="AN93" i="10"/>
  <c r="AV80" i="10"/>
  <c r="AV67" i="10"/>
  <c r="AV68" i="10" s="1"/>
  <c r="AY48" i="10"/>
  <c r="AY47" i="10"/>
  <c r="AY46" i="10"/>
  <c r="AY45" i="10"/>
  <c r="AY44" i="10"/>
  <c r="AY43" i="10"/>
  <c r="AY42" i="10"/>
  <c r="AY41" i="10"/>
  <c r="AY40" i="10"/>
  <c r="AY39" i="10"/>
  <c r="AY38" i="10"/>
  <c r="AY37" i="10"/>
  <c r="AY36" i="10"/>
  <c r="AY35" i="10"/>
  <c r="AY34" i="10"/>
  <c r="AY33" i="10"/>
  <c r="AZ16" i="7"/>
  <c r="AZ34" i="7" s="1"/>
  <c r="AZ29" i="10" s="1"/>
  <c r="AZ30" i="10" s="1"/>
  <c r="AY17" i="7"/>
  <c r="AY27" i="6" s="1"/>
  <c r="AX20" i="13"/>
  <c r="AX27" i="13" s="1"/>
  <c r="AX32" i="13"/>
  <c r="AX10" i="13"/>
  <c r="AY28" i="12"/>
  <c r="AY8" i="13"/>
  <c r="AX93" i="6"/>
  <c r="AI143" i="6"/>
  <c r="AW80" i="6"/>
  <c r="AN40" i="14"/>
  <c r="AJ79" i="11"/>
  <c r="AJ108" i="10"/>
  <c r="AJ9" i="6"/>
  <c r="AJ51" i="12"/>
  <c r="AJ41" i="6" s="1"/>
  <c r="AJ45" i="12"/>
  <c r="AJ39" i="6" s="1"/>
  <c r="AI165" i="6"/>
  <c r="AI157" i="6"/>
  <c r="AI126" i="6"/>
  <c r="AI122" i="6"/>
  <c r="AI176" i="6"/>
  <c r="AI8" i="6"/>
  <c r="AN64" i="14"/>
  <c r="AN77" i="11" s="1"/>
  <c r="AD179" i="9"/>
  <c r="AM62" i="8"/>
  <c r="AM89" i="10" s="1"/>
  <c r="AN47" i="14"/>
  <c r="AN64" i="8" s="1"/>
  <c r="AN91" i="10" s="1"/>
  <c r="AN48" i="14"/>
  <c r="AN46" i="14"/>
  <c r="AN63" i="8" s="1"/>
  <c r="AN90" i="10" s="1"/>
  <c r="AN97" i="10" s="1"/>
  <c r="AN49" i="14"/>
  <c r="AO63" i="14"/>
  <c r="AO62" i="14"/>
  <c r="AO61" i="14"/>
  <c r="AO60" i="14"/>
  <c r="AO59" i="14"/>
  <c r="AO58" i="14"/>
  <c r="AO57" i="14"/>
  <c r="AO56" i="14"/>
  <c r="AO55" i="14"/>
  <c r="AO54" i="14"/>
  <c r="AO53" i="14"/>
  <c r="AO52" i="14"/>
  <c r="AN5" i="13"/>
  <c r="AN5" i="14"/>
  <c r="AO36" i="14"/>
  <c r="AO35" i="14"/>
  <c r="AO34" i="14"/>
  <c r="AO33" i="14"/>
  <c r="AO32" i="14"/>
  <c r="AO31" i="14"/>
  <c r="AO30" i="14"/>
  <c r="AO29" i="14"/>
  <c r="AO39" i="14" s="1"/>
  <c r="AO28" i="14"/>
  <c r="AO27" i="14"/>
  <c r="AO26" i="14"/>
  <c r="AO25" i="14"/>
  <c r="O53" i="12"/>
  <c r="O54" i="12" s="1"/>
  <c r="O37" i="12" s="1"/>
  <c r="O49" i="6"/>
  <c r="AN5" i="12"/>
  <c r="AN5" i="6"/>
  <c r="P86" i="11"/>
  <c r="P49" i="12"/>
  <c r="P40" i="6" s="1"/>
  <c r="Q53" i="10"/>
  <c r="AL52" i="11"/>
  <c r="AO59" i="8"/>
  <c r="AP22" i="7"/>
  <c r="AK145" i="9"/>
  <c r="AM160" i="9"/>
  <c r="AM176" i="9" s="1"/>
  <c r="AM192" i="9" s="1"/>
  <c r="AN144" i="9"/>
  <c r="AI187" i="9"/>
  <c r="AJ155" i="9"/>
  <c r="AJ171" i="9" s="1"/>
  <c r="AK155" i="9" s="1"/>
  <c r="AL139" i="9"/>
  <c r="AN68" i="11"/>
  <c r="AN10" i="11"/>
  <c r="AN22" i="17" s="1"/>
  <c r="AN9" i="11"/>
  <c r="AN10" i="17" s="1"/>
  <c r="AN11" i="11"/>
  <c r="AN12" i="11"/>
  <c r="AN65" i="8"/>
  <c r="AN92" i="10" s="1"/>
  <c r="AN34" i="11"/>
  <c r="AN35" i="11"/>
  <c r="AN36" i="11"/>
  <c r="AN37" i="11"/>
  <c r="AN38" i="11"/>
  <c r="AN39" i="11"/>
  <c r="AN23" i="17" s="1"/>
  <c r="AN40" i="11"/>
  <c r="AN41" i="11"/>
  <c r="AN42" i="11"/>
  <c r="AN43" i="11"/>
  <c r="AN44" i="11"/>
  <c r="AN45" i="11"/>
  <c r="AN46" i="11"/>
  <c r="AN47" i="11"/>
  <c r="AN48" i="11"/>
  <c r="AN49" i="11"/>
  <c r="AN29" i="11"/>
  <c r="AN58" i="11"/>
  <c r="AN73" i="11"/>
  <c r="AN74" i="11"/>
  <c r="AN76" i="11"/>
  <c r="AN75" i="11"/>
  <c r="AN18" i="11"/>
  <c r="AN19" i="11" s="1"/>
  <c r="AN24" i="17" s="1"/>
  <c r="AN21" i="11"/>
  <c r="AN22" i="11" s="1"/>
  <c r="AN24" i="11"/>
  <c r="AN25" i="11" s="1"/>
  <c r="AN62" i="11"/>
  <c r="AL65" i="11"/>
  <c r="AL17" i="17" s="1"/>
  <c r="AM50" i="11"/>
  <c r="AM51" i="11"/>
  <c r="AN60" i="8"/>
  <c r="AN5" i="11"/>
  <c r="AN5" i="10"/>
  <c r="AN5" i="9"/>
  <c r="AN55" i="8"/>
  <c r="AO58" i="8"/>
  <c r="AO57" i="8"/>
  <c r="AP147" i="9"/>
  <c r="AP143" i="9"/>
  <c r="AP142" i="9"/>
  <c r="AO12" i="7"/>
  <c r="AO5" i="17" s="1"/>
  <c r="AO13" i="7"/>
  <c r="AO27" i="10" s="1"/>
  <c r="AP11" i="7"/>
  <c r="O169" i="6" l="1"/>
  <c r="N18" i="6"/>
  <c r="N155" i="6"/>
  <c r="N177" i="6"/>
  <c r="N178" i="6"/>
  <c r="N124" i="6"/>
  <c r="AI121" i="6"/>
  <c r="O98" i="17"/>
  <c r="O88" i="11"/>
  <c r="Q196" i="9"/>
  <c r="R148" i="9"/>
  <c r="AO80" i="11"/>
  <c r="AO66" i="8"/>
  <c r="AN64" i="11"/>
  <c r="AN63" i="11"/>
  <c r="AN190" i="9"/>
  <c r="AO158" i="9"/>
  <c r="AO174" i="9" s="1"/>
  <c r="AB49" i="17"/>
  <c r="AG156" i="9"/>
  <c r="AG172" i="9" s="1"/>
  <c r="AG188" i="9" s="1"/>
  <c r="AH140" i="9"/>
  <c r="AJ143" i="6"/>
  <c r="Z14" i="17"/>
  <c r="Z59" i="11"/>
  <c r="Z50" i="12" s="1"/>
  <c r="AC141" i="9"/>
  <c r="AB55" i="11"/>
  <c r="AB157" i="9"/>
  <c r="AB173" i="9" s="1"/>
  <c r="AB189" i="9" s="1"/>
  <c r="AA56" i="11"/>
  <c r="AA57" i="11"/>
  <c r="Y180" i="9"/>
  <c r="Z164" i="9" s="1"/>
  <c r="Z91" i="11" s="1"/>
  <c r="Z17" i="6" s="1"/>
  <c r="Z128" i="6" s="1"/>
  <c r="Y91" i="11"/>
  <c r="Y17" i="6" s="1"/>
  <c r="Y128" i="6" s="1"/>
  <c r="AN191" i="9"/>
  <c r="AO159" i="9"/>
  <c r="AO175" i="9" s="1"/>
  <c r="AN162" i="9"/>
  <c r="AN178" i="9" s="1"/>
  <c r="AN194" i="9" s="1"/>
  <c r="AO146" i="9"/>
  <c r="AN165" i="9"/>
  <c r="AN181" i="9" s="1"/>
  <c r="AN197" i="9" s="1"/>
  <c r="AO149" i="9"/>
  <c r="AN75" i="8"/>
  <c r="AN57" i="10" s="1"/>
  <c r="AN27" i="11"/>
  <c r="AN28" i="11" s="1"/>
  <c r="AN30" i="11" s="1"/>
  <c r="AN16" i="17" s="1"/>
  <c r="AD25" i="17"/>
  <c r="AD177" i="9"/>
  <c r="AO73" i="8"/>
  <c r="AO74" i="8" s="1"/>
  <c r="AS84" i="17"/>
  <c r="AS86" i="17" s="1"/>
  <c r="AS74" i="10"/>
  <c r="AO13" i="11"/>
  <c r="AO13" i="17" s="1"/>
  <c r="AS77" i="10"/>
  <c r="AS82" i="10"/>
  <c r="AS85" i="10" s="1"/>
  <c r="AX63" i="10"/>
  <c r="AX66" i="10"/>
  <c r="AX105" i="10"/>
  <c r="AX64" i="10"/>
  <c r="AX17" i="11"/>
  <c r="AX26" i="11"/>
  <c r="AX62" i="10"/>
  <c r="AX65" i="10"/>
  <c r="AX107" i="10" s="1"/>
  <c r="AX106" i="10"/>
  <c r="AX20" i="11"/>
  <c r="AX23" i="11" s="1"/>
  <c r="AX54" i="10"/>
  <c r="AX56" i="10" s="1"/>
  <c r="AC88" i="17"/>
  <c r="AC37" i="17"/>
  <c r="AC43" i="17" s="1"/>
  <c r="AC45" i="17" s="1"/>
  <c r="AT84" i="17"/>
  <c r="AT86" i="17" s="1"/>
  <c r="AT74" i="10"/>
  <c r="P65" i="17"/>
  <c r="AN12" i="17"/>
  <c r="AN11" i="17"/>
  <c r="AN15" i="17"/>
  <c r="AU73" i="10"/>
  <c r="AU74" i="10" s="1"/>
  <c r="P95" i="17"/>
  <c r="P94" i="17"/>
  <c r="AT82" i="10"/>
  <c r="AT85" i="10" s="1"/>
  <c r="AT77" i="10"/>
  <c r="AU52" i="17"/>
  <c r="AU128" i="10"/>
  <c r="AU51" i="17"/>
  <c r="AU127" i="10"/>
  <c r="AV123" i="10"/>
  <c r="AV41" i="17"/>
  <c r="AV126" i="10"/>
  <c r="AV50" i="17"/>
  <c r="AL96" i="10"/>
  <c r="AL101" i="10" s="1"/>
  <c r="AL36" i="17"/>
  <c r="AL42" i="17" s="1"/>
  <c r="AN98" i="10"/>
  <c r="AN31" i="17"/>
  <c r="AN99" i="10"/>
  <c r="AN38" i="17"/>
  <c r="AN44" i="17" s="1"/>
  <c r="AW83" i="10"/>
  <c r="AW118" i="10"/>
  <c r="AV122" i="10"/>
  <c r="AV119" i="10"/>
  <c r="AV124" i="10" s="1"/>
  <c r="AY49" i="10"/>
  <c r="AW116" i="10"/>
  <c r="AW80" i="10"/>
  <c r="AW67" i="10"/>
  <c r="AW68" i="10" s="1"/>
  <c r="AV72" i="10"/>
  <c r="AW117" i="10"/>
  <c r="AW40" i="17" s="1"/>
  <c r="AW71" i="10"/>
  <c r="AO93" i="10"/>
  <c r="AZ48" i="10"/>
  <c r="AZ47" i="10"/>
  <c r="AZ46" i="10"/>
  <c r="AZ45" i="10"/>
  <c r="AZ44" i="10"/>
  <c r="AZ43" i="10"/>
  <c r="AZ42" i="10"/>
  <c r="AZ41" i="10"/>
  <c r="AZ40" i="10"/>
  <c r="AZ39" i="10"/>
  <c r="AZ38" i="10"/>
  <c r="AZ37" i="10"/>
  <c r="AZ36" i="10"/>
  <c r="AZ35" i="10"/>
  <c r="AZ34" i="10"/>
  <c r="AZ33" i="10"/>
  <c r="AZ17" i="7"/>
  <c r="AZ27" i="6" s="1"/>
  <c r="AZ28" i="12"/>
  <c r="AZ8" i="13"/>
  <c r="BA16" i="7"/>
  <c r="BA34" i="7" s="1"/>
  <c r="BA29" i="10" s="1"/>
  <c r="BA30" i="10" s="1"/>
  <c r="AY93" i="6"/>
  <c r="AX80" i="6"/>
  <c r="AK69" i="11"/>
  <c r="AK70" i="11" s="1"/>
  <c r="AK89" i="11" s="1"/>
  <c r="AK15" i="6" s="1"/>
  <c r="AK79" i="11"/>
  <c r="AK108" i="10"/>
  <c r="AK51" i="12"/>
  <c r="AK41" i="6" s="1"/>
  <c r="AK9" i="6"/>
  <c r="AK45" i="12"/>
  <c r="AK39" i="6" s="1"/>
  <c r="AJ157" i="6"/>
  <c r="AJ126" i="6"/>
  <c r="AJ8" i="6"/>
  <c r="AJ176" i="6"/>
  <c r="AJ165" i="6"/>
  <c r="AJ122" i="6"/>
  <c r="AO40" i="14"/>
  <c r="AD195" i="9"/>
  <c r="AE163" i="9"/>
  <c r="AN62" i="8"/>
  <c r="AN89" i="10" s="1"/>
  <c r="AO64" i="14"/>
  <c r="AO77" i="11" s="1"/>
  <c r="AO47" i="14"/>
  <c r="AO64" i="8" s="1"/>
  <c r="AO91" i="10" s="1"/>
  <c r="AO49" i="14"/>
  <c r="AO48" i="14"/>
  <c r="AO46" i="14"/>
  <c r="AO63" i="8" s="1"/>
  <c r="AO90" i="10" s="1"/>
  <c r="AO97" i="10" s="1"/>
  <c r="AP63" i="14"/>
  <c r="AP62" i="14"/>
  <c r="AP61" i="14"/>
  <c r="AP60" i="14"/>
  <c r="AP59" i="14"/>
  <c r="AP58" i="14"/>
  <c r="AP57" i="14"/>
  <c r="AP56" i="14"/>
  <c r="AP55" i="14"/>
  <c r="AP54" i="14"/>
  <c r="AP53" i="14"/>
  <c r="AP52" i="14"/>
  <c r="AO5" i="13"/>
  <c r="AO5" i="14"/>
  <c r="AP36" i="14"/>
  <c r="AP35" i="14"/>
  <c r="AP34" i="14"/>
  <c r="AP33" i="14"/>
  <c r="AP32" i="14"/>
  <c r="AP31" i="14"/>
  <c r="AP30" i="14"/>
  <c r="AP29" i="14"/>
  <c r="AP39" i="14" s="1"/>
  <c r="AP28" i="14"/>
  <c r="AP27" i="14"/>
  <c r="AP26" i="14"/>
  <c r="AP25" i="14"/>
  <c r="O71" i="6"/>
  <c r="O103" i="6"/>
  <c r="AO5" i="12"/>
  <c r="AO5" i="6"/>
  <c r="AO60" i="8"/>
  <c r="P93" i="11"/>
  <c r="P94" i="11" s="1"/>
  <c r="P97" i="11"/>
  <c r="Q59" i="10"/>
  <c r="Q8" i="11" s="1"/>
  <c r="Q9" i="17" s="1"/>
  <c r="Q55" i="10"/>
  <c r="AP59" i="8"/>
  <c r="AQ22" i="7"/>
  <c r="AL145" i="9"/>
  <c r="AN160" i="9"/>
  <c r="AN176" i="9" s="1"/>
  <c r="AN192" i="9" s="1"/>
  <c r="AO144" i="9"/>
  <c r="AJ187" i="9"/>
  <c r="AK171" i="9"/>
  <c r="AL155" i="9" s="1"/>
  <c r="AM139" i="9"/>
  <c r="AO68" i="11"/>
  <c r="AO10" i="11"/>
  <c r="AO22" i="17" s="1"/>
  <c r="AO9" i="11"/>
  <c r="AO10" i="17" s="1"/>
  <c r="AO11" i="11"/>
  <c r="AO12" i="11"/>
  <c r="AO65" i="8"/>
  <c r="AO92" i="10" s="1"/>
  <c r="AO34" i="11"/>
  <c r="AO35" i="11"/>
  <c r="AO36" i="11"/>
  <c r="AO37" i="11"/>
  <c r="AO38" i="11"/>
  <c r="AO39" i="11"/>
  <c r="AO23" i="17" s="1"/>
  <c r="AO40" i="11"/>
  <c r="AO41" i="11"/>
  <c r="AO42" i="11"/>
  <c r="AO43" i="11"/>
  <c r="AO44" i="11"/>
  <c r="AO45" i="11"/>
  <c r="AO46" i="11"/>
  <c r="AO47" i="11"/>
  <c r="AO48" i="11"/>
  <c r="AO49" i="11"/>
  <c r="AO29" i="11"/>
  <c r="AO58" i="11"/>
  <c r="AO73" i="11"/>
  <c r="AO74" i="11"/>
  <c r="AO76" i="11"/>
  <c r="AO75" i="11"/>
  <c r="AO18" i="11"/>
  <c r="AO19" i="11" s="1"/>
  <c r="AO24" i="17" s="1"/>
  <c r="AO21" i="11"/>
  <c r="AO22" i="11" s="1"/>
  <c r="AO24" i="11"/>
  <c r="AO25" i="11" s="1"/>
  <c r="AO62" i="11"/>
  <c r="AN51" i="11"/>
  <c r="AM65" i="11"/>
  <c r="AM17" i="17" s="1"/>
  <c r="AN50" i="11"/>
  <c r="AM52" i="11"/>
  <c r="AO5" i="11"/>
  <c r="AO5" i="10"/>
  <c r="AO5" i="9"/>
  <c r="AO55" i="8"/>
  <c r="AP58" i="8"/>
  <c r="AP57" i="8"/>
  <c r="AQ147" i="9"/>
  <c r="AQ143" i="9"/>
  <c r="AQ142" i="9"/>
  <c r="AP13" i="7"/>
  <c r="AP27" i="10" s="1"/>
  <c r="AQ11" i="7"/>
  <c r="AP12" i="7"/>
  <c r="AP5" i="17" s="1"/>
  <c r="N24" i="6" l="1"/>
  <c r="N129" i="6"/>
  <c r="O87" i="11"/>
  <c r="O11" i="6" s="1"/>
  <c r="O12" i="6"/>
  <c r="AJ121" i="6"/>
  <c r="R196" i="9"/>
  <c r="S148" i="9"/>
  <c r="AP80" i="11"/>
  <c r="AP66" i="8"/>
  <c r="AO64" i="11"/>
  <c r="AO63" i="11"/>
  <c r="AO190" i="9"/>
  <c r="AP158" i="9"/>
  <c r="AP174" i="9" s="1"/>
  <c r="AI140" i="9"/>
  <c r="AH156" i="9"/>
  <c r="AH172" i="9" s="1"/>
  <c r="AH188" i="9" s="1"/>
  <c r="AD141" i="9"/>
  <c r="AC55" i="11"/>
  <c r="AC157" i="9"/>
  <c r="AC173" i="9" s="1"/>
  <c r="AC189" i="9" s="1"/>
  <c r="AB56" i="11"/>
  <c r="AB57" i="11"/>
  <c r="AA14" i="17"/>
  <c r="AA59" i="11"/>
  <c r="AA50" i="12" s="1"/>
  <c r="Z180" i="9"/>
  <c r="AA164" i="9" s="1"/>
  <c r="AA91" i="11" s="1"/>
  <c r="AA17" i="6" s="1"/>
  <c r="AA128" i="6" s="1"/>
  <c r="AO191" i="9"/>
  <c r="AP159" i="9"/>
  <c r="AP175" i="9" s="1"/>
  <c r="AO162" i="9"/>
  <c r="AO178" i="9" s="1"/>
  <c r="AO194" i="9" s="1"/>
  <c r="AP146" i="9"/>
  <c r="AO27" i="11"/>
  <c r="AO28" i="11" s="1"/>
  <c r="AO30" i="11" s="1"/>
  <c r="AO16" i="17" s="1"/>
  <c r="AO75" i="8"/>
  <c r="AO57" i="10" s="1"/>
  <c r="AO165" i="9"/>
  <c r="AO181" i="9" s="1"/>
  <c r="AO197" i="9" s="1"/>
  <c r="AP149" i="9"/>
  <c r="AS98" i="11"/>
  <c r="AS105" i="11"/>
  <c r="AS103" i="11"/>
  <c r="AS106" i="11"/>
  <c r="AS104" i="11"/>
  <c r="AS102" i="11"/>
  <c r="AD26" i="17"/>
  <c r="AD32" i="17"/>
  <c r="AD87" i="17" s="1"/>
  <c r="AD89" i="17" s="1"/>
  <c r="AE161" i="9"/>
  <c r="AD193" i="9"/>
  <c r="AP73" i="8"/>
  <c r="AP74" i="8" s="1"/>
  <c r="AP13" i="11"/>
  <c r="AP13" i="17" s="1"/>
  <c r="AX71" i="10"/>
  <c r="AX117" i="10"/>
  <c r="AX83" i="10"/>
  <c r="AX118" i="10"/>
  <c r="AX116" i="10"/>
  <c r="AX80" i="10"/>
  <c r="AX67" i="10"/>
  <c r="AX68" i="10" s="1"/>
  <c r="AC48" i="17"/>
  <c r="AC47" i="17"/>
  <c r="AC46" i="17"/>
  <c r="P66" i="17"/>
  <c r="P99" i="17"/>
  <c r="P96" i="17"/>
  <c r="AU84" i="17"/>
  <c r="AU77" i="10"/>
  <c r="AU82" i="10"/>
  <c r="AU85" i="10" s="1"/>
  <c r="AO12" i="17"/>
  <c r="AO11" i="17"/>
  <c r="AO15" i="17"/>
  <c r="AT104" i="11"/>
  <c r="AT105" i="11"/>
  <c r="AT102" i="11"/>
  <c r="AT103" i="11"/>
  <c r="AT106" i="11"/>
  <c r="AT98" i="11"/>
  <c r="AV52" i="17"/>
  <c r="AV128" i="10"/>
  <c r="AW123" i="10"/>
  <c r="AW41" i="17"/>
  <c r="AV127" i="10"/>
  <c r="AV51" i="17"/>
  <c r="AW121" i="10"/>
  <c r="AW39" i="17"/>
  <c r="AM96" i="10"/>
  <c r="AM101" i="10" s="1"/>
  <c r="AM36" i="17"/>
  <c r="AM42" i="17" s="1"/>
  <c r="AO98" i="10"/>
  <c r="Q19" i="17"/>
  <c r="Q29" i="17"/>
  <c r="AO31" i="17"/>
  <c r="AO99" i="10"/>
  <c r="AO38" i="17"/>
  <c r="AO44" i="17" s="1"/>
  <c r="AY106" i="10"/>
  <c r="AY62" i="10"/>
  <c r="AY66" i="10"/>
  <c r="AY20" i="11"/>
  <c r="AY23" i="11" s="1"/>
  <c r="AY54" i="10"/>
  <c r="AY56" i="10" s="1"/>
  <c r="AY63" i="10"/>
  <c r="AY64" i="10"/>
  <c r="AY65" i="10"/>
  <c r="AY107" i="10" s="1"/>
  <c r="AY26" i="11"/>
  <c r="AY105" i="10"/>
  <c r="AY17" i="11"/>
  <c r="AV73" i="10"/>
  <c r="AV75" i="10"/>
  <c r="AV81" i="10" s="1"/>
  <c r="AZ49" i="10"/>
  <c r="AW72" i="10"/>
  <c r="AW75" i="10" s="1"/>
  <c r="AW81" i="10" s="1"/>
  <c r="AW119" i="10"/>
  <c r="AW124" i="10" s="1"/>
  <c r="AW122" i="10"/>
  <c r="AP93" i="10"/>
  <c r="BA48" i="10"/>
  <c r="BA47" i="10"/>
  <c r="BA46" i="10"/>
  <c r="BA45" i="10"/>
  <c r="BA44" i="10"/>
  <c r="BA43" i="10"/>
  <c r="BA42" i="10"/>
  <c r="BA41" i="10"/>
  <c r="BA40" i="10"/>
  <c r="BA39" i="10"/>
  <c r="BA38" i="10"/>
  <c r="BA37" i="10"/>
  <c r="BA36" i="10"/>
  <c r="BA35" i="10"/>
  <c r="BA34" i="10"/>
  <c r="BA33" i="10"/>
  <c r="AZ93" i="6"/>
  <c r="AZ10" i="13"/>
  <c r="AZ32" i="13"/>
  <c r="AZ20" i="13"/>
  <c r="AZ27" i="13" s="1"/>
  <c r="BA28" i="12"/>
  <c r="BA8" i="13"/>
  <c r="BA17" i="7"/>
  <c r="BA27" i="6" s="1"/>
  <c r="BB16" i="7"/>
  <c r="BB34" i="7" s="1"/>
  <c r="BB29" i="10" s="1"/>
  <c r="BB30" i="10" s="1"/>
  <c r="AK157" i="6"/>
  <c r="AK126" i="6"/>
  <c r="AK8" i="6"/>
  <c r="AK122" i="6"/>
  <c r="AK176" i="6"/>
  <c r="AK165" i="6"/>
  <c r="AK143" i="6"/>
  <c r="AP40" i="14"/>
  <c r="AL45" i="12"/>
  <c r="AL39" i="6" s="1"/>
  <c r="AL9" i="6"/>
  <c r="AL51" i="12"/>
  <c r="AL41" i="6" s="1"/>
  <c r="AL69" i="11"/>
  <c r="AL70" i="11" s="1"/>
  <c r="AL89" i="11" s="1"/>
  <c r="AL15" i="6" s="1"/>
  <c r="AL79" i="11"/>
  <c r="AL108" i="10"/>
  <c r="AE179" i="9"/>
  <c r="AP64" i="14"/>
  <c r="AP77" i="11" s="1"/>
  <c r="AO62" i="8"/>
  <c r="AO89" i="10" s="1"/>
  <c r="AP49" i="14"/>
  <c r="AP46" i="14"/>
  <c r="AP63" i="8" s="1"/>
  <c r="AP90" i="10" s="1"/>
  <c r="AP97" i="10" s="1"/>
  <c r="AP48" i="14"/>
  <c r="AP47" i="14"/>
  <c r="AP64" i="8" s="1"/>
  <c r="AP91" i="10" s="1"/>
  <c r="AQ63" i="14"/>
  <c r="AQ62" i="14"/>
  <c r="AQ61" i="14"/>
  <c r="AQ60" i="14"/>
  <c r="AQ59" i="14"/>
  <c r="AQ58" i="14"/>
  <c r="AQ57" i="14"/>
  <c r="AQ56" i="14"/>
  <c r="AQ55" i="14"/>
  <c r="AQ54" i="14"/>
  <c r="AQ53" i="14"/>
  <c r="AQ52" i="14"/>
  <c r="AQ36" i="14"/>
  <c r="AQ35" i="14"/>
  <c r="AQ34" i="14"/>
  <c r="AQ33" i="14"/>
  <c r="AQ32" i="14"/>
  <c r="AQ31" i="14"/>
  <c r="AQ30" i="14"/>
  <c r="AQ29" i="14"/>
  <c r="AQ39" i="14" s="1"/>
  <c r="AQ28" i="14"/>
  <c r="AQ27" i="14"/>
  <c r="AQ26" i="14"/>
  <c r="AQ25" i="14"/>
  <c r="AP5" i="13"/>
  <c r="AP5" i="14"/>
  <c r="AN52" i="11"/>
  <c r="AP5" i="12"/>
  <c r="AP5" i="6"/>
  <c r="P52" i="12"/>
  <c r="P50" i="6" s="1"/>
  <c r="P47" i="12"/>
  <c r="P111" i="11"/>
  <c r="P125" i="11" s="1"/>
  <c r="P112" i="11"/>
  <c r="P126" i="11" s="1"/>
  <c r="P113" i="11"/>
  <c r="P127" i="11" s="1"/>
  <c r="P110" i="11"/>
  <c r="P124" i="11" s="1"/>
  <c r="P109" i="11"/>
  <c r="P123" i="11" s="1"/>
  <c r="Q14" i="11"/>
  <c r="Q84" i="11" s="1"/>
  <c r="Q46" i="12"/>
  <c r="R52" i="10"/>
  <c r="Q48" i="12"/>
  <c r="AP60" i="8"/>
  <c r="AQ59" i="8"/>
  <c r="AR22" i="7"/>
  <c r="AM145" i="9"/>
  <c r="AO160" i="9"/>
  <c r="AO176" i="9" s="1"/>
  <c r="AO192" i="9" s="1"/>
  <c r="AP144" i="9"/>
  <c r="AK187" i="9"/>
  <c r="AL171" i="9"/>
  <c r="AM155" i="9" s="1"/>
  <c r="AN139" i="9"/>
  <c r="AP68" i="11"/>
  <c r="AP10" i="11"/>
  <c r="AP22" i="17" s="1"/>
  <c r="AP9" i="11"/>
  <c r="AP10" i="17" s="1"/>
  <c r="AP11" i="11"/>
  <c r="AP12" i="11"/>
  <c r="AP65" i="8"/>
  <c r="AP92" i="10" s="1"/>
  <c r="AP34" i="11"/>
  <c r="AP35" i="11"/>
  <c r="AP36" i="11"/>
  <c r="AP37" i="11"/>
  <c r="AP38" i="11"/>
  <c r="AP39" i="11"/>
  <c r="AP23" i="17" s="1"/>
  <c r="AP40" i="11"/>
  <c r="AP41" i="11"/>
  <c r="AP42" i="11"/>
  <c r="AP43" i="11"/>
  <c r="AP44" i="11"/>
  <c r="AP45" i="11"/>
  <c r="AP46" i="11"/>
  <c r="AP47" i="11"/>
  <c r="AP48" i="11"/>
  <c r="AP49" i="11"/>
  <c r="AP29" i="11"/>
  <c r="AP58" i="11"/>
  <c r="AP75" i="11"/>
  <c r="AP74" i="11"/>
  <c r="AP76" i="11"/>
  <c r="AP73" i="11"/>
  <c r="AP18" i="11"/>
  <c r="AP19" i="11" s="1"/>
  <c r="AP24" i="17" s="1"/>
  <c r="AP21" i="11"/>
  <c r="AP22" i="11" s="1"/>
  <c r="AP24" i="11"/>
  <c r="AP25" i="11" s="1"/>
  <c r="AP62" i="11"/>
  <c r="AN65" i="11"/>
  <c r="AN17" i="17" s="1"/>
  <c r="AO50" i="11"/>
  <c r="AO51" i="11"/>
  <c r="AQ58" i="8"/>
  <c r="AQ57" i="8"/>
  <c r="AP5" i="11"/>
  <c r="AP5" i="10"/>
  <c r="AP5" i="9"/>
  <c r="AP55" i="8"/>
  <c r="AR147" i="9"/>
  <c r="AR143" i="9"/>
  <c r="AR142" i="9"/>
  <c r="AQ12" i="7"/>
  <c r="AQ5" i="17" s="1"/>
  <c r="AR11" i="7"/>
  <c r="AQ13" i="7"/>
  <c r="AQ27" i="10" s="1"/>
  <c r="N180" i="6" l="1"/>
  <c r="N135" i="6"/>
  <c r="N179" i="6"/>
  <c r="N35" i="12"/>
  <c r="O156" i="6"/>
  <c r="O168" i="6"/>
  <c r="O123" i="6"/>
  <c r="O13" i="6"/>
  <c r="AK121" i="6"/>
  <c r="S196" i="9"/>
  <c r="T148" i="9"/>
  <c r="AQ80" i="11"/>
  <c r="AQ66" i="8"/>
  <c r="AP63" i="11"/>
  <c r="AP64" i="11"/>
  <c r="AP190" i="9"/>
  <c r="AQ158" i="9"/>
  <c r="AQ174" i="9" s="1"/>
  <c r="AJ140" i="9"/>
  <c r="AI156" i="9"/>
  <c r="AI172" i="9" s="1"/>
  <c r="AI188" i="9" s="1"/>
  <c r="AE141" i="9"/>
  <c r="AD55" i="11"/>
  <c r="AD157" i="9"/>
  <c r="AD173" i="9" s="1"/>
  <c r="AD189" i="9" s="1"/>
  <c r="AC56" i="11"/>
  <c r="AC57" i="11"/>
  <c r="AB14" i="17"/>
  <c r="AB59" i="11"/>
  <c r="AB50" i="12" s="1"/>
  <c r="AA180" i="9"/>
  <c r="AX119" i="10"/>
  <c r="AX124" i="10" s="1"/>
  <c r="AP191" i="9"/>
  <c r="AQ159" i="9"/>
  <c r="AQ175" i="9" s="1"/>
  <c r="AP162" i="9"/>
  <c r="AP178" i="9" s="1"/>
  <c r="AP194" i="9" s="1"/>
  <c r="AQ146" i="9"/>
  <c r="AD88" i="17"/>
  <c r="AD37" i="17"/>
  <c r="AD43" i="17" s="1"/>
  <c r="AD45" i="17" s="1"/>
  <c r="AE25" i="17"/>
  <c r="AE177" i="9"/>
  <c r="AC49" i="17"/>
  <c r="AP165" i="9"/>
  <c r="AP181" i="9" s="1"/>
  <c r="AP197" i="9" s="1"/>
  <c r="AQ149" i="9"/>
  <c r="AP27" i="11"/>
  <c r="AP28" i="11" s="1"/>
  <c r="AP30" i="11" s="1"/>
  <c r="AP16" i="17" s="1"/>
  <c r="AP75" i="8"/>
  <c r="AP57" i="10" s="1"/>
  <c r="AQ73" i="8"/>
  <c r="AQ74" i="8" s="1"/>
  <c r="AQ13" i="11"/>
  <c r="AQ13" i="17" s="1"/>
  <c r="AX122" i="10"/>
  <c r="AX40" i="17"/>
  <c r="AX123" i="10"/>
  <c r="AX41" i="17"/>
  <c r="AX72" i="10"/>
  <c r="AX121" i="10"/>
  <c r="AX39" i="17"/>
  <c r="P67" i="17"/>
  <c r="P97" i="17"/>
  <c r="AV84" i="17"/>
  <c r="AV86" i="17" s="1"/>
  <c r="AV74" i="10"/>
  <c r="AP11" i="17"/>
  <c r="AU86" i="17"/>
  <c r="AU105" i="11"/>
  <c r="AU103" i="11"/>
  <c r="AU102" i="11"/>
  <c r="AU106" i="11"/>
  <c r="AU104" i="11"/>
  <c r="AU98" i="11"/>
  <c r="AP12" i="17"/>
  <c r="AP15" i="17"/>
  <c r="Q33" i="17"/>
  <c r="Q57" i="17"/>
  <c r="Q64" i="17" s="1"/>
  <c r="Q56" i="17"/>
  <c r="Q63" i="17" s="1"/>
  <c r="Q55" i="17"/>
  <c r="Q62" i="17" s="1"/>
  <c r="AW52" i="17"/>
  <c r="AW128" i="10"/>
  <c r="AW50" i="17"/>
  <c r="AW126" i="10"/>
  <c r="AW127" i="10"/>
  <c r="AW51" i="17"/>
  <c r="AN96" i="10"/>
  <c r="AN101" i="10" s="1"/>
  <c r="AN36" i="17"/>
  <c r="AN42" i="17" s="1"/>
  <c r="AP98" i="10"/>
  <c r="AP31" i="17"/>
  <c r="AP99" i="10"/>
  <c r="AP38" i="17"/>
  <c r="AP44" i="17" s="1"/>
  <c r="AV82" i="10"/>
  <c r="AV85" i="10" s="1"/>
  <c r="AV77" i="10"/>
  <c r="AY116" i="10"/>
  <c r="AY80" i="10"/>
  <c r="AY67" i="10"/>
  <c r="AY68" i="10" s="1"/>
  <c r="AY71" i="10"/>
  <c r="AY117" i="10"/>
  <c r="AY83" i="10"/>
  <c r="AY118" i="10"/>
  <c r="AW73" i="10"/>
  <c r="AZ106" i="10"/>
  <c r="AZ105" i="10"/>
  <c r="AZ62" i="10"/>
  <c r="AZ65" i="10"/>
  <c r="AZ107" i="10" s="1"/>
  <c r="AZ63" i="10"/>
  <c r="AZ66" i="10"/>
  <c r="AZ17" i="11"/>
  <c r="AZ20" i="11"/>
  <c r="AZ23" i="11" s="1"/>
  <c r="AZ26" i="11"/>
  <c r="AZ54" i="10"/>
  <c r="AZ56" i="10" s="1"/>
  <c r="AZ64" i="10"/>
  <c r="AQ93" i="10"/>
  <c r="BA49" i="10"/>
  <c r="BB48" i="10"/>
  <c r="BB47" i="10"/>
  <c r="BB46" i="10"/>
  <c r="BB45" i="10"/>
  <c r="BB44" i="10"/>
  <c r="BB43" i="10"/>
  <c r="BB42" i="10"/>
  <c r="BB41" i="10"/>
  <c r="BB40" i="10"/>
  <c r="BB39" i="10"/>
  <c r="BB38" i="10"/>
  <c r="BB37" i="10"/>
  <c r="BB36" i="10"/>
  <c r="BB35" i="10"/>
  <c r="BB34" i="10"/>
  <c r="BB33" i="10"/>
  <c r="AZ80" i="6"/>
  <c r="BA10" i="13"/>
  <c r="BA32" i="13"/>
  <c r="BA20" i="13"/>
  <c r="BA27" i="13" s="1"/>
  <c r="BA93" i="6"/>
  <c r="BB28" i="12"/>
  <c r="BB8" i="13"/>
  <c r="BB17" i="7"/>
  <c r="BB27" i="6" s="1"/>
  <c r="BC16" i="7"/>
  <c r="BC34" i="7" s="1"/>
  <c r="BC29" i="10" s="1"/>
  <c r="BC30" i="10" s="1"/>
  <c r="AL143" i="6"/>
  <c r="AM9" i="6"/>
  <c r="AM45" i="12"/>
  <c r="AM39" i="6" s="1"/>
  <c r="AM51" i="12"/>
  <c r="AM41" i="6" s="1"/>
  <c r="AM108" i="10"/>
  <c r="AL8" i="6"/>
  <c r="AL122" i="6"/>
  <c r="AL176" i="6"/>
  <c r="AL165" i="6"/>
  <c r="AL157" i="6"/>
  <c r="AL126" i="6"/>
  <c r="AM69" i="11"/>
  <c r="AM70" i="11" s="1"/>
  <c r="AM89" i="11" s="1"/>
  <c r="AM15" i="6" s="1"/>
  <c r="AM79" i="11"/>
  <c r="AQ64" i="14"/>
  <c r="AQ77" i="11" s="1"/>
  <c r="AQ40" i="14"/>
  <c r="AF163" i="9"/>
  <c r="AE195" i="9"/>
  <c r="AP62" i="8"/>
  <c r="AP89" i="10" s="1"/>
  <c r="AQ47" i="14"/>
  <c r="AQ64" i="8" s="1"/>
  <c r="AQ91" i="10" s="1"/>
  <c r="AQ48" i="14"/>
  <c r="AQ46" i="14"/>
  <c r="AQ63" i="8" s="1"/>
  <c r="AQ90" i="10" s="1"/>
  <c r="AQ97" i="10" s="1"/>
  <c r="AQ49" i="14"/>
  <c r="AR63" i="14"/>
  <c r="AR62" i="14"/>
  <c r="AR61" i="14"/>
  <c r="AR60" i="14"/>
  <c r="AR59" i="14"/>
  <c r="AR58" i="14"/>
  <c r="AR57" i="14"/>
  <c r="AR56" i="14"/>
  <c r="AR55" i="14"/>
  <c r="AR54" i="14"/>
  <c r="AR53" i="14"/>
  <c r="AR52" i="14"/>
  <c r="AQ5" i="13"/>
  <c r="AQ5" i="14"/>
  <c r="AR36" i="14"/>
  <c r="AR35" i="14"/>
  <c r="AR34" i="14"/>
  <c r="AR33" i="14"/>
  <c r="AR32" i="14"/>
  <c r="AR31" i="14"/>
  <c r="AR30" i="14"/>
  <c r="AR29" i="14"/>
  <c r="AR39" i="14" s="1"/>
  <c r="AR28" i="14"/>
  <c r="AR27" i="14"/>
  <c r="AR26" i="14"/>
  <c r="AR25" i="14"/>
  <c r="P53" i="12"/>
  <c r="P54" i="12" s="1"/>
  <c r="P37" i="12" s="1"/>
  <c r="P49" i="6"/>
  <c r="AQ5" i="12"/>
  <c r="AQ5" i="6"/>
  <c r="Q86" i="11"/>
  <c r="Q49" i="12"/>
  <c r="Q40" i="6" s="1"/>
  <c r="R53" i="10"/>
  <c r="AO65" i="11"/>
  <c r="AO17" i="17" s="1"/>
  <c r="AQ60" i="8"/>
  <c r="AR59" i="8"/>
  <c r="AS22" i="7"/>
  <c r="AN145" i="9"/>
  <c r="AP160" i="9"/>
  <c r="AP176" i="9" s="1"/>
  <c r="AP192" i="9" s="1"/>
  <c r="AQ144" i="9"/>
  <c r="AL187" i="9"/>
  <c r="AM171" i="9"/>
  <c r="AN155" i="9" s="1"/>
  <c r="AO139" i="9"/>
  <c r="AQ10" i="11"/>
  <c r="AQ22" i="17" s="1"/>
  <c r="AQ68" i="11"/>
  <c r="AQ9" i="11"/>
  <c r="AQ10" i="17" s="1"/>
  <c r="AQ11" i="11"/>
  <c r="AQ12" i="11"/>
  <c r="AQ65" i="8"/>
  <c r="AQ92" i="10" s="1"/>
  <c r="AQ34" i="11"/>
  <c r="AQ35" i="11"/>
  <c r="AQ36" i="11"/>
  <c r="AQ37" i="11"/>
  <c r="AQ38" i="11"/>
  <c r="AQ39" i="11"/>
  <c r="AQ23" i="17" s="1"/>
  <c r="AQ40" i="11"/>
  <c r="AQ41" i="11"/>
  <c r="AQ42" i="11"/>
  <c r="AQ43" i="11"/>
  <c r="AQ44" i="11"/>
  <c r="AQ45" i="11"/>
  <c r="AQ46" i="11"/>
  <c r="AQ47" i="11"/>
  <c r="AQ48" i="11"/>
  <c r="AQ49" i="11"/>
  <c r="AQ29" i="11"/>
  <c r="AQ74" i="11"/>
  <c r="AQ76" i="11"/>
  <c r="AQ75" i="11"/>
  <c r="AQ73" i="11"/>
  <c r="AQ58" i="11"/>
  <c r="AQ18" i="11"/>
  <c r="AQ19" i="11" s="1"/>
  <c r="AQ24" i="17" s="1"/>
  <c r="AQ21" i="11"/>
  <c r="AQ22" i="11" s="1"/>
  <c r="AQ24" i="11"/>
  <c r="AQ25" i="11" s="1"/>
  <c r="AQ62" i="11"/>
  <c r="AP50" i="11"/>
  <c r="AP51" i="11"/>
  <c r="AO52" i="11"/>
  <c r="AQ5" i="11"/>
  <c r="AQ5" i="10"/>
  <c r="AQ5" i="9"/>
  <c r="AQ55" i="8"/>
  <c r="AR58" i="8"/>
  <c r="AR57" i="8"/>
  <c r="AS147" i="9"/>
  <c r="AS143" i="9"/>
  <c r="AS142" i="9"/>
  <c r="AR12" i="7"/>
  <c r="AR5" i="17" s="1"/>
  <c r="AR13" i="7"/>
  <c r="AR27" i="10" s="1"/>
  <c r="AS11" i="7"/>
  <c r="P169" i="6" l="1"/>
  <c r="O18" i="6"/>
  <c r="O178" i="6"/>
  <c r="O177" i="6"/>
  <c r="O155" i="6"/>
  <c r="O124" i="6"/>
  <c r="AL121" i="6"/>
  <c r="P98" i="17"/>
  <c r="P88" i="11"/>
  <c r="T196" i="9"/>
  <c r="U148" i="9"/>
  <c r="AR80" i="11"/>
  <c r="AR66" i="8"/>
  <c r="AQ63" i="11"/>
  <c r="AQ64" i="11"/>
  <c r="AQ190" i="9"/>
  <c r="AR158" i="9"/>
  <c r="AR174" i="9" s="1"/>
  <c r="AK140" i="9"/>
  <c r="AJ156" i="9"/>
  <c r="AJ172" i="9" s="1"/>
  <c r="AJ188" i="9" s="1"/>
  <c r="AD48" i="17"/>
  <c r="AD46" i="17"/>
  <c r="AD47" i="17"/>
  <c r="AE26" i="17"/>
  <c r="AE32" i="17"/>
  <c r="AE87" i="17" s="1"/>
  <c r="AE89" i="17" s="1"/>
  <c r="AF141" i="9"/>
  <c r="AE55" i="11"/>
  <c r="AE157" i="9"/>
  <c r="AE173" i="9" s="1"/>
  <c r="AE189" i="9" s="1"/>
  <c r="AD57" i="11"/>
  <c r="AD56" i="11"/>
  <c r="AC14" i="17"/>
  <c r="AC59" i="11"/>
  <c r="AC50" i="12" s="1"/>
  <c r="AQ191" i="9"/>
  <c r="AR159" i="9"/>
  <c r="AR175" i="9" s="1"/>
  <c r="AF161" i="9"/>
  <c r="AE193" i="9"/>
  <c r="AQ162" i="9"/>
  <c r="AQ178" i="9" s="1"/>
  <c r="AQ194" i="9" s="1"/>
  <c r="AR146" i="9"/>
  <c r="AQ75" i="8"/>
  <c r="AQ57" i="10" s="1"/>
  <c r="AQ27" i="11"/>
  <c r="AQ28" i="11" s="1"/>
  <c r="AQ30" i="11" s="1"/>
  <c r="AQ16" i="17" s="1"/>
  <c r="AQ165" i="9"/>
  <c r="AQ181" i="9" s="1"/>
  <c r="AQ197" i="9" s="1"/>
  <c r="AR149" i="9"/>
  <c r="AR73" i="8"/>
  <c r="AR74" i="8" s="1"/>
  <c r="AR13" i="11"/>
  <c r="AR13" i="17" s="1"/>
  <c r="AX51" i="17"/>
  <c r="AX127" i="10"/>
  <c r="AX52" i="17"/>
  <c r="AX128" i="10"/>
  <c r="AX73" i="10"/>
  <c r="AX75" i="10"/>
  <c r="AX81" i="10" s="1"/>
  <c r="AX50" i="17"/>
  <c r="AX126" i="10"/>
  <c r="BB49" i="10"/>
  <c r="AW84" i="17"/>
  <c r="AW86" i="17" s="1"/>
  <c r="AW74" i="10"/>
  <c r="AY119" i="10"/>
  <c r="AY124" i="10" s="1"/>
  <c r="Q65" i="17"/>
  <c r="AY40" i="17"/>
  <c r="AY122" i="10"/>
  <c r="AQ12" i="17"/>
  <c r="AQ11" i="17"/>
  <c r="AQ15" i="17"/>
  <c r="Q95" i="17"/>
  <c r="Q94" i="17"/>
  <c r="AY121" i="10"/>
  <c r="AY39" i="17"/>
  <c r="AY123" i="10"/>
  <c r="AY41" i="17"/>
  <c r="AZ116" i="10"/>
  <c r="AZ80" i="10"/>
  <c r="AZ71" i="10"/>
  <c r="AZ117" i="10"/>
  <c r="AZ83" i="10"/>
  <c r="AZ118" i="10"/>
  <c r="AO96" i="10"/>
  <c r="AO101" i="10" s="1"/>
  <c r="AO36" i="17"/>
  <c r="AO42" i="17" s="1"/>
  <c r="AQ98" i="10"/>
  <c r="AQ31" i="17"/>
  <c r="AQ99" i="10"/>
  <c r="AQ38" i="17"/>
  <c r="AQ44" i="17" s="1"/>
  <c r="AV106" i="11"/>
  <c r="AV103" i="11"/>
  <c r="AV105" i="11"/>
  <c r="AV102" i="11"/>
  <c r="AV104" i="11"/>
  <c r="AV98" i="11"/>
  <c r="AY72" i="10"/>
  <c r="AY75" i="10" s="1"/>
  <c r="AY81" i="10" s="1"/>
  <c r="AW82" i="10"/>
  <c r="AW85" i="10" s="1"/>
  <c r="AW77" i="10"/>
  <c r="AZ67" i="10"/>
  <c r="AZ68" i="10" s="1"/>
  <c r="BA105" i="10"/>
  <c r="BA62" i="10"/>
  <c r="BA106" i="10"/>
  <c r="BA64" i="10"/>
  <c r="BA66" i="10"/>
  <c r="BA20" i="11"/>
  <c r="BA23" i="11" s="1"/>
  <c r="BA54" i="10"/>
  <c r="BA56" i="10" s="1"/>
  <c r="BA63" i="10"/>
  <c r="BA65" i="10"/>
  <c r="BA107" i="10" s="1"/>
  <c r="BA17" i="11"/>
  <c r="BA26" i="11"/>
  <c r="AR93" i="10"/>
  <c r="BC48" i="10"/>
  <c r="BC47" i="10"/>
  <c r="BC46" i="10"/>
  <c r="BC45" i="10"/>
  <c r="BC44" i="10"/>
  <c r="BC43" i="10"/>
  <c r="BC42" i="10"/>
  <c r="BC41" i="10"/>
  <c r="BC40" i="10"/>
  <c r="BC39" i="10"/>
  <c r="BC38" i="10"/>
  <c r="BC37" i="10"/>
  <c r="BC36" i="10"/>
  <c r="BC35" i="10"/>
  <c r="BC34" i="10"/>
  <c r="BC33" i="10"/>
  <c r="BA80" i="6"/>
  <c r="BB93" i="6"/>
  <c r="BC28" i="12"/>
  <c r="BC8" i="13"/>
  <c r="BC17" i="7"/>
  <c r="BC27" i="6" s="1"/>
  <c r="BD16" i="7"/>
  <c r="BD34" i="7" s="1"/>
  <c r="BD29" i="10" s="1"/>
  <c r="BD30" i="10" s="1"/>
  <c r="AM143" i="6"/>
  <c r="AN9" i="6"/>
  <c r="AN69" i="11"/>
  <c r="AN70" i="11" s="1"/>
  <c r="AN89" i="11" s="1"/>
  <c r="AN15" i="6" s="1"/>
  <c r="AN79" i="11"/>
  <c r="AN108" i="10"/>
  <c r="AN45" i="12"/>
  <c r="AN39" i="6" s="1"/>
  <c r="AN51" i="12"/>
  <c r="AN41" i="6" s="1"/>
  <c r="AM165" i="6"/>
  <c r="AM122" i="6"/>
  <c r="AM176" i="6"/>
  <c r="AM8" i="6"/>
  <c r="AM157" i="6"/>
  <c r="AM126" i="6"/>
  <c r="AR40" i="14"/>
  <c r="AR64" i="14"/>
  <c r="AR77" i="11" s="1"/>
  <c r="AF179" i="9"/>
  <c r="AQ62" i="8"/>
  <c r="AQ89" i="10" s="1"/>
  <c r="AR46" i="14"/>
  <c r="AR63" i="8" s="1"/>
  <c r="AR90" i="10" s="1"/>
  <c r="AR97" i="10" s="1"/>
  <c r="AR48" i="14"/>
  <c r="AR49" i="14"/>
  <c r="AR47" i="14"/>
  <c r="AR64" i="8" s="1"/>
  <c r="AR91" i="10" s="1"/>
  <c r="AS63" i="14"/>
  <c r="AS62" i="14"/>
  <c r="AS61" i="14"/>
  <c r="AS60" i="14"/>
  <c r="AS59" i="14"/>
  <c r="AS58" i="14"/>
  <c r="AS57" i="14"/>
  <c r="AS56" i="14"/>
  <c r="AS55" i="14"/>
  <c r="AS54" i="14"/>
  <c r="AS53" i="14"/>
  <c r="AS52" i="14"/>
  <c r="AR5" i="13"/>
  <c r="AR5" i="14"/>
  <c r="AS36" i="14"/>
  <c r="AS35" i="14"/>
  <c r="AS34" i="14"/>
  <c r="AS33" i="14"/>
  <c r="AS32" i="14"/>
  <c r="AS31" i="14"/>
  <c r="AS30" i="14"/>
  <c r="AS29" i="14"/>
  <c r="AS39" i="14" s="1"/>
  <c r="AS28" i="14"/>
  <c r="AS27" i="14"/>
  <c r="AS26" i="14"/>
  <c r="AS25" i="14"/>
  <c r="P71" i="6"/>
  <c r="P103" i="6"/>
  <c r="AR5" i="12"/>
  <c r="AR5" i="6"/>
  <c r="Q93" i="11"/>
  <c r="Q94" i="11" s="1"/>
  <c r="Q97" i="11"/>
  <c r="R59" i="10"/>
  <c r="R8" i="11" s="1"/>
  <c r="R9" i="17" s="1"/>
  <c r="R55" i="10"/>
  <c r="AR60" i="8"/>
  <c r="AQ51" i="11"/>
  <c r="AS59" i="8"/>
  <c r="AT22" i="7"/>
  <c r="AO145" i="9"/>
  <c r="AQ160" i="9"/>
  <c r="AQ176" i="9" s="1"/>
  <c r="AQ192" i="9" s="1"/>
  <c r="AR144" i="9"/>
  <c r="AM187" i="9"/>
  <c r="AN171" i="9"/>
  <c r="AO155" i="9" s="1"/>
  <c r="AP139" i="9"/>
  <c r="AR68" i="11"/>
  <c r="AR10" i="11"/>
  <c r="AR22" i="17" s="1"/>
  <c r="AR9" i="11"/>
  <c r="AR10" i="17" s="1"/>
  <c r="AR11" i="11"/>
  <c r="AR12" i="11"/>
  <c r="AR65" i="8"/>
  <c r="AR92" i="10" s="1"/>
  <c r="AR34" i="11"/>
  <c r="AR35" i="11"/>
  <c r="AR36" i="11"/>
  <c r="AR37" i="11"/>
  <c r="AR38" i="11"/>
  <c r="AR39" i="11"/>
  <c r="AR23" i="17" s="1"/>
  <c r="AR40" i="11"/>
  <c r="AR41" i="11"/>
  <c r="AR42" i="11"/>
  <c r="AR43" i="11"/>
  <c r="AR44" i="11"/>
  <c r="AR45" i="11"/>
  <c r="AR46" i="11"/>
  <c r="AR47" i="11"/>
  <c r="AR48" i="11"/>
  <c r="AR49" i="11"/>
  <c r="AR29" i="11"/>
  <c r="AR58" i="11"/>
  <c r="AR74" i="11"/>
  <c r="AR76" i="11"/>
  <c r="AR75" i="11"/>
  <c r="AR73" i="11"/>
  <c r="AR18" i="11"/>
  <c r="AR19" i="11" s="1"/>
  <c r="AR24" i="17" s="1"/>
  <c r="AR21" i="11"/>
  <c r="AR22" i="11" s="1"/>
  <c r="AR24" i="11"/>
  <c r="AR25" i="11" s="1"/>
  <c r="AR62" i="11"/>
  <c r="AP52" i="11"/>
  <c r="AP65" i="11"/>
  <c r="AP17" i="17" s="1"/>
  <c r="AQ50" i="11"/>
  <c r="AR5" i="11"/>
  <c r="AR5" i="10"/>
  <c r="AR5" i="9"/>
  <c r="AR55" i="8"/>
  <c r="AS58" i="8"/>
  <c r="AS57" i="8"/>
  <c r="AT147" i="9"/>
  <c r="AT143" i="9"/>
  <c r="AT142" i="9"/>
  <c r="AS13" i="7"/>
  <c r="AS27" i="10" s="1"/>
  <c r="AT11" i="7"/>
  <c r="AS12" i="7"/>
  <c r="AS5" i="17" s="1"/>
  <c r="O129" i="6" l="1"/>
  <c r="O24" i="6"/>
  <c r="P87" i="11"/>
  <c r="P11" i="6" s="1"/>
  <c r="P12" i="6"/>
  <c r="AM121" i="6"/>
  <c r="U196" i="9"/>
  <c r="V148" i="9"/>
  <c r="AS80" i="11"/>
  <c r="AS66" i="8"/>
  <c r="AR64" i="11"/>
  <c r="AR63" i="11"/>
  <c r="AR190" i="9"/>
  <c r="AS158" i="9"/>
  <c r="AS174" i="9" s="1"/>
  <c r="AD49" i="17"/>
  <c r="AL140" i="9"/>
  <c r="AK156" i="9"/>
  <c r="AK172" i="9" s="1"/>
  <c r="AK188" i="9" s="1"/>
  <c r="AE88" i="17"/>
  <c r="AE37" i="17"/>
  <c r="AE43" i="17" s="1"/>
  <c r="AE45" i="17" s="1"/>
  <c r="AF177" i="9"/>
  <c r="AF25" i="17"/>
  <c r="AF55" i="11"/>
  <c r="AG141" i="9"/>
  <c r="AF157" i="9"/>
  <c r="AF173" i="9" s="1"/>
  <c r="AF189" i="9" s="1"/>
  <c r="AE57" i="11"/>
  <c r="AE56" i="11"/>
  <c r="AD59" i="11"/>
  <c r="AD50" i="12" s="1"/>
  <c r="AD14" i="17"/>
  <c r="AR191" i="9"/>
  <c r="AS159" i="9"/>
  <c r="AS175" i="9" s="1"/>
  <c r="AR162" i="9"/>
  <c r="AR178" i="9" s="1"/>
  <c r="AR194" i="9" s="1"/>
  <c r="AS146" i="9"/>
  <c r="AR75" i="8"/>
  <c r="AR57" i="10" s="1"/>
  <c r="AR27" i="11"/>
  <c r="AR28" i="11" s="1"/>
  <c r="AR30" i="11" s="1"/>
  <c r="AR16" i="17" s="1"/>
  <c r="AR165" i="9"/>
  <c r="AR181" i="9" s="1"/>
  <c r="AR197" i="9" s="1"/>
  <c r="AS149" i="9"/>
  <c r="AS73" i="8"/>
  <c r="AS74" i="8" s="1"/>
  <c r="AS13" i="11"/>
  <c r="AS13" i="17" s="1"/>
  <c r="AX74" i="10"/>
  <c r="AX82" i="10"/>
  <c r="AX85" i="10" s="1"/>
  <c r="AX104" i="11" s="1"/>
  <c r="AX77" i="10"/>
  <c r="AX84" i="17"/>
  <c r="AX86" i="17" s="1"/>
  <c r="BB64" i="10"/>
  <c r="BB17" i="11"/>
  <c r="BB62" i="10"/>
  <c r="BB66" i="10"/>
  <c r="BB20" i="11"/>
  <c r="BB23" i="11" s="1"/>
  <c r="BB106" i="10"/>
  <c r="BB63" i="10"/>
  <c r="BB65" i="10"/>
  <c r="BB107" i="10" s="1"/>
  <c r="BB26" i="11"/>
  <c r="BB105" i="10"/>
  <c r="BB54" i="10"/>
  <c r="BB56" i="10" s="1"/>
  <c r="Q66" i="17"/>
  <c r="Q99" i="17"/>
  <c r="Q96" i="17"/>
  <c r="AY51" i="17"/>
  <c r="AY127" i="10"/>
  <c r="BA71" i="10"/>
  <c r="BA72" i="10" s="1"/>
  <c r="BA75" i="10" s="1"/>
  <c r="BA81" i="10" s="1"/>
  <c r="BA117" i="10"/>
  <c r="BA83" i="10"/>
  <c r="BA118" i="10"/>
  <c r="AR12" i="17"/>
  <c r="AR11" i="17"/>
  <c r="AR15" i="17"/>
  <c r="AZ39" i="17"/>
  <c r="AZ121" i="10"/>
  <c r="AY50" i="17"/>
  <c r="AY126" i="10"/>
  <c r="AY52" i="17"/>
  <c r="AY128" i="10"/>
  <c r="AZ41" i="17"/>
  <c r="AZ123" i="10"/>
  <c r="AZ72" i="10"/>
  <c r="AZ40" i="17"/>
  <c r="AZ122" i="10"/>
  <c r="AZ119" i="10"/>
  <c r="AZ124" i="10" s="1"/>
  <c r="AP96" i="10"/>
  <c r="AP101" i="10" s="1"/>
  <c r="AP36" i="17"/>
  <c r="AP42" i="17" s="1"/>
  <c r="AR98" i="10"/>
  <c r="R29" i="17"/>
  <c r="R19" i="17"/>
  <c r="AR31" i="17"/>
  <c r="AR99" i="10"/>
  <c r="AR38" i="17"/>
  <c r="AR44" i="17" s="1"/>
  <c r="AY73" i="10"/>
  <c r="AW103" i="11"/>
  <c r="AW105" i="11"/>
  <c r="AW102" i="11"/>
  <c r="AW104" i="11"/>
  <c r="AW106" i="11"/>
  <c r="AW98" i="11"/>
  <c r="BA116" i="10"/>
  <c r="BA80" i="10"/>
  <c r="BA67" i="10"/>
  <c r="BA68" i="10" s="1"/>
  <c r="AS93" i="10"/>
  <c r="BC49" i="10"/>
  <c r="BD48" i="10"/>
  <c r="BD47" i="10"/>
  <c r="BD46" i="10"/>
  <c r="BD45" i="10"/>
  <c r="BD44" i="10"/>
  <c r="BD43" i="10"/>
  <c r="BD42" i="10"/>
  <c r="BD41" i="10"/>
  <c r="BD40" i="10"/>
  <c r="BD39" i="10"/>
  <c r="BD38" i="10"/>
  <c r="BD37" i="10"/>
  <c r="BD36" i="10"/>
  <c r="BD35" i="10"/>
  <c r="BD34" i="10"/>
  <c r="BD33" i="10"/>
  <c r="BC93" i="6"/>
  <c r="BD28" i="12"/>
  <c r="BD8" i="13"/>
  <c r="BE16" i="7"/>
  <c r="BE34" i="7" s="1"/>
  <c r="BE29" i="10" s="1"/>
  <c r="BE30" i="10" s="1"/>
  <c r="BD17" i="7"/>
  <c r="BD27" i="6" s="1"/>
  <c r="AN176" i="6"/>
  <c r="AN122" i="6"/>
  <c r="AN8" i="6"/>
  <c r="AN143" i="6"/>
  <c r="AN165" i="6"/>
  <c r="AN126" i="6"/>
  <c r="AN157" i="6"/>
  <c r="AO9" i="6"/>
  <c r="AO69" i="11"/>
  <c r="AO70" i="11" s="1"/>
  <c r="AO89" i="11" s="1"/>
  <c r="AO15" i="6" s="1"/>
  <c r="AO79" i="11"/>
  <c r="AO108" i="10"/>
  <c r="AO51" i="12"/>
  <c r="AO41" i="6" s="1"/>
  <c r="AO45" i="12"/>
  <c r="AO39" i="6" s="1"/>
  <c r="AS40" i="14"/>
  <c r="AF195" i="9"/>
  <c r="AG163" i="9"/>
  <c r="AS64" i="14"/>
  <c r="AS77" i="11" s="1"/>
  <c r="AR62" i="8"/>
  <c r="AR89" i="10" s="1"/>
  <c r="AS47" i="14"/>
  <c r="AS64" i="8" s="1"/>
  <c r="AS91" i="10" s="1"/>
  <c r="AS49" i="14"/>
  <c r="AS46" i="14"/>
  <c r="AS63" i="8" s="1"/>
  <c r="AS90" i="10" s="1"/>
  <c r="AS97" i="10" s="1"/>
  <c r="AS48" i="14"/>
  <c r="AT63" i="14"/>
  <c r="AT62" i="14"/>
  <c r="AT61" i="14"/>
  <c r="AT60" i="14"/>
  <c r="AT59" i="14"/>
  <c r="AT58" i="14"/>
  <c r="AT57" i="14"/>
  <c r="AT56" i="14"/>
  <c r="AT55" i="14"/>
  <c r="AT54" i="14"/>
  <c r="AT53" i="14"/>
  <c r="AT52" i="14"/>
  <c r="AT36" i="14"/>
  <c r="AT35" i="14"/>
  <c r="AT34" i="14"/>
  <c r="AT33" i="14"/>
  <c r="AT32" i="14"/>
  <c r="AT31" i="14"/>
  <c r="AT30" i="14"/>
  <c r="AT29" i="14"/>
  <c r="AT39" i="14" s="1"/>
  <c r="AT28" i="14"/>
  <c r="AT27" i="14"/>
  <c r="AT26" i="14"/>
  <c r="AT25" i="14"/>
  <c r="AS5" i="13"/>
  <c r="AS5" i="14"/>
  <c r="AS5" i="12"/>
  <c r="AS5" i="6"/>
  <c r="Q52" i="12"/>
  <c r="Q50" i="6" s="1"/>
  <c r="Q47" i="12"/>
  <c r="Q113" i="11"/>
  <c r="Q127" i="11" s="1"/>
  <c r="Q111" i="11"/>
  <c r="Q125" i="11" s="1"/>
  <c r="Q110" i="11"/>
  <c r="Q124" i="11" s="1"/>
  <c r="Q112" i="11"/>
  <c r="Q126" i="11" s="1"/>
  <c r="Q109" i="11"/>
  <c r="Q123" i="11" s="1"/>
  <c r="R14" i="11"/>
  <c r="R84" i="11" s="1"/>
  <c r="R46" i="12"/>
  <c r="S52" i="10"/>
  <c r="R48" i="12"/>
  <c r="AS60" i="8"/>
  <c r="AQ52" i="11"/>
  <c r="AT59" i="8"/>
  <c r="AU22" i="7"/>
  <c r="AP145" i="9"/>
  <c r="AR160" i="9"/>
  <c r="AR176" i="9" s="1"/>
  <c r="AR192" i="9" s="1"/>
  <c r="AS144" i="9"/>
  <c r="AO171" i="9"/>
  <c r="AP155" i="9" s="1"/>
  <c r="AN187" i="9"/>
  <c r="AQ139" i="9"/>
  <c r="AS68" i="11"/>
  <c r="AS10" i="11"/>
  <c r="AS22" i="17" s="1"/>
  <c r="AS9" i="11"/>
  <c r="AS10" i="17" s="1"/>
  <c r="AS11" i="11"/>
  <c r="AS12" i="11"/>
  <c r="AS65" i="8"/>
  <c r="AS92" i="10" s="1"/>
  <c r="AS34" i="11"/>
  <c r="AS35" i="11"/>
  <c r="AS36" i="11"/>
  <c r="AS37" i="11"/>
  <c r="AS38" i="11"/>
  <c r="AS39" i="11"/>
  <c r="AS23" i="17" s="1"/>
  <c r="AS40" i="11"/>
  <c r="AS41" i="11"/>
  <c r="AS42" i="11"/>
  <c r="AS43" i="11"/>
  <c r="AS44" i="11"/>
  <c r="AS45" i="11"/>
  <c r="AS46" i="11"/>
  <c r="AS47" i="11"/>
  <c r="AS48" i="11"/>
  <c r="AS49" i="11"/>
  <c r="AS29" i="11"/>
  <c r="AS75" i="11"/>
  <c r="AS58" i="11"/>
  <c r="AS73" i="11"/>
  <c r="AS74" i="11"/>
  <c r="AS76" i="11"/>
  <c r="AS18" i="11"/>
  <c r="AS19" i="11" s="1"/>
  <c r="AS24" i="17" s="1"/>
  <c r="AS21" i="11"/>
  <c r="AS22" i="11" s="1"/>
  <c r="AS24" i="11"/>
  <c r="AS25" i="11" s="1"/>
  <c r="AS62" i="11"/>
  <c r="AQ65" i="11"/>
  <c r="AQ17" i="17" s="1"/>
  <c r="AR50" i="11"/>
  <c r="AR51" i="11"/>
  <c r="AT58" i="8"/>
  <c r="AT57" i="8"/>
  <c r="AS5" i="11"/>
  <c r="AS5" i="10"/>
  <c r="AS5" i="9"/>
  <c r="AS55" i="8"/>
  <c r="AU147" i="9"/>
  <c r="AU143" i="9"/>
  <c r="AU142" i="9"/>
  <c r="AU11" i="7"/>
  <c r="AT13" i="7"/>
  <c r="AT27" i="10" s="1"/>
  <c r="AT12" i="7"/>
  <c r="AT5" i="17" s="1"/>
  <c r="O180" i="6" l="1"/>
  <c r="O135" i="6"/>
  <c r="O179" i="6"/>
  <c r="O35" i="12"/>
  <c r="P123" i="6"/>
  <c r="P156" i="6"/>
  <c r="P168" i="6"/>
  <c r="P13" i="6"/>
  <c r="AF32" i="17"/>
  <c r="AF87" i="17" s="1"/>
  <c r="AF89" i="17" s="1"/>
  <c r="AF26" i="17"/>
  <c r="AN121" i="6"/>
  <c r="W148" i="9"/>
  <c r="V196" i="9"/>
  <c r="AT80" i="11"/>
  <c r="AT66" i="8"/>
  <c r="AS64" i="11"/>
  <c r="AS63" i="11"/>
  <c r="AF193" i="9"/>
  <c r="AG161" i="9"/>
  <c r="AS190" i="9"/>
  <c r="AT158" i="9"/>
  <c r="AT174" i="9" s="1"/>
  <c r="AE48" i="17"/>
  <c r="AE47" i="17"/>
  <c r="AE46" i="17"/>
  <c r="AL156" i="9"/>
  <c r="AL172" i="9" s="1"/>
  <c r="AL188" i="9" s="1"/>
  <c r="AM140" i="9"/>
  <c r="AF56" i="11"/>
  <c r="AF57" i="11"/>
  <c r="AH141" i="9"/>
  <c r="AG55" i="11"/>
  <c r="AG157" i="9"/>
  <c r="AG173" i="9" s="1"/>
  <c r="AG189" i="9" s="1"/>
  <c r="AE14" i="17"/>
  <c r="AE59" i="11"/>
  <c r="AE50" i="12" s="1"/>
  <c r="AS191" i="9"/>
  <c r="AT159" i="9"/>
  <c r="AT175" i="9" s="1"/>
  <c r="AX106" i="11"/>
  <c r="AX98" i="11"/>
  <c r="AX102" i="11"/>
  <c r="AX103" i="11"/>
  <c r="AX105" i="11"/>
  <c r="AS162" i="9"/>
  <c r="AS178" i="9" s="1"/>
  <c r="AS194" i="9" s="1"/>
  <c r="AT146" i="9"/>
  <c r="AS165" i="9"/>
  <c r="AS181" i="9" s="1"/>
  <c r="AS197" i="9" s="1"/>
  <c r="AT149" i="9"/>
  <c r="AS75" i="8"/>
  <c r="AS57" i="10" s="1"/>
  <c r="AS27" i="11"/>
  <c r="AS28" i="11" s="1"/>
  <c r="AS30" i="11" s="1"/>
  <c r="AS16" i="17" s="1"/>
  <c r="AT73" i="8"/>
  <c r="AT74" i="8" s="1"/>
  <c r="AT13" i="11"/>
  <c r="AT13" i="17" s="1"/>
  <c r="Q97" i="17"/>
  <c r="Q67" i="17"/>
  <c r="BB83" i="10"/>
  <c r="BB118" i="10"/>
  <c r="BB116" i="10"/>
  <c r="BB80" i="10"/>
  <c r="BB71" i="10"/>
  <c r="BB67" i="10"/>
  <c r="BB68" i="10" s="1"/>
  <c r="BB117" i="10"/>
  <c r="BA40" i="17"/>
  <c r="BA122" i="10"/>
  <c r="BA119" i="10"/>
  <c r="BA124" i="10" s="1"/>
  <c r="BA123" i="10"/>
  <c r="BA41" i="17"/>
  <c r="AZ73" i="10"/>
  <c r="AZ75" i="10"/>
  <c r="AZ81" i="10" s="1"/>
  <c r="AZ50" i="17"/>
  <c r="AZ126" i="10"/>
  <c r="AS12" i="17"/>
  <c r="AS11" i="17"/>
  <c r="AS15" i="17"/>
  <c r="AY74" i="10"/>
  <c r="AY84" i="17"/>
  <c r="R33" i="17"/>
  <c r="R56" i="17"/>
  <c r="R63" i="17" s="1"/>
  <c r="R55" i="17"/>
  <c r="R62" i="17" s="1"/>
  <c r="R57" i="17"/>
  <c r="R64" i="17" s="1"/>
  <c r="AZ52" i="17"/>
  <c r="AZ128" i="10"/>
  <c r="AZ51" i="17"/>
  <c r="AZ127" i="10"/>
  <c r="BA121" i="10"/>
  <c r="BA39" i="17"/>
  <c r="AQ96" i="10"/>
  <c r="AQ101" i="10" s="1"/>
  <c r="AQ36" i="17"/>
  <c r="AQ42" i="17" s="1"/>
  <c r="AS98" i="10"/>
  <c r="AS31" i="17"/>
  <c r="AS99" i="10"/>
  <c r="AS38" i="17"/>
  <c r="AS44" i="17" s="1"/>
  <c r="AY77" i="10"/>
  <c r="AY82" i="10"/>
  <c r="AY85" i="10" s="1"/>
  <c r="BA73" i="10"/>
  <c r="BC105" i="10"/>
  <c r="BC64" i="10"/>
  <c r="BC17" i="11"/>
  <c r="BC62" i="10"/>
  <c r="BC80" i="10" s="1"/>
  <c r="BC106" i="10"/>
  <c r="BC63" i="10"/>
  <c r="BC65" i="10"/>
  <c r="BC107" i="10" s="1"/>
  <c r="BC26" i="11"/>
  <c r="BC66" i="10"/>
  <c r="BC20" i="11"/>
  <c r="BC23" i="11" s="1"/>
  <c r="BC54" i="10"/>
  <c r="BC56" i="10" s="1"/>
  <c r="AT93" i="10"/>
  <c r="BD49" i="10"/>
  <c r="BE48" i="10"/>
  <c r="BE47" i="10"/>
  <c r="BE46" i="10"/>
  <c r="BE45" i="10"/>
  <c r="BE44" i="10"/>
  <c r="BE43" i="10"/>
  <c r="BE42" i="10"/>
  <c r="BE41" i="10"/>
  <c r="BE40" i="10"/>
  <c r="BE39" i="10"/>
  <c r="BE38" i="10"/>
  <c r="BE37" i="10"/>
  <c r="BE36" i="10"/>
  <c r="BE35" i="10"/>
  <c r="BE34" i="10"/>
  <c r="BE33" i="10"/>
  <c r="BE28" i="12"/>
  <c r="BE8" i="13"/>
  <c r="BE17" i="7"/>
  <c r="BE27" i="6" s="1"/>
  <c r="BF16" i="7"/>
  <c r="BF34" i="7" s="1"/>
  <c r="BF29" i="10" s="1"/>
  <c r="BF30" i="10" s="1"/>
  <c r="BD93" i="6"/>
  <c r="AT40" i="14"/>
  <c r="AP79" i="11"/>
  <c r="AP69" i="11"/>
  <c r="AP70" i="11" s="1"/>
  <c r="AP89" i="11" s="1"/>
  <c r="AP15" i="6" s="1"/>
  <c r="AP51" i="12"/>
  <c r="AP41" i="6" s="1"/>
  <c r="AP45" i="12"/>
  <c r="AP39" i="6" s="1"/>
  <c r="AP9" i="6"/>
  <c r="AP108" i="10"/>
  <c r="AO8" i="6"/>
  <c r="AO176" i="6"/>
  <c r="AO122" i="6"/>
  <c r="AO157" i="6"/>
  <c r="AO126" i="6"/>
  <c r="AO165" i="6"/>
  <c r="AO143" i="6"/>
  <c r="AG179" i="9"/>
  <c r="AS62" i="8"/>
  <c r="AS89" i="10" s="1"/>
  <c r="AT64" i="14"/>
  <c r="AT77" i="11" s="1"/>
  <c r="AT46" i="14"/>
  <c r="AT63" i="8" s="1"/>
  <c r="AT90" i="10" s="1"/>
  <c r="AT97" i="10" s="1"/>
  <c r="AT49" i="14"/>
  <c r="AT48" i="14"/>
  <c r="AT47" i="14"/>
  <c r="AT64" i="8" s="1"/>
  <c r="AT91" i="10" s="1"/>
  <c r="AU63" i="14"/>
  <c r="AU62" i="14"/>
  <c r="AU61" i="14"/>
  <c r="AU60" i="14"/>
  <c r="AU59" i="14"/>
  <c r="AU58" i="14"/>
  <c r="AU57" i="14"/>
  <c r="AU56" i="14"/>
  <c r="AU55" i="14"/>
  <c r="AU54" i="14"/>
  <c r="AU53" i="14"/>
  <c r="AU52" i="14"/>
  <c r="AU36" i="14"/>
  <c r="AU35" i="14"/>
  <c r="AU34" i="14"/>
  <c r="AU33" i="14"/>
  <c r="AU32" i="14"/>
  <c r="AU31" i="14"/>
  <c r="AU30" i="14"/>
  <c r="AU29" i="14"/>
  <c r="AU39" i="14" s="1"/>
  <c r="AU28" i="14"/>
  <c r="AU27" i="14"/>
  <c r="AU26" i="14"/>
  <c r="AU25" i="14"/>
  <c r="AT5" i="13"/>
  <c r="AT5" i="14"/>
  <c r="Q53" i="12"/>
  <c r="Q54" i="12" s="1"/>
  <c r="Q37" i="12" s="1"/>
  <c r="Q49" i="6"/>
  <c r="AT5" i="12"/>
  <c r="AT5" i="6"/>
  <c r="R86" i="11"/>
  <c r="R49" i="12"/>
  <c r="R40" i="6" s="1"/>
  <c r="S53" i="10"/>
  <c r="AU59" i="8"/>
  <c r="AV22" i="7"/>
  <c r="AQ145" i="9"/>
  <c r="AS160" i="9"/>
  <c r="AS176" i="9" s="1"/>
  <c r="AS192" i="9" s="1"/>
  <c r="AT144" i="9"/>
  <c r="AO187" i="9"/>
  <c r="AP171" i="9"/>
  <c r="AQ155" i="9" s="1"/>
  <c r="AR139" i="9"/>
  <c r="AT68" i="11"/>
  <c r="AT10" i="11"/>
  <c r="AT22" i="17" s="1"/>
  <c r="AT9" i="11"/>
  <c r="AT10" i="17" s="1"/>
  <c r="AT11" i="11"/>
  <c r="AT12" i="11"/>
  <c r="AT65" i="8"/>
  <c r="AT92" i="10" s="1"/>
  <c r="AT34" i="11"/>
  <c r="AT35" i="11"/>
  <c r="AT36" i="11"/>
  <c r="AT37" i="11"/>
  <c r="AT38" i="11"/>
  <c r="AT39" i="11"/>
  <c r="AT23" i="17" s="1"/>
  <c r="AT40" i="11"/>
  <c r="AT41" i="11"/>
  <c r="AT42" i="11"/>
  <c r="AT43" i="11"/>
  <c r="AT44" i="11"/>
  <c r="AT45" i="11"/>
  <c r="AT46" i="11"/>
  <c r="AT47" i="11"/>
  <c r="AT48" i="11"/>
  <c r="AT49" i="11"/>
  <c r="AT29" i="11"/>
  <c r="AT74" i="11"/>
  <c r="AT73" i="11"/>
  <c r="AT76" i="11"/>
  <c r="AT58" i="11"/>
  <c r="AT75" i="11"/>
  <c r="AT18" i="11"/>
  <c r="AT19" i="11" s="1"/>
  <c r="AT24" i="17" s="1"/>
  <c r="AT21" i="11"/>
  <c r="AT22" i="11" s="1"/>
  <c r="AT24" i="11"/>
  <c r="AT25" i="11" s="1"/>
  <c r="AT62" i="11"/>
  <c r="AR65" i="11"/>
  <c r="AR17" i="17" s="1"/>
  <c r="AS50" i="11"/>
  <c r="AS51" i="11"/>
  <c r="AT60" i="8"/>
  <c r="AR52" i="11"/>
  <c r="AU58" i="8"/>
  <c r="AU57" i="8"/>
  <c r="AT5" i="11"/>
  <c r="AT5" i="10"/>
  <c r="AT5" i="9"/>
  <c r="AT55" i="8"/>
  <c r="AV147" i="9"/>
  <c r="AV143" i="9"/>
  <c r="AV142" i="9"/>
  <c r="AU12" i="7"/>
  <c r="AU5" i="17" s="1"/>
  <c r="AV11" i="7"/>
  <c r="AU13" i="7"/>
  <c r="AU27" i="10" s="1"/>
  <c r="Q169" i="6" l="1"/>
  <c r="P18" i="6"/>
  <c r="P178" i="6"/>
  <c r="P177" i="6"/>
  <c r="P155" i="6"/>
  <c r="P124" i="6"/>
  <c r="AF37" i="17"/>
  <c r="AF43" i="17" s="1"/>
  <c r="AF45" i="17" s="1"/>
  <c r="AF88" i="17"/>
  <c r="AO121" i="6"/>
  <c r="Q98" i="17"/>
  <c r="Q88" i="11"/>
  <c r="W196" i="9"/>
  <c r="X148" i="9"/>
  <c r="AG25" i="17"/>
  <c r="AG26" i="17" s="1"/>
  <c r="AG177" i="9"/>
  <c r="AU80" i="11"/>
  <c r="AU66" i="8"/>
  <c r="AT64" i="11"/>
  <c r="AT63" i="11"/>
  <c r="AT190" i="9"/>
  <c r="AU158" i="9"/>
  <c r="AU174" i="9" s="1"/>
  <c r="AE49" i="17"/>
  <c r="AN140" i="9"/>
  <c r="AM156" i="9"/>
  <c r="AM172" i="9" s="1"/>
  <c r="AM188" i="9" s="1"/>
  <c r="AF14" i="17"/>
  <c r="AF59" i="11"/>
  <c r="AF50" i="12" s="1"/>
  <c r="AH55" i="11"/>
  <c r="AH157" i="9"/>
  <c r="AH173" i="9" s="1"/>
  <c r="AH189" i="9" s="1"/>
  <c r="AI141" i="9"/>
  <c r="AG56" i="11"/>
  <c r="AG57" i="11"/>
  <c r="AG32" i="17"/>
  <c r="AG87" i="17" s="1"/>
  <c r="AG89" i="17" s="1"/>
  <c r="AT191" i="9"/>
  <c r="AU159" i="9"/>
  <c r="AU175" i="9" s="1"/>
  <c r="AT27" i="11"/>
  <c r="AT28" i="11" s="1"/>
  <c r="AT30" i="11" s="1"/>
  <c r="AT16" i="17" s="1"/>
  <c r="AT75" i="8"/>
  <c r="AT57" i="10" s="1"/>
  <c r="AT162" i="9"/>
  <c r="AT178" i="9" s="1"/>
  <c r="AT194" i="9" s="1"/>
  <c r="AU146" i="9"/>
  <c r="AT165" i="9"/>
  <c r="AT181" i="9" s="1"/>
  <c r="AT197" i="9" s="1"/>
  <c r="AU149" i="9"/>
  <c r="AU73" i="8"/>
  <c r="AU74" i="8" s="1"/>
  <c r="AU13" i="11"/>
  <c r="AU13" i="17" s="1"/>
  <c r="BB123" i="10"/>
  <c r="BB41" i="17"/>
  <c r="BB121" i="10"/>
  <c r="BB39" i="17"/>
  <c r="BB122" i="10"/>
  <c r="BB119" i="10"/>
  <c r="BB124" i="10" s="1"/>
  <c r="BB40" i="17"/>
  <c r="BB72" i="10"/>
  <c r="BA127" i="10"/>
  <c r="BA51" i="17"/>
  <c r="BA52" i="17"/>
  <c r="BA128" i="10"/>
  <c r="AZ84" i="17"/>
  <c r="AZ86" i="17" s="1"/>
  <c r="AZ74" i="10"/>
  <c r="AZ77" i="10"/>
  <c r="AZ82" i="10"/>
  <c r="AZ85" i="10" s="1"/>
  <c r="BC83" i="10"/>
  <c r="BC118" i="10"/>
  <c r="BA84" i="17"/>
  <c r="BA86" i="17" s="1"/>
  <c r="BA74" i="10"/>
  <c r="AY86" i="17"/>
  <c r="AT12" i="17"/>
  <c r="AT11" i="17"/>
  <c r="AT15" i="17"/>
  <c r="R95" i="17"/>
  <c r="R94" i="17"/>
  <c r="R65" i="17"/>
  <c r="BA50" i="17"/>
  <c r="BA126" i="10"/>
  <c r="AR96" i="10"/>
  <c r="AR101" i="10" s="1"/>
  <c r="AR36" i="17"/>
  <c r="AR42" i="17" s="1"/>
  <c r="AT98" i="10"/>
  <c r="AT31" i="17"/>
  <c r="AT99" i="10"/>
  <c r="AT38" i="17"/>
  <c r="AT44" i="17" s="1"/>
  <c r="AY98" i="11"/>
  <c r="AY102" i="11"/>
  <c r="AY105" i="11"/>
  <c r="AY103" i="11"/>
  <c r="AY106" i="11"/>
  <c r="AY104" i="11"/>
  <c r="BA77" i="10"/>
  <c r="BA82" i="10"/>
  <c r="BA85" i="10" s="1"/>
  <c r="BC71" i="10"/>
  <c r="BC72" i="10" s="1"/>
  <c r="BC117" i="10"/>
  <c r="BC116" i="10"/>
  <c r="BC67" i="10"/>
  <c r="BC68" i="10" s="1"/>
  <c r="AU93" i="10"/>
  <c r="BD54" i="10"/>
  <c r="BD56" i="10" s="1"/>
  <c r="BD17" i="11"/>
  <c r="BD65" i="10"/>
  <c r="BD107" i="10" s="1"/>
  <c r="BD62" i="10"/>
  <c r="BD116" i="10" s="1"/>
  <c r="BD39" i="17" s="1"/>
  <c r="BD26" i="11"/>
  <c r="BD66" i="10"/>
  <c r="BD64" i="10"/>
  <c r="BD105" i="10"/>
  <c r="BD20" i="11"/>
  <c r="BD23" i="11" s="1"/>
  <c r="BD63" i="10"/>
  <c r="BD106" i="10"/>
  <c r="BE49" i="10"/>
  <c r="BF48" i="10"/>
  <c r="BF47" i="10"/>
  <c r="BF46" i="10"/>
  <c r="BF45" i="10"/>
  <c r="BF44" i="10"/>
  <c r="BF43" i="10"/>
  <c r="BF42" i="10"/>
  <c r="BF41" i="10"/>
  <c r="BF40" i="10"/>
  <c r="BF39" i="10"/>
  <c r="BF38" i="10"/>
  <c r="BF37" i="10"/>
  <c r="BF36" i="10"/>
  <c r="BF35" i="10"/>
  <c r="BF34" i="10"/>
  <c r="BF33" i="10"/>
  <c r="BE93" i="6"/>
  <c r="BF28" i="12"/>
  <c r="BF8" i="13"/>
  <c r="BG16" i="7"/>
  <c r="BG34" i="7" s="1"/>
  <c r="BG29" i="10" s="1"/>
  <c r="BG30" i="10" s="1"/>
  <c r="BF17" i="7"/>
  <c r="BF27" i="6" s="1"/>
  <c r="AQ69" i="11"/>
  <c r="AQ70" i="11" s="1"/>
  <c r="AQ89" i="11" s="1"/>
  <c r="AQ15" i="6" s="1"/>
  <c r="AQ51" i="12"/>
  <c r="AQ41" i="6" s="1"/>
  <c r="AQ45" i="12"/>
  <c r="AQ39" i="6" s="1"/>
  <c r="AQ9" i="6"/>
  <c r="AQ79" i="11"/>
  <c r="AQ108" i="10"/>
  <c r="AP143" i="6"/>
  <c r="AP157" i="6"/>
  <c r="AP165" i="6"/>
  <c r="AP126" i="6"/>
  <c r="AP122" i="6"/>
  <c r="AP176" i="6"/>
  <c r="AP8" i="6"/>
  <c r="AU64" i="14"/>
  <c r="AU77" i="11" s="1"/>
  <c r="AU40" i="14"/>
  <c r="AH163" i="9"/>
  <c r="AG195" i="9"/>
  <c r="AT62" i="8"/>
  <c r="AT89" i="10" s="1"/>
  <c r="AU49" i="14"/>
  <c r="AU47" i="14"/>
  <c r="AU64" i="8" s="1"/>
  <c r="AU91" i="10" s="1"/>
  <c r="AU46" i="14"/>
  <c r="AU63" i="8" s="1"/>
  <c r="AU90" i="10" s="1"/>
  <c r="AU97" i="10" s="1"/>
  <c r="AU48" i="14"/>
  <c r="AV63" i="14"/>
  <c r="AV62" i="14"/>
  <c r="AV61" i="14"/>
  <c r="AV60" i="14"/>
  <c r="AV59" i="14"/>
  <c r="AV58" i="14"/>
  <c r="AV57" i="14"/>
  <c r="AV56" i="14"/>
  <c r="AV55" i="14"/>
  <c r="AV54" i="14"/>
  <c r="AV53" i="14"/>
  <c r="AV52" i="14"/>
  <c r="AU5" i="13"/>
  <c r="AU5" i="14"/>
  <c r="AV36" i="14"/>
  <c r="AV35" i="14"/>
  <c r="AV34" i="14"/>
  <c r="AV33" i="14"/>
  <c r="AV32" i="14"/>
  <c r="AV31" i="14"/>
  <c r="AV30" i="14"/>
  <c r="AV29" i="14"/>
  <c r="AV39" i="14" s="1"/>
  <c r="AV28" i="14"/>
  <c r="AV27" i="14"/>
  <c r="AV26" i="14"/>
  <c r="AV25" i="14"/>
  <c r="Q71" i="6"/>
  <c r="Q103" i="6"/>
  <c r="AU5" i="12"/>
  <c r="AU5" i="6"/>
  <c r="R97" i="11"/>
  <c r="R93" i="11"/>
  <c r="R94" i="11" s="1"/>
  <c r="S59" i="10"/>
  <c r="S8" i="11" s="1"/>
  <c r="S9" i="17" s="1"/>
  <c r="S55" i="10"/>
  <c r="AT51" i="11"/>
  <c r="AU60" i="8"/>
  <c r="AV59" i="8"/>
  <c r="AW22" i="7"/>
  <c r="AR145" i="9"/>
  <c r="AT160" i="9"/>
  <c r="AT176" i="9" s="1"/>
  <c r="AT192" i="9" s="1"/>
  <c r="AU144" i="9"/>
  <c r="AP187" i="9"/>
  <c r="AQ171" i="9"/>
  <c r="AR155" i="9" s="1"/>
  <c r="AS139" i="9"/>
  <c r="AU68" i="11"/>
  <c r="AU10" i="11"/>
  <c r="AU22" i="17" s="1"/>
  <c r="AU9" i="11"/>
  <c r="AU10" i="17" s="1"/>
  <c r="AU11" i="11"/>
  <c r="AU12" i="11"/>
  <c r="AU65" i="8"/>
  <c r="AU92" i="10" s="1"/>
  <c r="AU34" i="11"/>
  <c r="AU35" i="11"/>
  <c r="AU36" i="11"/>
  <c r="AU37" i="11"/>
  <c r="AU38" i="11"/>
  <c r="AU39" i="11"/>
  <c r="AU23" i="17" s="1"/>
  <c r="AU40" i="11"/>
  <c r="AU41" i="11"/>
  <c r="AU42" i="11"/>
  <c r="AU43" i="11"/>
  <c r="AU44" i="11"/>
  <c r="AU45" i="11"/>
  <c r="AU46" i="11"/>
  <c r="AU47" i="11"/>
  <c r="AU48" i="11"/>
  <c r="AU49" i="11"/>
  <c r="AU29" i="11"/>
  <c r="AU74" i="11"/>
  <c r="AU76" i="11"/>
  <c r="AU58" i="11"/>
  <c r="AU75" i="11"/>
  <c r="AU73" i="11"/>
  <c r="AU18" i="11"/>
  <c r="AU19" i="11" s="1"/>
  <c r="AU24" i="17" s="1"/>
  <c r="AU21" i="11"/>
  <c r="AU22" i="11" s="1"/>
  <c r="AU24" i="11"/>
  <c r="AU25" i="11" s="1"/>
  <c r="AU62" i="11"/>
  <c r="AS65" i="11"/>
  <c r="AS17" i="17" s="1"/>
  <c r="AT50" i="11"/>
  <c r="AS52" i="11"/>
  <c r="AU5" i="11"/>
  <c r="AU5" i="10"/>
  <c r="AU5" i="9"/>
  <c r="AU55" i="8"/>
  <c r="AV58" i="8"/>
  <c r="AV57" i="8"/>
  <c r="AW147" i="9"/>
  <c r="AW143" i="9"/>
  <c r="AW142" i="9"/>
  <c r="AW11" i="7"/>
  <c r="AV12" i="7"/>
  <c r="AV5" i="17" s="1"/>
  <c r="AV13" i="7"/>
  <c r="AV27" i="10" s="1"/>
  <c r="P129" i="6" l="1"/>
  <c r="P24" i="6"/>
  <c r="AF46" i="17"/>
  <c r="AF47" i="17"/>
  <c r="AF48" i="17"/>
  <c r="Q87" i="11"/>
  <c r="Q11" i="6" s="1"/>
  <c r="Q12" i="6"/>
  <c r="AP121" i="6"/>
  <c r="X196" i="9"/>
  <c r="Y148" i="9"/>
  <c r="AG193" i="9"/>
  <c r="AH161" i="9"/>
  <c r="AV80" i="11"/>
  <c r="AV66" i="8"/>
  <c r="AU64" i="11"/>
  <c r="AU63" i="11"/>
  <c r="AU190" i="9"/>
  <c r="AV158" i="9"/>
  <c r="AV174" i="9" s="1"/>
  <c r="AO140" i="9"/>
  <c r="AN156" i="9"/>
  <c r="AN172" i="9" s="1"/>
  <c r="AN188" i="9" s="1"/>
  <c r="AG37" i="17"/>
  <c r="AG43" i="17" s="1"/>
  <c r="AG45" i="17" s="1"/>
  <c r="AG46" i="17" s="1"/>
  <c r="AG88" i="17"/>
  <c r="AH57" i="11"/>
  <c r="AH56" i="11"/>
  <c r="AI157" i="9"/>
  <c r="AI173" i="9" s="1"/>
  <c r="AI189" i="9" s="1"/>
  <c r="AI55" i="11"/>
  <c r="AJ141" i="9"/>
  <c r="AG14" i="17"/>
  <c r="AG59" i="11"/>
  <c r="AG50" i="12" s="1"/>
  <c r="AU191" i="9"/>
  <c r="AV159" i="9"/>
  <c r="AV175" i="9" s="1"/>
  <c r="AU75" i="8"/>
  <c r="AU57" i="10" s="1"/>
  <c r="AU27" i="11"/>
  <c r="AU28" i="11" s="1"/>
  <c r="AU30" i="11" s="1"/>
  <c r="AU16" i="17" s="1"/>
  <c r="AU162" i="9"/>
  <c r="AU178" i="9" s="1"/>
  <c r="AU194" i="9" s="1"/>
  <c r="AV146" i="9"/>
  <c r="AU165" i="9"/>
  <c r="AU181" i="9" s="1"/>
  <c r="AU197" i="9" s="1"/>
  <c r="AV149" i="9"/>
  <c r="AV73" i="8"/>
  <c r="AV74" i="8" s="1"/>
  <c r="AV13" i="11"/>
  <c r="AV13" i="17" s="1"/>
  <c r="BB73" i="10"/>
  <c r="BB75" i="10"/>
  <c r="BB81" i="10" s="1"/>
  <c r="BB52" i="17"/>
  <c r="BB128" i="10"/>
  <c r="BB50" i="17"/>
  <c r="BB126" i="10"/>
  <c r="BB51" i="17"/>
  <c r="BB127" i="10"/>
  <c r="AZ98" i="11"/>
  <c r="AZ102" i="11"/>
  <c r="AZ105" i="11"/>
  <c r="AZ104" i="11"/>
  <c r="AZ103" i="11"/>
  <c r="AZ106" i="11"/>
  <c r="BC119" i="10"/>
  <c r="BC124" i="10" s="1"/>
  <c r="BC123" i="10"/>
  <c r="BC41" i="17"/>
  <c r="R96" i="17"/>
  <c r="BC75" i="10"/>
  <c r="BC81" i="10" s="1"/>
  <c r="BC73" i="10"/>
  <c r="BC40" i="17"/>
  <c r="BC122" i="10"/>
  <c r="AU12" i="17"/>
  <c r="AU11" i="17"/>
  <c r="AU15" i="17"/>
  <c r="R99" i="17"/>
  <c r="R66" i="17"/>
  <c r="BC121" i="10"/>
  <c r="BC39" i="17"/>
  <c r="AS96" i="10"/>
  <c r="AS101" i="10" s="1"/>
  <c r="AS36" i="17"/>
  <c r="AS42" i="17" s="1"/>
  <c r="AU98" i="10"/>
  <c r="S29" i="17"/>
  <c r="AU31" i="17"/>
  <c r="AU99" i="10"/>
  <c r="AU38" i="17"/>
  <c r="AU44" i="17" s="1"/>
  <c r="BA98" i="11"/>
  <c r="BA105" i="11"/>
  <c r="BA102" i="11"/>
  <c r="BA103" i="11"/>
  <c r="BA104" i="11"/>
  <c r="BA106" i="11"/>
  <c r="BF49" i="10"/>
  <c r="BD121" i="10"/>
  <c r="BD83" i="10"/>
  <c r="BD118" i="10"/>
  <c r="BD71" i="10"/>
  <c r="BD72" i="10" s="1"/>
  <c r="BD117" i="10"/>
  <c r="BD40" i="17" s="1"/>
  <c r="AV93" i="10"/>
  <c r="BD67" i="10"/>
  <c r="BD68" i="10" s="1"/>
  <c r="BD80" i="10"/>
  <c r="BE26" i="11"/>
  <c r="BE65" i="10"/>
  <c r="BE107" i="10" s="1"/>
  <c r="BE63" i="10"/>
  <c r="BE54" i="10"/>
  <c r="BE56" i="10" s="1"/>
  <c r="BE20" i="11"/>
  <c r="BE23" i="11" s="1"/>
  <c r="BE66" i="10"/>
  <c r="BE62" i="10"/>
  <c r="BE116" i="10" s="1"/>
  <c r="BE39" i="17" s="1"/>
  <c r="BE17" i="11"/>
  <c r="BE64" i="10"/>
  <c r="BE105" i="10"/>
  <c r="BE106" i="10"/>
  <c r="BG48" i="10"/>
  <c r="BG47" i="10"/>
  <c r="BG46" i="10"/>
  <c r="BG45" i="10"/>
  <c r="BG44" i="10"/>
  <c r="BG43" i="10"/>
  <c r="BG42" i="10"/>
  <c r="BG41" i="10"/>
  <c r="BG40" i="10"/>
  <c r="BG39" i="10"/>
  <c r="BG38" i="10"/>
  <c r="BG37" i="10"/>
  <c r="BG36" i="10"/>
  <c r="BG35" i="10"/>
  <c r="BG34" i="10"/>
  <c r="BG33" i="10"/>
  <c r="BG28" i="12"/>
  <c r="BG8" i="13"/>
  <c r="BH16" i="7"/>
  <c r="BG17" i="7"/>
  <c r="BG27" i="6" s="1"/>
  <c r="BF93" i="6"/>
  <c r="AQ143" i="6"/>
  <c r="AQ8" i="6"/>
  <c r="AQ176" i="6"/>
  <c r="AQ122" i="6"/>
  <c r="AQ165" i="6"/>
  <c r="AQ157" i="6"/>
  <c r="AQ126" i="6"/>
  <c r="AV40" i="14"/>
  <c r="AR45" i="12"/>
  <c r="AR39" i="6" s="1"/>
  <c r="AR51" i="12"/>
  <c r="AR41" i="6" s="1"/>
  <c r="AR9" i="6"/>
  <c r="AR69" i="11"/>
  <c r="AR70" i="11" s="1"/>
  <c r="AR89" i="11" s="1"/>
  <c r="AR15" i="6" s="1"/>
  <c r="AR79" i="11"/>
  <c r="AR108" i="10"/>
  <c r="AV64" i="14"/>
  <c r="AV77" i="11" s="1"/>
  <c r="AH179" i="9"/>
  <c r="AU62" i="8"/>
  <c r="AU89" i="10" s="1"/>
  <c r="AV46" i="14"/>
  <c r="AV63" i="8" s="1"/>
  <c r="AV90" i="10" s="1"/>
  <c r="AV97" i="10" s="1"/>
  <c r="AV49" i="14"/>
  <c r="AV47" i="14"/>
  <c r="AV64" i="8" s="1"/>
  <c r="AV91" i="10" s="1"/>
  <c r="AV48" i="14"/>
  <c r="AW63" i="14"/>
  <c r="AW62" i="14"/>
  <c r="AW61" i="14"/>
  <c r="AW60" i="14"/>
  <c r="AW59" i="14"/>
  <c r="AW58" i="14"/>
  <c r="AW57" i="14"/>
  <c r="AW56" i="14"/>
  <c r="AW55" i="14"/>
  <c r="AW54" i="14"/>
  <c r="AW53" i="14"/>
  <c r="AW52" i="14"/>
  <c r="AW36" i="14"/>
  <c r="AW35" i="14"/>
  <c r="AW34" i="14"/>
  <c r="AW33" i="14"/>
  <c r="AW32" i="14"/>
  <c r="AW31" i="14"/>
  <c r="AW30" i="14"/>
  <c r="AW29" i="14"/>
  <c r="AW39" i="14" s="1"/>
  <c r="AW28" i="14"/>
  <c r="AW27" i="14"/>
  <c r="AW26" i="14"/>
  <c r="AW25" i="14"/>
  <c r="AV5" i="13"/>
  <c r="AV5" i="14"/>
  <c r="AV5" i="12"/>
  <c r="AV5" i="6"/>
  <c r="R109" i="11"/>
  <c r="R123" i="11" s="1"/>
  <c r="R111" i="11"/>
  <c r="R125" i="11" s="1"/>
  <c r="R113" i="11"/>
  <c r="R127" i="11" s="1"/>
  <c r="R112" i="11"/>
  <c r="R126" i="11" s="1"/>
  <c r="R110" i="11"/>
  <c r="R124" i="11" s="1"/>
  <c r="R52" i="12"/>
  <c r="R50" i="6" s="1"/>
  <c r="R47" i="12"/>
  <c r="S14" i="11"/>
  <c r="S84" i="11" s="1"/>
  <c r="S49" i="12" s="1"/>
  <c r="S46" i="12"/>
  <c r="T52" i="10"/>
  <c r="S48" i="12"/>
  <c r="AV60" i="8"/>
  <c r="AT52" i="11"/>
  <c r="AW59" i="8"/>
  <c r="AX22" i="7"/>
  <c r="AS145" i="9"/>
  <c r="AU160" i="9"/>
  <c r="AU176" i="9" s="1"/>
  <c r="AU192" i="9" s="1"/>
  <c r="AV144" i="9"/>
  <c r="AQ187" i="9"/>
  <c r="AR171" i="9"/>
  <c r="AS155" i="9" s="1"/>
  <c r="AT139" i="9"/>
  <c r="AV68" i="11"/>
  <c r="AV10" i="11"/>
  <c r="AV22" i="17" s="1"/>
  <c r="AV9" i="11"/>
  <c r="AV10" i="17" s="1"/>
  <c r="AV11" i="11"/>
  <c r="AV12" i="11"/>
  <c r="AV65" i="8"/>
  <c r="AV92" i="10" s="1"/>
  <c r="AV34" i="11"/>
  <c r="AV35" i="11"/>
  <c r="AV36" i="11"/>
  <c r="AV37" i="11"/>
  <c r="AV38" i="11"/>
  <c r="AV39" i="11"/>
  <c r="AV23" i="17" s="1"/>
  <c r="AV40" i="11"/>
  <c r="AV41" i="11"/>
  <c r="AV42" i="11"/>
  <c r="AV43" i="11"/>
  <c r="AV44" i="11"/>
  <c r="AV45" i="11"/>
  <c r="AV46" i="11"/>
  <c r="AV47" i="11"/>
  <c r="AV48" i="11"/>
  <c r="AV49" i="11"/>
  <c r="AV29" i="11"/>
  <c r="AV73" i="11"/>
  <c r="AV75" i="11"/>
  <c r="AV58" i="11"/>
  <c r="AV76" i="11"/>
  <c r="AV74" i="11"/>
  <c r="AV18" i="11"/>
  <c r="AV19" i="11" s="1"/>
  <c r="AV24" i="17" s="1"/>
  <c r="AV21" i="11"/>
  <c r="AV22" i="11" s="1"/>
  <c r="AV24" i="11"/>
  <c r="AV25" i="11" s="1"/>
  <c r="AV62" i="11"/>
  <c r="AU51" i="11"/>
  <c r="AT65" i="11"/>
  <c r="AT17" i="17" s="1"/>
  <c r="AU50" i="11"/>
  <c r="AW58" i="8"/>
  <c r="AW57" i="8"/>
  <c r="AV5" i="11"/>
  <c r="AV5" i="10"/>
  <c r="AV5" i="9"/>
  <c r="AV55" i="8"/>
  <c r="AX147" i="9"/>
  <c r="AX143" i="9"/>
  <c r="AX142" i="9"/>
  <c r="AW12" i="7"/>
  <c r="AW5" i="17" s="1"/>
  <c r="AX11" i="7"/>
  <c r="AW13" i="7"/>
  <c r="AW27" i="10" s="1"/>
  <c r="AH25" i="17" l="1"/>
  <c r="AH177" i="9"/>
  <c r="AF49" i="17"/>
  <c r="P35" i="12"/>
  <c r="P180" i="6"/>
  <c r="P179" i="6"/>
  <c r="P135" i="6"/>
  <c r="Q156" i="6"/>
  <c r="Q123" i="6"/>
  <c r="Q168" i="6"/>
  <c r="Q13" i="6"/>
  <c r="AI161" i="9"/>
  <c r="AH193" i="9"/>
  <c r="AH26" i="17"/>
  <c r="AH32" i="17"/>
  <c r="AH87" i="17" s="1"/>
  <c r="AH89" i="17" s="1"/>
  <c r="AQ121" i="6"/>
  <c r="Y196" i="9"/>
  <c r="Z148" i="9"/>
  <c r="AW80" i="11"/>
  <c r="AW66" i="8"/>
  <c r="AV63" i="11"/>
  <c r="AV64" i="11"/>
  <c r="AV190" i="9"/>
  <c r="AW158" i="9"/>
  <c r="AW174" i="9" s="1"/>
  <c r="AG47" i="17"/>
  <c r="AG48" i="17"/>
  <c r="AP140" i="9"/>
  <c r="AO156" i="9"/>
  <c r="AO172" i="9" s="1"/>
  <c r="AO188" i="9" s="1"/>
  <c r="AH88" i="17"/>
  <c r="AH37" i="17"/>
  <c r="AH43" i="17" s="1"/>
  <c r="AH45" i="17" s="1"/>
  <c r="AH59" i="11"/>
  <c r="AH50" i="12" s="1"/>
  <c r="AH14" i="17"/>
  <c r="AI56" i="11"/>
  <c r="AI57" i="11"/>
  <c r="AK141" i="9"/>
  <c r="AJ55" i="11"/>
  <c r="AJ157" i="9"/>
  <c r="AJ173" i="9" s="1"/>
  <c r="AJ189" i="9" s="1"/>
  <c r="AV191" i="9"/>
  <c r="AW159" i="9"/>
  <c r="AW175" i="9" s="1"/>
  <c r="BB84" i="17"/>
  <c r="BB86" i="17" s="1"/>
  <c r="BB74" i="10"/>
  <c r="BB77" i="10"/>
  <c r="BB82" i="10"/>
  <c r="BB85" i="10" s="1"/>
  <c r="AV162" i="9"/>
  <c r="AV178" i="9" s="1"/>
  <c r="AV194" i="9" s="1"/>
  <c r="AW146" i="9"/>
  <c r="AV165" i="9"/>
  <c r="AV181" i="9" s="1"/>
  <c r="AV197" i="9" s="1"/>
  <c r="AW149" i="9"/>
  <c r="AV75" i="8"/>
  <c r="AV57" i="10" s="1"/>
  <c r="AV27" i="11"/>
  <c r="AV28" i="11" s="1"/>
  <c r="AV30" i="11" s="1"/>
  <c r="AV16" i="17" s="1"/>
  <c r="AW73" i="8"/>
  <c r="AW74" i="8" s="1"/>
  <c r="AW13" i="11"/>
  <c r="AW13" i="17" s="1"/>
  <c r="BG49" i="10"/>
  <c r="BC52" i="17"/>
  <c r="BC128" i="10"/>
  <c r="BC74" i="10"/>
  <c r="BC84" i="17"/>
  <c r="BC86" i="17" s="1"/>
  <c r="BC77" i="10"/>
  <c r="BC82" i="10"/>
  <c r="BC85" i="10" s="1"/>
  <c r="AV11" i="17"/>
  <c r="BC127" i="10"/>
  <c r="BC51" i="17"/>
  <c r="AV12" i="17"/>
  <c r="AV15" i="17"/>
  <c r="R97" i="17"/>
  <c r="R67" i="17"/>
  <c r="S57" i="17"/>
  <c r="S56" i="17"/>
  <c r="S55" i="17"/>
  <c r="BC50" i="17"/>
  <c r="BC126" i="10"/>
  <c r="BD126" i="10"/>
  <c r="BD50" i="17"/>
  <c r="BD123" i="10"/>
  <c r="BD41" i="17"/>
  <c r="BI16" i="7"/>
  <c r="BH28" i="12"/>
  <c r="BH8" i="13"/>
  <c r="BG93" i="6"/>
  <c r="AT96" i="10"/>
  <c r="AT101" i="10" s="1"/>
  <c r="AT36" i="17"/>
  <c r="AT42" i="17" s="1"/>
  <c r="AV98" i="10"/>
  <c r="AV31" i="17"/>
  <c r="AV99" i="10"/>
  <c r="AV38" i="17"/>
  <c r="AV44" i="17" s="1"/>
  <c r="BF106" i="10"/>
  <c r="BF62" i="10"/>
  <c r="BF65" i="10"/>
  <c r="BF107" i="10" s="1"/>
  <c r="BF20" i="11"/>
  <c r="BF23" i="11" s="1"/>
  <c r="BF63" i="10"/>
  <c r="BF66" i="10"/>
  <c r="BF26" i="11"/>
  <c r="BF105" i="10"/>
  <c r="BF64" i="10"/>
  <c r="BF17" i="11"/>
  <c r="BF54" i="10"/>
  <c r="BF56" i="10" s="1"/>
  <c r="BD122" i="10"/>
  <c r="BD119" i="10"/>
  <c r="BD124" i="10" s="1"/>
  <c r="BE71" i="10"/>
  <c r="BE117" i="10"/>
  <c r="BE121" i="10"/>
  <c r="BE83" i="10"/>
  <c r="BE118" i="10"/>
  <c r="BE41" i="17" s="1"/>
  <c r="AW93" i="10"/>
  <c r="BH34" i="7"/>
  <c r="BH29" i="10" s="1"/>
  <c r="BH30" i="10" s="1"/>
  <c r="BH17" i="7"/>
  <c r="BH27" i="6" s="1"/>
  <c r="BE67" i="10"/>
  <c r="BE68" i="10" s="1"/>
  <c r="BE80" i="10"/>
  <c r="BD73" i="10"/>
  <c r="BD84" i="17" s="1"/>
  <c r="BD75" i="10"/>
  <c r="BD81" i="10" s="1"/>
  <c r="AR165" i="6"/>
  <c r="AR143" i="6"/>
  <c r="AR8" i="6"/>
  <c r="AR122" i="6"/>
  <c r="AR176" i="6"/>
  <c r="AR157" i="6"/>
  <c r="AR126" i="6"/>
  <c r="AS9" i="6"/>
  <c r="AS51" i="12"/>
  <c r="AS41" i="6" s="1"/>
  <c r="AS45" i="12"/>
  <c r="AS39" i="6" s="1"/>
  <c r="AS69" i="11"/>
  <c r="AS70" i="11" s="1"/>
  <c r="AS89" i="11" s="1"/>
  <c r="AS15" i="6" s="1"/>
  <c r="AS79" i="11"/>
  <c r="AS108" i="10"/>
  <c r="AH195" i="9"/>
  <c r="AI163" i="9"/>
  <c r="AW40" i="14"/>
  <c r="AV62" i="8"/>
  <c r="AV89" i="10" s="1"/>
  <c r="AW64" i="14"/>
  <c r="AW77" i="11" s="1"/>
  <c r="AW46" i="14"/>
  <c r="AW63" i="8" s="1"/>
  <c r="AW90" i="10" s="1"/>
  <c r="AW97" i="10" s="1"/>
  <c r="AW47" i="14"/>
  <c r="AW64" i="8" s="1"/>
  <c r="AW91" i="10" s="1"/>
  <c r="AW48" i="14"/>
  <c r="AW49" i="14"/>
  <c r="AX63" i="14"/>
  <c r="AX62" i="14"/>
  <c r="AX61" i="14"/>
  <c r="AX60" i="14"/>
  <c r="AX59" i="14"/>
  <c r="AX58" i="14"/>
  <c r="AX57" i="14"/>
  <c r="AX56" i="14"/>
  <c r="AX55" i="14"/>
  <c r="AX54" i="14"/>
  <c r="AX53" i="14"/>
  <c r="AX52" i="14"/>
  <c r="AU65" i="11"/>
  <c r="AU17" i="17" s="1"/>
  <c r="AW5" i="13"/>
  <c r="AW5" i="14"/>
  <c r="AX36" i="14"/>
  <c r="AX35" i="14"/>
  <c r="AX34" i="14"/>
  <c r="AX33" i="14"/>
  <c r="AX32" i="14"/>
  <c r="AX31" i="14"/>
  <c r="AX30" i="14"/>
  <c r="AX29" i="14"/>
  <c r="AX39" i="14" s="1"/>
  <c r="AX28" i="14"/>
  <c r="AX27" i="14"/>
  <c r="AX26" i="14"/>
  <c r="AX25" i="14"/>
  <c r="S40" i="6"/>
  <c r="R53" i="12"/>
  <c r="R54" i="12" s="1"/>
  <c r="R37" i="12" s="1"/>
  <c r="R49" i="6"/>
  <c r="AW5" i="12"/>
  <c r="AW5" i="6"/>
  <c r="T53" i="10"/>
  <c r="AU52" i="11"/>
  <c r="AV51" i="11"/>
  <c r="AW60" i="8"/>
  <c r="AX59" i="8"/>
  <c r="AY22" i="7"/>
  <c r="AT145" i="9"/>
  <c r="AV160" i="9"/>
  <c r="AV176" i="9" s="1"/>
  <c r="AV192" i="9" s="1"/>
  <c r="AW144" i="9"/>
  <c r="AR187" i="9"/>
  <c r="AS171" i="9"/>
  <c r="AT155" i="9" s="1"/>
  <c r="AU139" i="9"/>
  <c r="AW68" i="11"/>
  <c r="AW10" i="11"/>
  <c r="AW22" i="17" s="1"/>
  <c r="AW9" i="11"/>
  <c r="AW10" i="17" s="1"/>
  <c r="AW11" i="11"/>
  <c r="AW12" i="11"/>
  <c r="AW65" i="8"/>
  <c r="AW92" i="10" s="1"/>
  <c r="AW34" i="11"/>
  <c r="AW35" i="11"/>
  <c r="AW36" i="11"/>
  <c r="AW37" i="11"/>
  <c r="AW38" i="11"/>
  <c r="AW39" i="11"/>
  <c r="AW23" i="17" s="1"/>
  <c r="AW40" i="11"/>
  <c r="AW41" i="11"/>
  <c r="AW42" i="11"/>
  <c r="AW43" i="11"/>
  <c r="AW44" i="11"/>
  <c r="AW45" i="11"/>
  <c r="AW46" i="11"/>
  <c r="AW47" i="11"/>
  <c r="AW48" i="11"/>
  <c r="AW49" i="11"/>
  <c r="AW29" i="11"/>
  <c r="AW58" i="11"/>
  <c r="AW75" i="11"/>
  <c r="AW76" i="11"/>
  <c r="AW74" i="11"/>
  <c r="AW73" i="11"/>
  <c r="AW18" i="11"/>
  <c r="AW19" i="11" s="1"/>
  <c r="AW24" i="17" s="1"/>
  <c r="AW21" i="11"/>
  <c r="AW22" i="11" s="1"/>
  <c r="AW24" i="11"/>
  <c r="AW25" i="11" s="1"/>
  <c r="AW62" i="11"/>
  <c r="AV50" i="11"/>
  <c r="AW5" i="11"/>
  <c r="AW5" i="10"/>
  <c r="AW5" i="9"/>
  <c r="AW55" i="8"/>
  <c r="AX58" i="8"/>
  <c r="AX57" i="8"/>
  <c r="AY147" i="9"/>
  <c r="AY143" i="9"/>
  <c r="AY142" i="9"/>
  <c r="AY11" i="7"/>
  <c r="AX12" i="7"/>
  <c r="AX5" i="17" s="1"/>
  <c r="AX13" i="7"/>
  <c r="AX27" i="10" s="1"/>
  <c r="R169" i="6" l="1"/>
  <c r="Q18" i="6"/>
  <c r="Q178" i="6"/>
  <c r="Q177" i="6"/>
  <c r="Q155" i="6"/>
  <c r="Q124" i="6"/>
  <c r="AI25" i="17"/>
  <c r="AI177" i="9"/>
  <c r="AR121" i="6"/>
  <c r="R98" i="17"/>
  <c r="R88" i="11"/>
  <c r="Z196" i="9"/>
  <c r="AA148" i="9"/>
  <c r="AX80" i="11"/>
  <c r="AX66" i="8"/>
  <c r="BH93" i="6"/>
  <c r="AW63" i="11"/>
  <c r="AW64" i="11"/>
  <c r="AW190" i="9"/>
  <c r="AX158" i="9"/>
  <c r="AX174" i="9" s="1"/>
  <c r="AG49" i="17"/>
  <c r="AP156" i="9"/>
  <c r="AP172" i="9" s="1"/>
  <c r="AP188" i="9" s="1"/>
  <c r="AQ140" i="9"/>
  <c r="AH48" i="17"/>
  <c r="AH46" i="17"/>
  <c r="AH47" i="17"/>
  <c r="AI14" i="17"/>
  <c r="AI59" i="11"/>
  <c r="AI50" i="12" s="1"/>
  <c r="AL141" i="9"/>
  <c r="AK55" i="11"/>
  <c r="AK157" i="9"/>
  <c r="AK173" i="9" s="1"/>
  <c r="AK189" i="9" s="1"/>
  <c r="AJ56" i="11"/>
  <c r="AJ57" i="11"/>
  <c r="BB98" i="11"/>
  <c r="BB102" i="11"/>
  <c r="AW191" i="9"/>
  <c r="AX159" i="9"/>
  <c r="AX175" i="9" s="1"/>
  <c r="BB106" i="11"/>
  <c r="BB103" i="11"/>
  <c r="BB105" i="11"/>
  <c r="BB104" i="11"/>
  <c r="AW75" i="8"/>
  <c r="AW57" i="10" s="1"/>
  <c r="AW27" i="11"/>
  <c r="AW28" i="11" s="1"/>
  <c r="AW30" i="11" s="1"/>
  <c r="AW16" i="17" s="1"/>
  <c r="AW162" i="9"/>
  <c r="AW178" i="9" s="1"/>
  <c r="AW194" i="9" s="1"/>
  <c r="AX146" i="9"/>
  <c r="AW165" i="9"/>
  <c r="AW181" i="9" s="1"/>
  <c r="AW197" i="9" s="1"/>
  <c r="AX149" i="9"/>
  <c r="AX73" i="8"/>
  <c r="AX74" i="8" s="1"/>
  <c r="AX13" i="11"/>
  <c r="AX13" i="17" s="1"/>
  <c r="BG64" i="10"/>
  <c r="BG20" i="11"/>
  <c r="BG23" i="11" s="1"/>
  <c r="BG54" i="10"/>
  <c r="BG56" i="10" s="1"/>
  <c r="BG63" i="10"/>
  <c r="BG66" i="10"/>
  <c r="BG62" i="10"/>
  <c r="BG65" i="10"/>
  <c r="BG107" i="10" s="1"/>
  <c r="BG17" i="11"/>
  <c r="BG26" i="11"/>
  <c r="BG106" i="10"/>
  <c r="BG105" i="10"/>
  <c r="BC103" i="11"/>
  <c r="BC106" i="11"/>
  <c r="BC105" i="11"/>
  <c r="BC104" i="11"/>
  <c r="BC102" i="11"/>
  <c r="BC98" i="11"/>
  <c r="AW12" i="17"/>
  <c r="AW11" i="17"/>
  <c r="AW15" i="17"/>
  <c r="BI34" i="7"/>
  <c r="BI29" i="10" s="1"/>
  <c r="BI30" i="10" s="1"/>
  <c r="BI8" i="13"/>
  <c r="BJ16" i="7"/>
  <c r="BI17" i="7"/>
  <c r="BI27" i="6" s="1"/>
  <c r="BI28" i="12"/>
  <c r="BD86" i="17"/>
  <c r="BD52" i="17"/>
  <c r="BD128" i="10"/>
  <c r="BF116" i="10"/>
  <c r="BF80" i="10"/>
  <c r="BD127" i="10"/>
  <c r="BD51" i="17"/>
  <c r="BE122" i="10"/>
  <c r="BE40" i="17"/>
  <c r="BE126" i="10"/>
  <c r="BE50" i="17"/>
  <c r="AU96" i="10"/>
  <c r="AU101" i="10" s="1"/>
  <c r="AU36" i="17"/>
  <c r="AU42" i="17" s="1"/>
  <c r="AW98" i="10"/>
  <c r="AW31" i="17"/>
  <c r="AW99" i="10"/>
  <c r="AW38" i="17"/>
  <c r="AW44" i="17" s="1"/>
  <c r="AS143" i="6"/>
  <c r="BF71" i="10"/>
  <c r="BF72" i="10" s="1"/>
  <c r="BF117" i="10"/>
  <c r="BF40" i="17" s="1"/>
  <c r="BF67" i="10"/>
  <c r="BF68" i="10" s="1"/>
  <c r="BF83" i="10"/>
  <c r="BF118" i="10"/>
  <c r="BH48" i="10"/>
  <c r="BH47" i="10"/>
  <c r="BH46" i="10"/>
  <c r="BH45" i="10"/>
  <c r="BH44" i="10"/>
  <c r="BH43" i="10"/>
  <c r="BH42" i="10"/>
  <c r="BH41" i="10"/>
  <c r="BH40" i="10"/>
  <c r="BH34" i="10"/>
  <c r="BE72" i="10"/>
  <c r="BE75" i="10" s="1"/>
  <c r="BE81" i="10" s="1"/>
  <c r="BH39" i="10"/>
  <c r="BH38" i="10"/>
  <c r="BH37" i="10"/>
  <c r="BH36" i="10"/>
  <c r="BH35" i="10"/>
  <c r="BH33" i="10"/>
  <c r="BE123" i="10"/>
  <c r="BE119" i="10"/>
  <c r="BE124" i="10" s="1"/>
  <c r="AX93" i="10"/>
  <c r="BD74" i="10"/>
  <c r="BD82" i="10"/>
  <c r="BD85" i="10" s="1"/>
  <c r="BD77" i="10"/>
  <c r="AT9" i="6"/>
  <c r="AT51" i="12"/>
  <c r="AT41" i="6" s="1"/>
  <c r="AT45" i="12"/>
  <c r="AT39" i="6" s="1"/>
  <c r="AT69" i="11"/>
  <c r="AT70" i="11" s="1"/>
  <c r="AT89" i="11" s="1"/>
  <c r="AT15" i="6" s="1"/>
  <c r="AT79" i="11"/>
  <c r="AT108" i="10"/>
  <c r="AX40" i="14"/>
  <c r="AS8" i="6"/>
  <c r="AS176" i="6"/>
  <c r="AS165" i="6"/>
  <c r="AS122" i="6"/>
  <c r="AS157" i="6"/>
  <c r="AS126" i="6"/>
  <c r="AW62" i="8"/>
  <c r="AW89" i="10" s="1"/>
  <c r="AI179" i="9"/>
  <c r="AX64" i="14"/>
  <c r="AX77" i="11" s="1"/>
  <c r="AX46" i="14"/>
  <c r="AX63" i="8" s="1"/>
  <c r="AX90" i="10" s="1"/>
  <c r="AX97" i="10" s="1"/>
  <c r="AX48" i="14"/>
  <c r="AX49" i="14"/>
  <c r="AX47" i="14"/>
  <c r="AX64" i="8" s="1"/>
  <c r="AX91" i="10" s="1"/>
  <c r="AY63" i="14"/>
  <c r="AY62" i="14"/>
  <c r="AY61" i="14"/>
  <c r="AY60" i="14"/>
  <c r="AY59" i="14"/>
  <c r="AY58" i="14"/>
  <c r="AY57" i="14"/>
  <c r="AY56" i="14"/>
  <c r="AY55" i="14"/>
  <c r="AY54" i="14"/>
  <c r="AY53" i="14"/>
  <c r="AY52" i="14"/>
  <c r="AY36" i="14"/>
  <c r="AY35" i="14"/>
  <c r="AY34" i="14"/>
  <c r="AY33" i="14"/>
  <c r="AY32" i="14"/>
  <c r="AY31" i="14"/>
  <c r="AY30" i="14"/>
  <c r="AY29" i="14"/>
  <c r="AY39" i="14" s="1"/>
  <c r="AY28" i="14"/>
  <c r="AY27" i="14"/>
  <c r="AY26" i="14"/>
  <c r="AY25" i="14"/>
  <c r="AX5" i="13"/>
  <c r="AX5" i="14"/>
  <c r="R71" i="6"/>
  <c r="R103" i="6"/>
  <c r="AX5" i="12"/>
  <c r="AX5" i="6"/>
  <c r="AV52" i="11"/>
  <c r="T59" i="10"/>
  <c r="T8" i="11" s="1"/>
  <c r="T9" i="17" s="1"/>
  <c r="T55" i="10"/>
  <c r="AV65" i="11"/>
  <c r="AV17" i="17" s="1"/>
  <c r="AX60" i="8"/>
  <c r="AY59" i="8"/>
  <c r="AZ22" i="7"/>
  <c r="AU145" i="9"/>
  <c r="AW160" i="9"/>
  <c r="AW176" i="9" s="1"/>
  <c r="AW192" i="9" s="1"/>
  <c r="AX144" i="9"/>
  <c r="AT171" i="9"/>
  <c r="AU155" i="9" s="1"/>
  <c r="AS187" i="9"/>
  <c r="AV139" i="9"/>
  <c r="AX68" i="11"/>
  <c r="AX10" i="11"/>
  <c r="AX22" i="17" s="1"/>
  <c r="AX9" i="11"/>
  <c r="AX10" i="17" s="1"/>
  <c r="AX11" i="11"/>
  <c r="AX12" i="11"/>
  <c r="AX65" i="8"/>
  <c r="AX92" i="10" s="1"/>
  <c r="AX34" i="11"/>
  <c r="AX35" i="11"/>
  <c r="AX36" i="11"/>
  <c r="AX37" i="11"/>
  <c r="AX38" i="11"/>
  <c r="AX39" i="11"/>
  <c r="AX23" i="17" s="1"/>
  <c r="AX40" i="11"/>
  <c r="AX41" i="11"/>
  <c r="AX42" i="11"/>
  <c r="AX43" i="11"/>
  <c r="AX44" i="11"/>
  <c r="AX45" i="11"/>
  <c r="AX46" i="11"/>
  <c r="AX47" i="11"/>
  <c r="AX48" i="11"/>
  <c r="AX49" i="11"/>
  <c r="AX29" i="11"/>
  <c r="AX58" i="11"/>
  <c r="AX75" i="11"/>
  <c r="AX76" i="11"/>
  <c r="AX74" i="11"/>
  <c r="AX73" i="11"/>
  <c r="AX18" i="11"/>
  <c r="AX19" i="11" s="1"/>
  <c r="AX24" i="17" s="1"/>
  <c r="AX21" i="11"/>
  <c r="AX22" i="11" s="1"/>
  <c r="AX24" i="11"/>
  <c r="AX25" i="11" s="1"/>
  <c r="AX62" i="11"/>
  <c r="AW50" i="11"/>
  <c r="AW51" i="11"/>
  <c r="AY58" i="8"/>
  <c r="AY57" i="8"/>
  <c r="AX5" i="11"/>
  <c r="AX5" i="10"/>
  <c r="AX5" i="9"/>
  <c r="AX55" i="8"/>
  <c r="AZ147" i="9"/>
  <c r="AZ143" i="9"/>
  <c r="AZ142" i="9"/>
  <c r="AZ11" i="7"/>
  <c r="AY12" i="7"/>
  <c r="AY5" i="17" s="1"/>
  <c r="AY13" i="7"/>
  <c r="AY27" i="10" s="1"/>
  <c r="AI32" i="17" l="1"/>
  <c r="AI87" i="17" s="1"/>
  <c r="AI26" i="17"/>
  <c r="Q24" i="6"/>
  <c r="Q129" i="6"/>
  <c r="AI193" i="9"/>
  <c r="AJ161" i="9"/>
  <c r="R87" i="11"/>
  <c r="R11" i="6" s="1"/>
  <c r="R12" i="6"/>
  <c r="AS121" i="6"/>
  <c r="AA196" i="9"/>
  <c r="AB148" i="9"/>
  <c r="AY80" i="11"/>
  <c r="AY66" i="8"/>
  <c r="BI93" i="6"/>
  <c r="AX63" i="11"/>
  <c r="AX64" i="11"/>
  <c r="AX190" i="9"/>
  <c r="AY158" i="9"/>
  <c r="AY174" i="9" s="1"/>
  <c r="AR140" i="9"/>
  <c r="AQ156" i="9"/>
  <c r="AQ172" i="9" s="1"/>
  <c r="AQ188" i="9" s="1"/>
  <c r="AH49" i="17"/>
  <c r="AI37" i="17"/>
  <c r="AI43" i="17" s="1"/>
  <c r="AI45" i="17" s="1"/>
  <c r="AJ25" i="17"/>
  <c r="AJ177" i="9"/>
  <c r="AJ193" i="9" s="1"/>
  <c r="AL55" i="11"/>
  <c r="AM141" i="9"/>
  <c r="AL157" i="9"/>
  <c r="AL173" i="9" s="1"/>
  <c r="AL189" i="9" s="1"/>
  <c r="AK56" i="11"/>
  <c r="AK57" i="11"/>
  <c r="AJ14" i="17"/>
  <c r="AJ59" i="11"/>
  <c r="AJ50" i="12" s="1"/>
  <c r="AX191" i="9"/>
  <c r="AY159" i="9"/>
  <c r="AY175" i="9" s="1"/>
  <c r="AX75" i="8"/>
  <c r="AX57" i="10" s="1"/>
  <c r="AX27" i="11"/>
  <c r="AX28" i="11" s="1"/>
  <c r="AX30" i="11" s="1"/>
  <c r="AX16" i="17" s="1"/>
  <c r="AX162" i="9"/>
  <c r="AX178" i="9" s="1"/>
  <c r="AX194" i="9" s="1"/>
  <c r="AY146" i="9"/>
  <c r="AX165" i="9"/>
  <c r="AX181" i="9" s="1"/>
  <c r="AX197" i="9" s="1"/>
  <c r="AY149" i="9"/>
  <c r="AY73" i="8"/>
  <c r="AY74" i="8" s="1"/>
  <c r="AY13" i="11"/>
  <c r="AY13" i="17" s="1"/>
  <c r="BG83" i="10"/>
  <c r="BG118" i="10"/>
  <c r="BG71" i="10"/>
  <c r="BG72" i="10" s="1"/>
  <c r="BG117" i="10"/>
  <c r="BG116" i="10"/>
  <c r="BG67" i="10"/>
  <c r="BG68" i="10" s="1"/>
  <c r="BG80" i="10"/>
  <c r="BJ34" i="7"/>
  <c r="BJ29" i="10" s="1"/>
  <c r="BJ30" i="10" s="1"/>
  <c r="BJ17" i="7"/>
  <c r="BJ27" i="6" s="1"/>
  <c r="BJ28" i="12"/>
  <c r="BJ8" i="13"/>
  <c r="BK16" i="7"/>
  <c r="BI48" i="10"/>
  <c r="BI46" i="10"/>
  <c r="BI44" i="10"/>
  <c r="BI42" i="10"/>
  <c r="BI40" i="10"/>
  <c r="BI38" i="10"/>
  <c r="BI36" i="10"/>
  <c r="BI33" i="10"/>
  <c r="BI47" i="10"/>
  <c r="BI45" i="10"/>
  <c r="BI43" i="10"/>
  <c r="BI41" i="10"/>
  <c r="BI39" i="10"/>
  <c r="BI37" i="10"/>
  <c r="BI35" i="10"/>
  <c r="BI34" i="10"/>
  <c r="BE73" i="10"/>
  <c r="BE74" i="10" s="1"/>
  <c r="AX12" i="17"/>
  <c r="AX11" i="17"/>
  <c r="AX15" i="17"/>
  <c r="BF39" i="17"/>
  <c r="BF121" i="10"/>
  <c r="BE51" i="17"/>
  <c r="BE127" i="10"/>
  <c r="BH49" i="10"/>
  <c r="BF75" i="10"/>
  <c r="BF81" i="10" s="1"/>
  <c r="BF73" i="10"/>
  <c r="BF123" i="10"/>
  <c r="BF41" i="17"/>
  <c r="BE128" i="10"/>
  <c r="BE52" i="17"/>
  <c r="AV96" i="10"/>
  <c r="AV101" i="10" s="1"/>
  <c r="AV36" i="17"/>
  <c r="AV42" i="17" s="1"/>
  <c r="AX98" i="10"/>
  <c r="T29" i="17"/>
  <c r="AX31" i="17"/>
  <c r="AX99" i="10"/>
  <c r="AX38" i="17"/>
  <c r="AX44" i="17" s="1"/>
  <c r="BF122" i="10"/>
  <c r="BF119" i="10"/>
  <c r="BF124" i="10" s="1"/>
  <c r="AT8" i="6"/>
  <c r="AT176" i="6"/>
  <c r="AT122" i="6"/>
  <c r="AY93" i="10"/>
  <c r="BD98" i="11"/>
  <c r="BD106" i="11"/>
  <c r="BD103" i="11"/>
  <c r="BD105" i="11"/>
  <c r="BD102" i="11"/>
  <c r="BD104" i="11"/>
  <c r="AT157" i="6"/>
  <c r="AT126" i="6"/>
  <c r="AT165" i="6"/>
  <c r="AT143" i="6"/>
  <c r="AU9" i="6"/>
  <c r="AU51" i="12"/>
  <c r="AU41" i="6" s="1"/>
  <c r="AU45" i="12"/>
  <c r="AU39" i="6" s="1"/>
  <c r="AU69" i="11"/>
  <c r="AU70" i="11" s="1"/>
  <c r="AU89" i="11" s="1"/>
  <c r="AU15" i="6" s="1"/>
  <c r="AU79" i="11"/>
  <c r="AU108" i="10"/>
  <c r="AX62" i="8"/>
  <c r="AX89" i="10" s="1"/>
  <c r="AJ163" i="9"/>
  <c r="AI195" i="9"/>
  <c r="AY64" i="14"/>
  <c r="AY77" i="11" s="1"/>
  <c r="AY40" i="14"/>
  <c r="AY49" i="14"/>
  <c r="AY48" i="14"/>
  <c r="AY46" i="14"/>
  <c r="AY63" i="8" s="1"/>
  <c r="AY90" i="10" s="1"/>
  <c r="AY97" i="10" s="1"/>
  <c r="AY47" i="14"/>
  <c r="AY64" i="8" s="1"/>
  <c r="AY91" i="10" s="1"/>
  <c r="AZ63" i="14"/>
  <c r="AZ62" i="14"/>
  <c r="AZ61" i="14"/>
  <c r="AZ60" i="14"/>
  <c r="AZ59" i="14"/>
  <c r="AZ58" i="14"/>
  <c r="AZ57" i="14"/>
  <c r="AZ56" i="14"/>
  <c r="AZ55" i="14"/>
  <c r="AZ54" i="14"/>
  <c r="AZ53" i="14"/>
  <c r="AZ52" i="14"/>
  <c r="AZ36" i="14"/>
  <c r="AZ35" i="14"/>
  <c r="AZ34" i="14"/>
  <c r="AZ33" i="14"/>
  <c r="AZ32" i="14"/>
  <c r="AZ31" i="14"/>
  <c r="AZ30" i="14"/>
  <c r="AZ29" i="14"/>
  <c r="AZ39" i="14" s="1"/>
  <c r="AZ28" i="14"/>
  <c r="AZ27" i="14"/>
  <c r="AZ26" i="14"/>
  <c r="AZ25" i="14"/>
  <c r="AY5" i="13"/>
  <c r="AY5" i="14"/>
  <c r="AY5" i="12"/>
  <c r="AY5" i="6"/>
  <c r="T14" i="11"/>
  <c r="T84" i="11" s="1"/>
  <c r="T49" i="12" s="1"/>
  <c r="T46" i="12"/>
  <c r="U52" i="10"/>
  <c r="T48" i="12"/>
  <c r="AZ59" i="8"/>
  <c r="BA22" i="7"/>
  <c r="AV145" i="9"/>
  <c r="AX160" i="9"/>
  <c r="AX176" i="9" s="1"/>
  <c r="AX192" i="9" s="1"/>
  <c r="AY144" i="9"/>
  <c r="AT187" i="9"/>
  <c r="AU171" i="9"/>
  <c r="AV155" i="9" s="1"/>
  <c r="AW139" i="9"/>
  <c r="AY68" i="11"/>
  <c r="AY10" i="11"/>
  <c r="AY22" i="17" s="1"/>
  <c r="AY9" i="11"/>
  <c r="AY10" i="17" s="1"/>
  <c r="AY11" i="11"/>
  <c r="AY12" i="11"/>
  <c r="AY65" i="8"/>
  <c r="AY92" i="10" s="1"/>
  <c r="AY34" i="11"/>
  <c r="AY35" i="11"/>
  <c r="AY36" i="11"/>
  <c r="AY37" i="11"/>
  <c r="AY38" i="11"/>
  <c r="AY39" i="11"/>
  <c r="AY23" i="17" s="1"/>
  <c r="AY40" i="11"/>
  <c r="AY41" i="11"/>
  <c r="AY42" i="11"/>
  <c r="AY43" i="11"/>
  <c r="AY44" i="11"/>
  <c r="AY45" i="11"/>
  <c r="AY46" i="11"/>
  <c r="AY47" i="11"/>
  <c r="AY48" i="11"/>
  <c r="AY49" i="11"/>
  <c r="AY29" i="11"/>
  <c r="AY76" i="11"/>
  <c r="AY75" i="11"/>
  <c r="AY74" i="11"/>
  <c r="AY58" i="11"/>
  <c r="AY73" i="11"/>
  <c r="AY18" i="11"/>
  <c r="AY19" i="11" s="1"/>
  <c r="AY24" i="17" s="1"/>
  <c r="AY21" i="11"/>
  <c r="AY22" i="11" s="1"/>
  <c r="AY24" i="11"/>
  <c r="AY25" i="11" s="1"/>
  <c r="AY62" i="11"/>
  <c r="AW65" i="11"/>
  <c r="AW17" i="17" s="1"/>
  <c r="AX50" i="11"/>
  <c r="AX51" i="11"/>
  <c r="AW52" i="11"/>
  <c r="AY60" i="8"/>
  <c r="AZ58" i="8"/>
  <c r="AZ57" i="8"/>
  <c r="AY5" i="11"/>
  <c r="AY5" i="10"/>
  <c r="AY5" i="9"/>
  <c r="AY55" i="8"/>
  <c r="BA147" i="9"/>
  <c r="BA143" i="9"/>
  <c r="BA142" i="9"/>
  <c r="AZ13" i="7"/>
  <c r="AZ27" i="10" s="1"/>
  <c r="AZ12" i="7"/>
  <c r="AZ5" i="17" s="1"/>
  <c r="BA11" i="7"/>
  <c r="AI89" i="17" l="1"/>
  <c r="AI88" i="17"/>
  <c r="Q135" i="6"/>
  <c r="Q179" i="6"/>
  <c r="Q180" i="6"/>
  <c r="Q35" i="12"/>
  <c r="R123" i="6"/>
  <c r="R168" i="6"/>
  <c r="R156" i="6"/>
  <c r="R13" i="6"/>
  <c r="AT121" i="6"/>
  <c r="AB164" i="9"/>
  <c r="AC148" i="9"/>
  <c r="AZ80" i="11"/>
  <c r="AZ66" i="8"/>
  <c r="AY63" i="11"/>
  <c r="AY64" i="11"/>
  <c r="AY190" i="9"/>
  <c r="AZ158" i="9"/>
  <c r="AZ174" i="9" s="1"/>
  <c r="AR156" i="9"/>
  <c r="AR172" i="9" s="1"/>
  <c r="AR188" i="9" s="1"/>
  <c r="AS140" i="9"/>
  <c r="AJ32" i="17"/>
  <c r="AJ87" i="17" s="1"/>
  <c r="AJ89" i="17" s="1"/>
  <c r="AJ26" i="17"/>
  <c r="AI48" i="17"/>
  <c r="AI47" i="17"/>
  <c r="AI46" i="17"/>
  <c r="AK161" i="9"/>
  <c r="AJ37" i="17"/>
  <c r="AJ43" i="17" s="1"/>
  <c r="AJ45" i="17" s="1"/>
  <c r="AL56" i="11"/>
  <c r="AL57" i="11"/>
  <c r="AN141" i="9"/>
  <c r="AM55" i="11"/>
  <c r="AM157" i="9"/>
  <c r="AM173" i="9" s="1"/>
  <c r="AM189" i="9" s="1"/>
  <c r="AK14" i="17"/>
  <c r="AK59" i="11"/>
  <c r="AK50" i="12" s="1"/>
  <c r="AY191" i="9"/>
  <c r="AZ159" i="9"/>
  <c r="AZ175" i="9" s="1"/>
  <c r="AY162" i="9"/>
  <c r="AY178" i="9" s="1"/>
  <c r="AY194" i="9" s="1"/>
  <c r="AZ146" i="9"/>
  <c r="AY75" i="8"/>
  <c r="AY57" i="10" s="1"/>
  <c r="AY27" i="11"/>
  <c r="AY28" i="11" s="1"/>
  <c r="AY30" i="11" s="1"/>
  <c r="AY16" i="17" s="1"/>
  <c r="AZ149" i="9"/>
  <c r="AY165" i="9"/>
  <c r="AY181" i="9" s="1"/>
  <c r="AY197" i="9" s="1"/>
  <c r="AZ73" i="8"/>
  <c r="AZ74" i="8" s="1"/>
  <c r="AZ13" i="11"/>
  <c r="AZ13" i="17" s="1"/>
  <c r="BG75" i="10"/>
  <c r="BG81" i="10" s="1"/>
  <c r="BG73" i="10"/>
  <c r="BG123" i="10"/>
  <c r="BG41" i="17"/>
  <c r="BG119" i="10"/>
  <c r="BG124" i="10" s="1"/>
  <c r="BG122" i="10"/>
  <c r="BG40" i="17"/>
  <c r="BG121" i="10"/>
  <c r="BG39" i="17"/>
  <c r="AU143" i="6"/>
  <c r="BJ35" i="10"/>
  <c r="BJ33" i="10"/>
  <c r="BJ42" i="10"/>
  <c r="BJ36" i="10"/>
  <c r="BJ93" i="6"/>
  <c r="BJ44" i="10"/>
  <c r="BJ43" i="10"/>
  <c r="BJ41" i="10"/>
  <c r="BJ37" i="10"/>
  <c r="BJ40" i="10"/>
  <c r="BJ34" i="10"/>
  <c r="BJ46" i="10"/>
  <c r="BJ38" i="10"/>
  <c r="BJ48" i="10"/>
  <c r="BJ39" i="10"/>
  <c r="BJ47" i="10"/>
  <c r="BJ45" i="10"/>
  <c r="BK34" i="7"/>
  <c r="BK29" i="10" s="1"/>
  <c r="BK30" i="10" s="1"/>
  <c r="BK8" i="13"/>
  <c r="BL16" i="7"/>
  <c r="BK17" i="7"/>
  <c r="BK27" i="6" s="1"/>
  <c r="BK28" i="12"/>
  <c r="BE82" i="10"/>
  <c r="BE85" i="10" s="1"/>
  <c r="BE77" i="10"/>
  <c r="BE84" i="17"/>
  <c r="BE86" i="17" s="1"/>
  <c r="BI49" i="10"/>
  <c r="AY12" i="17"/>
  <c r="AY11" i="17"/>
  <c r="AY15" i="17"/>
  <c r="BH63" i="10"/>
  <c r="BH66" i="10"/>
  <c r="BH26" i="11"/>
  <c r="BH62" i="10"/>
  <c r="BH64" i="10"/>
  <c r="BH65" i="10"/>
  <c r="BH107" i="10" s="1"/>
  <c r="BH17" i="11"/>
  <c r="BH20" i="11"/>
  <c r="BH23" i="11" s="1"/>
  <c r="BH54" i="10"/>
  <c r="BH56" i="10" s="1"/>
  <c r="BH105" i="10"/>
  <c r="BH106" i="10"/>
  <c r="BF74" i="10"/>
  <c r="BF77" i="10"/>
  <c r="BF84" i="17"/>
  <c r="BF82" i="10"/>
  <c r="BF85" i="10" s="1"/>
  <c r="T57" i="17"/>
  <c r="T56" i="17"/>
  <c r="T55" i="17"/>
  <c r="BF50" i="17"/>
  <c r="BF126" i="10"/>
  <c r="BF52" i="17"/>
  <c r="BF128" i="10"/>
  <c r="BF127" i="10"/>
  <c r="BF51" i="17"/>
  <c r="AW96" i="10"/>
  <c r="AW101" i="10" s="1"/>
  <c r="AW36" i="17"/>
  <c r="AW42" i="17" s="1"/>
  <c r="AY98" i="10"/>
  <c r="AY31" i="17"/>
  <c r="AY99" i="10"/>
  <c r="AY38" i="17"/>
  <c r="AY44" i="17" s="1"/>
  <c r="AZ93" i="10"/>
  <c r="AU122" i="6"/>
  <c r="AU8" i="6"/>
  <c r="AU176" i="6"/>
  <c r="AU165" i="6"/>
  <c r="AU157" i="6"/>
  <c r="AU126" i="6"/>
  <c r="AV9" i="6"/>
  <c r="AV108" i="10"/>
  <c r="AV69" i="11"/>
  <c r="AV70" i="11" s="1"/>
  <c r="AV89" i="11" s="1"/>
  <c r="AV15" i="6" s="1"/>
  <c r="AV79" i="11"/>
  <c r="AV45" i="12"/>
  <c r="AV39" i="6" s="1"/>
  <c r="AV51" i="12"/>
  <c r="AV41" i="6" s="1"/>
  <c r="AZ40" i="14"/>
  <c r="AJ179" i="9"/>
  <c r="AY62" i="8"/>
  <c r="AY89" i="10" s="1"/>
  <c r="AZ64" i="14"/>
  <c r="AZ77" i="11" s="1"/>
  <c r="AZ48" i="14"/>
  <c r="AZ47" i="14"/>
  <c r="AZ64" i="8" s="1"/>
  <c r="AZ91" i="10" s="1"/>
  <c r="AZ49" i="14"/>
  <c r="AZ46" i="14"/>
  <c r="AZ63" i="8" s="1"/>
  <c r="AZ90" i="10" s="1"/>
  <c r="AZ97" i="10" s="1"/>
  <c r="BA63" i="14"/>
  <c r="BA62" i="14"/>
  <c r="BA61" i="14"/>
  <c r="BA60" i="14"/>
  <c r="BA59" i="14"/>
  <c r="BA58" i="14"/>
  <c r="BA57" i="14"/>
  <c r="BA56" i="14"/>
  <c r="BA55" i="14"/>
  <c r="BA54" i="14"/>
  <c r="BA53" i="14"/>
  <c r="BA52" i="14"/>
  <c r="AZ5" i="13"/>
  <c r="AZ5" i="14"/>
  <c r="BA36" i="14"/>
  <c r="BA35" i="14"/>
  <c r="BA34" i="14"/>
  <c r="BA33" i="14"/>
  <c r="BA32" i="14"/>
  <c r="BA31" i="14"/>
  <c r="BA30" i="14"/>
  <c r="BA29" i="14"/>
  <c r="BA39" i="14" s="1"/>
  <c r="BA28" i="14"/>
  <c r="BA27" i="14"/>
  <c r="BA26" i="14"/>
  <c r="BA25" i="14"/>
  <c r="T40" i="6"/>
  <c r="AZ5" i="12"/>
  <c r="AZ5" i="6"/>
  <c r="U53" i="10"/>
  <c r="BA59" i="8"/>
  <c r="BB22" i="7"/>
  <c r="AW145" i="9"/>
  <c r="AY160" i="9"/>
  <c r="AY176" i="9" s="1"/>
  <c r="AY192" i="9" s="1"/>
  <c r="AZ144" i="9"/>
  <c r="AU187" i="9"/>
  <c r="AV171" i="9"/>
  <c r="AW155" i="9" s="1"/>
  <c r="AX139" i="9"/>
  <c r="AZ68" i="11"/>
  <c r="AZ10" i="11"/>
  <c r="AZ22" i="17" s="1"/>
  <c r="AZ9" i="11"/>
  <c r="AZ10" i="17" s="1"/>
  <c r="AZ11" i="11"/>
  <c r="AZ12" i="11"/>
  <c r="AZ65" i="8"/>
  <c r="AZ92" i="10" s="1"/>
  <c r="AZ34" i="11"/>
  <c r="AZ35" i="11"/>
  <c r="AZ36" i="11"/>
  <c r="AZ37" i="11"/>
  <c r="AZ38" i="11"/>
  <c r="AZ39" i="11"/>
  <c r="AZ23" i="17" s="1"/>
  <c r="AZ40" i="11"/>
  <c r="AZ41" i="11"/>
  <c r="AZ42" i="11"/>
  <c r="AZ43" i="11"/>
  <c r="AZ44" i="11"/>
  <c r="AZ45" i="11"/>
  <c r="AZ46" i="11"/>
  <c r="AZ47" i="11"/>
  <c r="AZ48" i="11"/>
  <c r="AZ49" i="11"/>
  <c r="AZ29" i="11"/>
  <c r="AZ73" i="11"/>
  <c r="AZ58" i="11"/>
  <c r="AZ74" i="11"/>
  <c r="AZ76" i="11"/>
  <c r="AZ75" i="11"/>
  <c r="AZ18" i="11"/>
  <c r="AZ19" i="11" s="1"/>
  <c r="AZ24" i="17" s="1"/>
  <c r="AZ21" i="11"/>
  <c r="AZ22" i="11" s="1"/>
  <c r="AZ24" i="11"/>
  <c r="AZ25" i="11" s="1"/>
  <c r="AZ62" i="11"/>
  <c r="AX65" i="11"/>
  <c r="AX17" i="17" s="1"/>
  <c r="AY50" i="11"/>
  <c r="AY51" i="11"/>
  <c r="AX52" i="11"/>
  <c r="AZ60" i="8"/>
  <c r="AZ5" i="11"/>
  <c r="AZ5" i="10"/>
  <c r="AZ5" i="9"/>
  <c r="AZ55" i="8"/>
  <c r="BA58" i="8"/>
  <c r="BA57" i="8"/>
  <c r="BB147" i="9"/>
  <c r="BB143" i="9"/>
  <c r="BB142" i="9"/>
  <c r="BA12" i="7"/>
  <c r="BA5" i="17" s="1"/>
  <c r="BA13" i="7"/>
  <c r="BA27" i="10" s="1"/>
  <c r="BB11" i="7"/>
  <c r="AJ88" i="17" l="1"/>
  <c r="R18" i="6"/>
  <c r="R155" i="6"/>
  <c r="R124" i="6"/>
  <c r="R177" i="6"/>
  <c r="R178" i="6"/>
  <c r="AU121" i="6"/>
  <c r="AI49" i="17"/>
  <c r="AB91" i="11"/>
  <c r="AB17" i="6" s="1"/>
  <c r="AB128" i="6" s="1"/>
  <c r="AB180" i="9"/>
  <c r="AC164" i="9" s="1"/>
  <c r="AC91" i="11" s="1"/>
  <c r="AC17" i="6" s="1"/>
  <c r="AC128" i="6" s="1"/>
  <c r="AD148" i="9"/>
  <c r="BA80" i="11"/>
  <c r="BA66" i="8"/>
  <c r="AZ63" i="11"/>
  <c r="AZ64" i="11"/>
  <c r="AZ190" i="9"/>
  <c r="BA158" i="9"/>
  <c r="BA174" i="9" s="1"/>
  <c r="AJ47" i="17"/>
  <c r="AJ48" i="17"/>
  <c r="AJ46" i="17"/>
  <c r="AS156" i="9"/>
  <c r="AS172" i="9" s="1"/>
  <c r="AS188" i="9" s="1"/>
  <c r="AT140" i="9"/>
  <c r="AK25" i="17"/>
  <c r="AK177" i="9"/>
  <c r="AL14" i="17"/>
  <c r="AL59" i="11"/>
  <c r="AL50" i="12" s="1"/>
  <c r="AN55" i="11"/>
  <c r="AO141" i="9"/>
  <c r="AN157" i="9"/>
  <c r="AN173" i="9" s="1"/>
  <c r="AN189" i="9" s="1"/>
  <c r="AM56" i="11"/>
  <c r="AM57" i="11"/>
  <c r="AZ191" i="9"/>
  <c r="BA159" i="9"/>
  <c r="BA175" i="9" s="1"/>
  <c r="AZ162" i="9"/>
  <c r="AZ178" i="9" s="1"/>
  <c r="AZ194" i="9" s="1"/>
  <c r="BA146" i="9"/>
  <c r="AZ165" i="9"/>
  <c r="AZ181" i="9" s="1"/>
  <c r="AZ197" i="9" s="1"/>
  <c r="BA149" i="9"/>
  <c r="AZ27" i="11"/>
  <c r="AZ28" i="11" s="1"/>
  <c r="AZ30" i="11" s="1"/>
  <c r="AZ16" i="17" s="1"/>
  <c r="AZ75" i="8"/>
  <c r="AZ57" i="10" s="1"/>
  <c r="BA73" i="8"/>
  <c r="BA74" i="8" s="1"/>
  <c r="BA13" i="11"/>
  <c r="BA13" i="17" s="1"/>
  <c r="BG82" i="10"/>
  <c r="BG85" i="10" s="1"/>
  <c r="BG77" i="10"/>
  <c r="BG74" i="10"/>
  <c r="BG84" i="17"/>
  <c r="BG86" i="17" s="1"/>
  <c r="BG52" i="17"/>
  <c r="BG128" i="10"/>
  <c r="BG51" i="17"/>
  <c r="BG127" i="10"/>
  <c r="BG50" i="17"/>
  <c r="BG126" i="10"/>
  <c r="BJ49" i="10"/>
  <c r="BK38" i="10"/>
  <c r="BK45" i="10"/>
  <c r="BK34" i="10"/>
  <c r="BK42" i="10"/>
  <c r="BK48" i="10"/>
  <c r="BK39" i="10"/>
  <c r="BK47" i="10"/>
  <c r="BK44" i="10"/>
  <c r="BK40" i="10"/>
  <c r="BK35" i="10"/>
  <c r="BK33" i="10"/>
  <c r="BK41" i="10"/>
  <c r="BK46" i="10"/>
  <c r="BK37" i="10"/>
  <c r="BK36" i="10"/>
  <c r="BK43" i="10"/>
  <c r="BL34" i="7"/>
  <c r="BL29" i="10" s="1"/>
  <c r="BL30" i="10" s="1"/>
  <c r="BL17" i="7"/>
  <c r="BL27" i="6" s="1"/>
  <c r="BM16" i="7"/>
  <c r="BL8" i="13"/>
  <c r="BL28" i="12"/>
  <c r="BK93" i="6"/>
  <c r="BE103" i="11"/>
  <c r="BE102" i="11"/>
  <c r="BE104" i="11"/>
  <c r="BE105" i="11"/>
  <c r="BE106" i="11"/>
  <c r="BE98" i="11"/>
  <c r="BI106" i="10"/>
  <c r="BI62" i="10"/>
  <c r="BI65" i="10"/>
  <c r="BI107" i="10" s="1"/>
  <c r="BI63" i="10"/>
  <c r="BI66" i="10"/>
  <c r="BI20" i="11"/>
  <c r="BI23" i="11" s="1"/>
  <c r="BI26" i="11"/>
  <c r="BI54" i="10"/>
  <c r="BI56" i="10" s="1"/>
  <c r="BI105" i="10"/>
  <c r="BI64" i="10"/>
  <c r="BI17" i="11"/>
  <c r="BH117" i="10"/>
  <c r="BH71" i="10"/>
  <c r="BH118" i="10"/>
  <c r="BH83" i="10"/>
  <c r="BF86" i="17"/>
  <c r="AZ12" i="17"/>
  <c r="AZ11" i="17"/>
  <c r="AZ15" i="17"/>
  <c r="BH116" i="10"/>
  <c r="BH67" i="10"/>
  <c r="BH68" i="10" s="1"/>
  <c r="BH80" i="10"/>
  <c r="BF105" i="11"/>
  <c r="BF104" i="11"/>
  <c r="BF103" i="11"/>
  <c r="BF106" i="11"/>
  <c r="BF102" i="11"/>
  <c r="BF98" i="11"/>
  <c r="AX96" i="10"/>
  <c r="AX101" i="10" s="1"/>
  <c r="AX108" i="10" s="1"/>
  <c r="AX36" i="17"/>
  <c r="AX42" i="17" s="1"/>
  <c r="AZ98" i="10"/>
  <c r="AZ31" i="17"/>
  <c r="AZ99" i="10"/>
  <c r="AZ38" i="17"/>
  <c r="AZ44" i="17" s="1"/>
  <c r="AV176" i="6"/>
  <c r="AV8" i="6"/>
  <c r="BA93" i="10"/>
  <c r="AK163" i="9"/>
  <c r="AJ195" i="9"/>
  <c r="BA40" i="14"/>
  <c r="AV122" i="6"/>
  <c r="AV157" i="6"/>
  <c r="AV126" i="6"/>
  <c r="AV165" i="6"/>
  <c r="AV143" i="6"/>
  <c r="AW9" i="6"/>
  <c r="AW51" i="12"/>
  <c r="AW41" i="6" s="1"/>
  <c r="AW45" i="12"/>
  <c r="AW39" i="6" s="1"/>
  <c r="AW69" i="11"/>
  <c r="AW70" i="11" s="1"/>
  <c r="AW89" i="11" s="1"/>
  <c r="AW15" i="6" s="1"/>
  <c r="AW79" i="11"/>
  <c r="AW108" i="10"/>
  <c r="BA64" i="14"/>
  <c r="BA77" i="11" s="1"/>
  <c r="AZ62" i="8"/>
  <c r="AZ89" i="10" s="1"/>
  <c r="BA47" i="14"/>
  <c r="BA64" i="8" s="1"/>
  <c r="BA91" i="10" s="1"/>
  <c r="BA49" i="14"/>
  <c r="BA48" i="14"/>
  <c r="BA46" i="14"/>
  <c r="BA63" i="8" s="1"/>
  <c r="BA90" i="10" s="1"/>
  <c r="BA97" i="10" s="1"/>
  <c r="BB63" i="14"/>
  <c r="BB62" i="14"/>
  <c r="BB61" i="14"/>
  <c r="BB60" i="14"/>
  <c r="BB59" i="14"/>
  <c r="BB58" i="14"/>
  <c r="BB57" i="14"/>
  <c r="BB56" i="14"/>
  <c r="BB55" i="14"/>
  <c r="BB54" i="14"/>
  <c r="BB53" i="14"/>
  <c r="BB52" i="14"/>
  <c r="BA5" i="13"/>
  <c r="BA5" i="14"/>
  <c r="BB36" i="14"/>
  <c r="BB35" i="14"/>
  <c r="BB34" i="14"/>
  <c r="BB33" i="14"/>
  <c r="BB32" i="14"/>
  <c r="BB31" i="14"/>
  <c r="BB30" i="14"/>
  <c r="BB29" i="14"/>
  <c r="BB39" i="14" s="1"/>
  <c r="BB28" i="14"/>
  <c r="BB27" i="14"/>
  <c r="BB26" i="14"/>
  <c r="BB25" i="14"/>
  <c r="BA5" i="12"/>
  <c r="BA5" i="6"/>
  <c r="U59" i="10"/>
  <c r="U8" i="11" s="1"/>
  <c r="U9" i="17" s="1"/>
  <c r="U55" i="10"/>
  <c r="AY52" i="11"/>
  <c r="BB59" i="8"/>
  <c r="BC22" i="7"/>
  <c r="AX145" i="9"/>
  <c r="AZ160" i="9"/>
  <c r="AZ176" i="9" s="1"/>
  <c r="AZ192" i="9" s="1"/>
  <c r="BA144" i="9"/>
  <c r="AV187" i="9"/>
  <c r="AW171" i="9"/>
  <c r="AX155" i="9" s="1"/>
  <c r="AY139" i="9"/>
  <c r="BA68" i="11"/>
  <c r="BA10" i="11"/>
  <c r="BA22" i="17" s="1"/>
  <c r="BA9" i="11"/>
  <c r="BA10" i="17" s="1"/>
  <c r="BA11" i="11"/>
  <c r="BA12" i="11"/>
  <c r="BA65" i="8"/>
  <c r="BA92" i="10" s="1"/>
  <c r="BA34" i="11"/>
  <c r="BA35" i="11"/>
  <c r="BA36" i="11"/>
  <c r="BA37" i="11"/>
  <c r="BA38" i="11"/>
  <c r="BA39" i="11"/>
  <c r="BA23" i="17" s="1"/>
  <c r="BA40" i="11"/>
  <c r="BA41" i="11"/>
  <c r="BA42" i="11"/>
  <c r="BA43" i="11"/>
  <c r="BA44" i="11"/>
  <c r="BA45" i="11"/>
  <c r="BA46" i="11"/>
  <c r="BA47" i="11"/>
  <c r="BA48" i="11"/>
  <c r="BA49" i="11"/>
  <c r="BA29" i="11"/>
  <c r="BA73" i="11"/>
  <c r="BA75" i="11"/>
  <c r="BA58" i="11"/>
  <c r="BA74" i="11"/>
  <c r="BA76" i="11"/>
  <c r="BA18" i="11"/>
  <c r="BA19" i="11" s="1"/>
  <c r="BA24" i="17" s="1"/>
  <c r="BA21" i="11"/>
  <c r="BA22" i="11" s="1"/>
  <c r="BA24" i="11"/>
  <c r="BA25" i="11" s="1"/>
  <c r="BA62" i="11"/>
  <c r="AY65" i="11"/>
  <c r="AY17" i="17" s="1"/>
  <c r="AZ50" i="11"/>
  <c r="AZ51" i="11"/>
  <c r="BA60" i="8"/>
  <c r="BA5" i="11"/>
  <c r="BA5" i="10"/>
  <c r="BA5" i="9"/>
  <c r="BA55" i="8"/>
  <c r="BB58" i="8"/>
  <c r="BB57" i="8"/>
  <c r="BC147" i="9"/>
  <c r="BC143" i="9"/>
  <c r="BC142" i="9"/>
  <c r="BB12" i="7"/>
  <c r="BB5" i="17" s="1"/>
  <c r="BB13" i="7"/>
  <c r="BB27" i="10" s="1"/>
  <c r="BC11" i="7"/>
  <c r="AJ49" i="17" l="1"/>
  <c r="R129" i="6"/>
  <c r="R24" i="6"/>
  <c r="AV121" i="6"/>
  <c r="AB196" i="9"/>
  <c r="AC180" i="9"/>
  <c r="AD164" i="9"/>
  <c r="AD91" i="11" s="1"/>
  <c r="AD17" i="6" s="1"/>
  <c r="AD128" i="6" s="1"/>
  <c r="AE148" i="9"/>
  <c r="BB80" i="11"/>
  <c r="BB66" i="8"/>
  <c r="BA63" i="11"/>
  <c r="BA64" i="11"/>
  <c r="BA190" i="9"/>
  <c r="BB158" i="9"/>
  <c r="BB174" i="9" s="1"/>
  <c r="AT156" i="9"/>
  <c r="AT172" i="9" s="1"/>
  <c r="AT188" i="9" s="1"/>
  <c r="AU140" i="9"/>
  <c r="AK32" i="17"/>
  <c r="AK87" i="17" s="1"/>
  <c r="AK89" i="17" s="1"/>
  <c r="AK26" i="17"/>
  <c r="AL161" i="9"/>
  <c r="AK193" i="9"/>
  <c r="AN57" i="11"/>
  <c r="AN56" i="11"/>
  <c r="AP141" i="9"/>
  <c r="AO55" i="11"/>
  <c r="AO157" i="9"/>
  <c r="AO173" i="9" s="1"/>
  <c r="AO189" i="9" s="1"/>
  <c r="AM14" i="17"/>
  <c r="AM59" i="11"/>
  <c r="AM50" i="12" s="1"/>
  <c r="BA191" i="9"/>
  <c r="BB159" i="9"/>
  <c r="BB175" i="9" s="1"/>
  <c r="BA162" i="9"/>
  <c r="BA178" i="9" s="1"/>
  <c r="BA194" i="9" s="1"/>
  <c r="BB146" i="9"/>
  <c r="BA165" i="9"/>
  <c r="BA181" i="9" s="1"/>
  <c r="BA197" i="9" s="1"/>
  <c r="BB149" i="9"/>
  <c r="BA75" i="8"/>
  <c r="BA57" i="10" s="1"/>
  <c r="BA27" i="11"/>
  <c r="BA28" i="11" s="1"/>
  <c r="BA30" i="11" s="1"/>
  <c r="BA16" i="17" s="1"/>
  <c r="BB73" i="8"/>
  <c r="BB74" i="8" s="1"/>
  <c r="BB13" i="11"/>
  <c r="BB13" i="17" s="1"/>
  <c r="BG104" i="11"/>
  <c r="BG106" i="11"/>
  <c r="BG105" i="11"/>
  <c r="BG102" i="11"/>
  <c r="BG98" i="11"/>
  <c r="BG103" i="11"/>
  <c r="BJ65" i="10"/>
  <c r="BJ107" i="10" s="1"/>
  <c r="BJ54" i="10"/>
  <c r="BJ56" i="10" s="1"/>
  <c r="BJ106" i="10"/>
  <c r="BJ66" i="10"/>
  <c r="BJ105" i="10"/>
  <c r="BJ64" i="10"/>
  <c r="BJ62" i="10"/>
  <c r="BJ26" i="11"/>
  <c r="BJ63" i="10"/>
  <c r="BJ17" i="11"/>
  <c r="BJ20" i="11"/>
  <c r="BJ23" i="11" s="1"/>
  <c r="BL40" i="10"/>
  <c r="BL37" i="10"/>
  <c r="BL34" i="10"/>
  <c r="BL44" i="10"/>
  <c r="BL35" i="10"/>
  <c r="BL41" i="10"/>
  <c r="BL36" i="10"/>
  <c r="BL42" i="10"/>
  <c r="BL46" i="10"/>
  <c r="BL45" i="10"/>
  <c r="BL48" i="10"/>
  <c r="BL38" i="10"/>
  <c r="BL33" i="10"/>
  <c r="BL39" i="10"/>
  <c r="BL47" i="10"/>
  <c r="BL43" i="10"/>
  <c r="BK49" i="10"/>
  <c r="BL93" i="6"/>
  <c r="BM34" i="7"/>
  <c r="BM29" i="10" s="1"/>
  <c r="BM30" i="10" s="1"/>
  <c r="BM28" i="12"/>
  <c r="BM8" i="13"/>
  <c r="BN16" i="7"/>
  <c r="BM17" i="7"/>
  <c r="BM27" i="6" s="1"/>
  <c r="BI80" i="10"/>
  <c r="BI67" i="10"/>
  <c r="BI68" i="10" s="1"/>
  <c r="BI116" i="10"/>
  <c r="BI117" i="10"/>
  <c r="BI71" i="10"/>
  <c r="BI118" i="10"/>
  <c r="BI83" i="10"/>
  <c r="BH40" i="17"/>
  <c r="BH122" i="10"/>
  <c r="BH72" i="10"/>
  <c r="BH75" i="10" s="1"/>
  <c r="BH81" i="10" s="1"/>
  <c r="BH123" i="10"/>
  <c r="BH41" i="17"/>
  <c r="BA12" i="17"/>
  <c r="BA11" i="17"/>
  <c r="BA15" i="17"/>
  <c r="BH119" i="10"/>
  <c r="BH124" i="10" s="1"/>
  <c r="BH121" i="10"/>
  <c r="BH39" i="17"/>
  <c r="AY96" i="10"/>
  <c r="AY101" i="10" s="1"/>
  <c r="AY36" i="17"/>
  <c r="AY42" i="17" s="1"/>
  <c r="BA98" i="10"/>
  <c r="U29" i="17"/>
  <c r="BA31" i="17"/>
  <c r="BA99" i="10"/>
  <c r="BA38" i="17"/>
  <c r="BA44" i="17" s="1"/>
  <c r="BB93" i="10"/>
  <c r="AK179" i="9"/>
  <c r="AX9" i="6"/>
  <c r="AX45" i="12"/>
  <c r="AX39" i="6" s="1"/>
  <c r="AX51" i="12"/>
  <c r="AX41" i="6" s="1"/>
  <c r="AX69" i="11"/>
  <c r="AX70" i="11" s="1"/>
  <c r="AX89" i="11" s="1"/>
  <c r="AX15" i="6" s="1"/>
  <c r="AX79" i="11"/>
  <c r="AW122" i="6"/>
  <c r="AW176" i="6"/>
  <c r="AW8" i="6"/>
  <c r="BB40" i="14"/>
  <c r="AW165" i="6"/>
  <c r="AW143" i="6"/>
  <c r="AW157" i="6"/>
  <c r="AW126" i="6"/>
  <c r="BA62" i="8"/>
  <c r="BA89" i="10" s="1"/>
  <c r="BB64" i="14"/>
  <c r="BB77" i="11" s="1"/>
  <c r="BB48" i="14"/>
  <c r="BB46" i="14"/>
  <c r="BB63" i="8" s="1"/>
  <c r="BB90" i="10" s="1"/>
  <c r="BB97" i="10" s="1"/>
  <c r="BB49" i="14"/>
  <c r="BB47" i="14"/>
  <c r="BB64" i="8" s="1"/>
  <c r="BB91" i="10" s="1"/>
  <c r="BC63" i="14"/>
  <c r="BC62" i="14"/>
  <c r="BC61" i="14"/>
  <c r="BC60" i="14"/>
  <c r="BC59" i="14"/>
  <c r="BC58" i="14"/>
  <c r="BC57" i="14"/>
  <c r="BC56" i="14"/>
  <c r="BC55" i="14"/>
  <c r="BC54" i="14"/>
  <c r="BC53" i="14"/>
  <c r="BC52" i="14"/>
  <c r="BB5" i="13"/>
  <c r="BB5" i="14"/>
  <c r="BC36" i="14"/>
  <c r="BC35" i="14"/>
  <c r="BC34" i="14"/>
  <c r="BC33" i="14"/>
  <c r="BC32" i="14"/>
  <c r="BC31" i="14"/>
  <c r="BC30" i="14"/>
  <c r="BC29" i="14"/>
  <c r="BC39" i="14" s="1"/>
  <c r="BC28" i="14"/>
  <c r="BC27" i="14"/>
  <c r="BC26" i="14"/>
  <c r="BC25" i="14"/>
  <c r="BB5" i="12"/>
  <c r="BB5" i="6"/>
  <c r="U14" i="11"/>
  <c r="U84" i="11" s="1"/>
  <c r="U49" i="12" s="1"/>
  <c r="U46" i="12"/>
  <c r="V52" i="10"/>
  <c r="U48" i="12"/>
  <c r="BB60" i="8"/>
  <c r="AZ52" i="11"/>
  <c r="BA51" i="11"/>
  <c r="BC59" i="8"/>
  <c r="BD22" i="7"/>
  <c r="AY145" i="9"/>
  <c r="BA160" i="9"/>
  <c r="BA176" i="9" s="1"/>
  <c r="BA192" i="9" s="1"/>
  <c r="BB144" i="9"/>
  <c r="AW187" i="9"/>
  <c r="AX171" i="9"/>
  <c r="AY155" i="9" s="1"/>
  <c r="AZ139" i="9"/>
  <c r="BB68" i="11"/>
  <c r="BB10" i="11"/>
  <c r="BB22" i="17" s="1"/>
  <c r="BB9" i="11"/>
  <c r="BB10" i="17" s="1"/>
  <c r="BB11" i="11"/>
  <c r="BB12" i="11"/>
  <c r="BB65" i="8"/>
  <c r="BB92" i="10" s="1"/>
  <c r="BB34" i="11"/>
  <c r="BB35" i="11"/>
  <c r="BB36" i="11"/>
  <c r="BB37" i="11"/>
  <c r="BB38" i="11"/>
  <c r="BB39" i="11"/>
  <c r="BB23" i="17" s="1"/>
  <c r="BB40" i="11"/>
  <c r="BB41" i="11"/>
  <c r="BB42" i="11"/>
  <c r="BB43" i="11"/>
  <c r="BB44" i="11"/>
  <c r="BB45" i="11"/>
  <c r="BB46" i="11"/>
  <c r="BB47" i="11"/>
  <c r="BB48" i="11"/>
  <c r="BB49" i="11"/>
  <c r="BB29" i="11"/>
  <c r="BB76" i="11"/>
  <c r="BB73" i="11"/>
  <c r="BB75" i="11"/>
  <c r="BB74" i="11"/>
  <c r="BB58" i="11"/>
  <c r="BB18" i="11"/>
  <c r="BB19" i="11" s="1"/>
  <c r="BB24" i="17" s="1"/>
  <c r="BB21" i="11"/>
  <c r="BB22" i="11" s="1"/>
  <c r="BB24" i="11"/>
  <c r="BB25" i="11" s="1"/>
  <c r="BB62" i="11"/>
  <c r="AZ65" i="11"/>
  <c r="AZ17" i="17" s="1"/>
  <c r="BA50" i="11"/>
  <c r="BB5" i="11"/>
  <c r="BB5" i="10"/>
  <c r="BB5" i="9"/>
  <c r="BB55" i="8"/>
  <c r="BC58" i="8"/>
  <c r="BC57" i="8"/>
  <c r="BD147" i="9"/>
  <c r="BD143" i="9"/>
  <c r="BD142" i="9"/>
  <c r="BC12" i="7"/>
  <c r="BC5" i="17" s="1"/>
  <c r="BD11" i="7"/>
  <c r="BC13" i="7"/>
  <c r="BC27" i="10" s="1"/>
  <c r="R135" i="6" l="1"/>
  <c r="R179" i="6"/>
  <c r="R180" i="6"/>
  <c r="R35" i="12"/>
  <c r="AW121" i="6"/>
  <c r="AC196" i="9"/>
  <c r="AD180" i="9"/>
  <c r="AE164" i="9" s="1"/>
  <c r="AE91" i="11" s="1"/>
  <c r="AE17" i="6" s="1"/>
  <c r="AE128" i="6" s="1"/>
  <c r="AF148" i="9"/>
  <c r="BC80" i="11"/>
  <c r="BC66" i="8"/>
  <c r="BB64" i="11"/>
  <c r="BB63" i="11"/>
  <c r="BB190" i="9"/>
  <c r="BC158" i="9"/>
  <c r="BC174" i="9" s="1"/>
  <c r="AU156" i="9"/>
  <c r="AU172" i="9" s="1"/>
  <c r="AU188" i="9" s="1"/>
  <c r="AV140" i="9"/>
  <c r="AK37" i="17"/>
  <c r="AK43" i="17" s="1"/>
  <c r="AK45" i="17" s="1"/>
  <c r="AK88" i="17"/>
  <c r="AL177" i="9"/>
  <c r="AL25" i="17"/>
  <c r="AN59" i="11"/>
  <c r="AN50" i="12" s="1"/>
  <c r="AN14" i="17"/>
  <c r="AQ141" i="9"/>
  <c r="AP157" i="9"/>
  <c r="AP173" i="9" s="1"/>
  <c r="AP189" i="9" s="1"/>
  <c r="AP55" i="11"/>
  <c r="AO57" i="11"/>
  <c r="AO56" i="11"/>
  <c r="BB191" i="9"/>
  <c r="BC159" i="9"/>
  <c r="BC175" i="9" s="1"/>
  <c r="BB162" i="9"/>
  <c r="BB178" i="9" s="1"/>
  <c r="BB194" i="9" s="1"/>
  <c r="BC146" i="9"/>
  <c r="BC149" i="9"/>
  <c r="BB165" i="9"/>
  <c r="BB181" i="9" s="1"/>
  <c r="BB197" i="9" s="1"/>
  <c r="BB75" i="8"/>
  <c r="BB57" i="10" s="1"/>
  <c r="BB27" i="11"/>
  <c r="BB28" i="11" s="1"/>
  <c r="BB30" i="11" s="1"/>
  <c r="BB16" i="17" s="1"/>
  <c r="BC73" i="8"/>
  <c r="BC74" i="8" s="1"/>
  <c r="BC13" i="11"/>
  <c r="BC13" i="17" s="1"/>
  <c r="BJ118" i="10"/>
  <c r="BJ83" i="10"/>
  <c r="BJ116" i="10"/>
  <c r="BJ80" i="10"/>
  <c r="BJ67" i="10"/>
  <c r="BJ68" i="10" s="1"/>
  <c r="BJ117" i="10"/>
  <c r="BJ71" i="10"/>
  <c r="BJ72" i="10" s="1"/>
  <c r="BH126" i="10"/>
  <c r="BH50" i="17"/>
  <c r="BK106" i="10"/>
  <c r="BK105" i="10"/>
  <c r="BK62" i="10"/>
  <c r="BK63" i="10"/>
  <c r="BK17" i="11"/>
  <c r="BK64" i="10"/>
  <c r="BK54" i="10"/>
  <c r="BK56" i="10" s="1"/>
  <c r="BK26" i="11"/>
  <c r="BK65" i="10"/>
  <c r="BK107" i="10" s="1"/>
  <c r="BK66" i="10"/>
  <c r="BK20" i="11"/>
  <c r="BK23" i="11" s="1"/>
  <c r="BM46" i="10"/>
  <c r="BM34" i="10"/>
  <c r="BM41" i="10"/>
  <c r="BM39" i="10"/>
  <c r="BM45" i="10"/>
  <c r="BM47" i="10"/>
  <c r="BM42" i="10"/>
  <c r="BM43" i="10"/>
  <c r="BM48" i="10"/>
  <c r="BM38" i="10"/>
  <c r="BM35" i="10"/>
  <c r="BM36" i="10"/>
  <c r="BM33" i="10"/>
  <c r="BM37" i="10"/>
  <c r="BM40" i="10"/>
  <c r="BM44" i="10"/>
  <c r="BL49" i="10"/>
  <c r="BN34" i="7"/>
  <c r="BN29" i="10" s="1"/>
  <c r="BN30" i="10" s="1"/>
  <c r="BN28" i="12"/>
  <c r="BN17" i="7"/>
  <c r="BN27" i="6" s="1"/>
  <c r="BN8" i="13"/>
  <c r="BO16" i="7"/>
  <c r="BM93" i="6"/>
  <c r="BI119" i="10"/>
  <c r="BI124" i="10" s="1"/>
  <c r="BI121" i="10"/>
  <c r="BI39" i="17"/>
  <c r="BI40" i="17"/>
  <c r="BI122" i="10"/>
  <c r="BI72" i="10"/>
  <c r="BI75" i="10" s="1"/>
  <c r="BI81" i="10" s="1"/>
  <c r="BI41" i="17"/>
  <c r="BI123" i="10"/>
  <c r="BH127" i="10"/>
  <c r="BH51" i="17"/>
  <c r="BH73" i="10"/>
  <c r="BH74" i="10" s="1"/>
  <c r="BH52" i="17"/>
  <c r="BH128" i="10"/>
  <c r="BB12" i="17"/>
  <c r="BB11" i="17"/>
  <c r="BB15" i="17"/>
  <c r="U57" i="17"/>
  <c r="U56" i="17"/>
  <c r="U55" i="17"/>
  <c r="AZ96" i="10"/>
  <c r="AZ101" i="10" s="1"/>
  <c r="AZ36" i="17"/>
  <c r="AZ42" i="17" s="1"/>
  <c r="BB98" i="10"/>
  <c r="BB31" i="17"/>
  <c r="BB99" i="10"/>
  <c r="BB38" i="17"/>
  <c r="BB44" i="17" s="1"/>
  <c r="AK195" i="9"/>
  <c r="AL163" i="9"/>
  <c r="AL179" i="9" s="1"/>
  <c r="BC93" i="10"/>
  <c r="AX143" i="6"/>
  <c r="AX8" i="6"/>
  <c r="AX176" i="6"/>
  <c r="AX165" i="6"/>
  <c r="AX122" i="6"/>
  <c r="AX157" i="6"/>
  <c r="AX126" i="6"/>
  <c r="BC40" i="14"/>
  <c r="AY9" i="6"/>
  <c r="AY51" i="12"/>
  <c r="AY41" i="6" s="1"/>
  <c r="AY45" i="12"/>
  <c r="AY39" i="6" s="1"/>
  <c r="AY69" i="11"/>
  <c r="AY70" i="11" s="1"/>
  <c r="AY89" i="11" s="1"/>
  <c r="AY15" i="6" s="1"/>
  <c r="AY79" i="11"/>
  <c r="AY108" i="10"/>
  <c r="BB62" i="8"/>
  <c r="BB89" i="10" s="1"/>
  <c r="BC64" i="14"/>
  <c r="BC77" i="11" s="1"/>
  <c r="BC49" i="14"/>
  <c r="BC48" i="14"/>
  <c r="BC46" i="14"/>
  <c r="BC63" i="8" s="1"/>
  <c r="BC90" i="10" s="1"/>
  <c r="BC97" i="10" s="1"/>
  <c r="BC47" i="14"/>
  <c r="BC64" i="8" s="1"/>
  <c r="BC91" i="10" s="1"/>
  <c r="BD63" i="14"/>
  <c r="BD62" i="14"/>
  <c r="BD61" i="14"/>
  <c r="BD60" i="14"/>
  <c r="BD59" i="14"/>
  <c r="BD58" i="14"/>
  <c r="BD57" i="14"/>
  <c r="BD56" i="14"/>
  <c r="BD55" i="14"/>
  <c r="BD54" i="14"/>
  <c r="BD53" i="14"/>
  <c r="BD52" i="14"/>
  <c r="BC5" i="13"/>
  <c r="BC5" i="14"/>
  <c r="BD36" i="14"/>
  <c r="BD35" i="14"/>
  <c r="BD34" i="14"/>
  <c r="BD33" i="14"/>
  <c r="BD32" i="14"/>
  <c r="BD31" i="14"/>
  <c r="BD30" i="14"/>
  <c r="BD29" i="14"/>
  <c r="BD39" i="14" s="1"/>
  <c r="BD28" i="14"/>
  <c r="BD27" i="14"/>
  <c r="BD26" i="14"/>
  <c r="BD25" i="14"/>
  <c r="U40" i="6"/>
  <c r="BC5" i="12"/>
  <c r="BC5" i="6"/>
  <c r="V53" i="10"/>
  <c r="BA52" i="11"/>
  <c r="BC60" i="8"/>
  <c r="BD59" i="8"/>
  <c r="BE22" i="7"/>
  <c r="AZ145" i="9"/>
  <c r="BB160" i="9"/>
  <c r="BB176" i="9" s="1"/>
  <c r="BB192" i="9" s="1"/>
  <c r="BC144" i="9"/>
  <c r="AX187" i="9"/>
  <c r="AY171" i="9"/>
  <c r="AZ155" i="9" s="1"/>
  <c r="BA139" i="9"/>
  <c r="BC68" i="11"/>
  <c r="BC10" i="11"/>
  <c r="BC22" i="17" s="1"/>
  <c r="BC9" i="11"/>
  <c r="BC10" i="17" s="1"/>
  <c r="BC11" i="11"/>
  <c r="BC12" i="11"/>
  <c r="BC65" i="8"/>
  <c r="BC92" i="10" s="1"/>
  <c r="BC34" i="11"/>
  <c r="BC35" i="11"/>
  <c r="BC36" i="11"/>
  <c r="BC37" i="11"/>
  <c r="BC38" i="11"/>
  <c r="BC39" i="11"/>
  <c r="BC23" i="17" s="1"/>
  <c r="BC40" i="11"/>
  <c r="BC41" i="11"/>
  <c r="BC42" i="11"/>
  <c r="BC43" i="11"/>
  <c r="BC44" i="11"/>
  <c r="BC45" i="11"/>
  <c r="BC46" i="11"/>
  <c r="BC47" i="11"/>
  <c r="BC48" i="11"/>
  <c r="BC49" i="11"/>
  <c r="BC29" i="11"/>
  <c r="BC76" i="11"/>
  <c r="BC73" i="11"/>
  <c r="BC58" i="11"/>
  <c r="BC74" i="11"/>
  <c r="BC75" i="11"/>
  <c r="BC18" i="11"/>
  <c r="BC19" i="11" s="1"/>
  <c r="BC24" i="17" s="1"/>
  <c r="BC21" i="11"/>
  <c r="BC22" i="11" s="1"/>
  <c r="BC24" i="11"/>
  <c r="BC25" i="11" s="1"/>
  <c r="BC62" i="11"/>
  <c r="BA65" i="11"/>
  <c r="BA17" i="17" s="1"/>
  <c r="BB50" i="11"/>
  <c r="BB51" i="11"/>
  <c r="BC5" i="11"/>
  <c r="BC5" i="10"/>
  <c r="BC5" i="9"/>
  <c r="BC55" i="8"/>
  <c r="BD58" i="8"/>
  <c r="BD57" i="8"/>
  <c r="BE147" i="9"/>
  <c r="BE143" i="9"/>
  <c r="BE142" i="9"/>
  <c r="BD12" i="7"/>
  <c r="BD5" i="17" s="1"/>
  <c r="BD13" i="7"/>
  <c r="BD27" i="10" s="1"/>
  <c r="BE11" i="7"/>
  <c r="AX121" i="6" l="1"/>
  <c r="AD196" i="9"/>
  <c r="AE180" i="9"/>
  <c r="AF164" i="9" s="1"/>
  <c r="AF91" i="11" s="1"/>
  <c r="AF17" i="6" s="1"/>
  <c r="AF128" i="6" s="1"/>
  <c r="AG148" i="9"/>
  <c r="BD80" i="11"/>
  <c r="BD66" i="8"/>
  <c r="BN93" i="6"/>
  <c r="BC63" i="11"/>
  <c r="BC64" i="11"/>
  <c r="BC190" i="9"/>
  <c r="BD158" i="9"/>
  <c r="BD174" i="9" s="1"/>
  <c r="AW140" i="9"/>
  <c r="AV156" i="9"/>
  <c r="AV172" i="9" s="1"/>
  <c r="AV188" i="9" s="1"/>
  <c r="AK46" i="17"/>
  <c r="AK47" i="17"/>
  <c r="AK48" i="17"/>
  <c r="AL193" i="9"/>
  <c r="AM161" i="9"/>
  <c r="AL26" i="17"/>
  <c r="AL32" i="17"/>
  <c r="AL87" i="17" s="1"/>
  <c r="AL89" i="17" s="1"/>
  <c r="AR141" i="9"/>
  <c r="AQ55" i="11"/>
  <c r="AQ157" i="9"/>
  <c r="AQ173" i="9" s="1"/>
  <c r="AQ189" i="9" s="1"/>
  <c r="AP56" i="11"/>
  <c r="AP57" i="11"/>
  <c r="AO14" i="17"/>
  <c r="AO59" i="11"/>
  <c r="AO50" i="12" s="1"/>
  <c r="BC191" i="9"/>
  <c r="BD159" i="9"/>
  <c r="BD175" i="9" s="1"/>
  <c r="BC162" i="9"/>
  <c r="BC178" i="9" s="1"/>
  <c r="BC194" i="9" s="1"/>
  <c r="BD146" i="9"/>
  <c r="BC165" i="9"/>
  <c r="BC181" i="9" s="1"/>
  <c r="BC197" i="9" s="1"/>
  <c r="BD149" i="9"/>
  <c r="BC27" i="11"/>
  <c r="BC28" i="11" s="1"/>
  <c r="BC30" i="11" s="1"/>
  <c r="BC16" i="17" s="1"/>
  <c r="BC75" i="8"/>
  <c r="BC57" i="10" s="1"/>
  <c r="BD73" i="8"/>
  <c r="BD74" i="8" s="1"/>
  <c r="BD13" i="11"/>
  <c r="BD13" i="17" s="1"/>
  <c r="BJ41" i="17"/>
  <c r="BJ123" i="10"/>
  <c r="BJ121" i="10"/>
  <c r="BJ39" i="17"/>
  <c r="BJ119" i="10"/>
  <c r="BJ124" i="10" s="1"/>
  <c r="BJ40" i="17"/>
  <c r="BJ122" i="10"/>
  <c r="BJ75" i="10"/>
  <c r="BJ81" i="10" s="1"/>
  <c r="BJ73" i="10"/>
  <c r="BK80" i="10"/>
  <c r="BK67" i="10"/>
  <c r="BK68" i="10" s="1"/>
  <c r="BK116" i="10"/>
  <c r="BK117" i="10"/>
  <c r="BK71" i="10"/>
  <c r="BK118" i="10"/>
  <c r="BK83" i="10"/>
  <c r="BL106" i="10"/>
  <c r="BL105" i="10"/>
  <c r="BL66" i="10"/>
  <c r="BL20" i="11"/>
  <c r="BL23" i="11" s="1"/>
  <c r="BL54" i="10"/>
  <c r="BL56" i="10" s="1"/>
  <c r="BL64" i="10"/>
  <c r="BL63" i="10"/>
  <c r="BL65" i="10"/>
  <c r="BL107" i="10" s="1"/>
  <c r="BL17" i="11"/>
  <c r="BL26" i="11"/>
  <c r="BL62" i="10"/>
  <c r="BN40" i="10"/>
  <c r="BN45" i="10"/>
  <c r="BN41" i="10"/>
  <c r="BN44" i="10"/>
  <c r="BN35" i="10"/>
  <c r="BN38" i="10"/>
  <c r="BN46" i="10"/>
  <c r="BN36" i="10"/>
  <c r="BN43" i="10"/>
  <c r="BN37" i="10"/>
  <c r="BN39" i="10"/>
  <c r="BN33" i="10"/>
  <c r="BN47" i="10"/>
  <c r="BN48" i="10"/>
  <c r="BN42" i="10"/>
  <c r="BN34" i="10"/>
  <c r="BM49" i="10"/>
  <c r="BO34" i="7"/>
  <c r="BO29" i="10" s="1"/>
  <c r="BO30" i="10" s="1"/>
  <c r="BO28" i="12"/>
  <c r="BO17" i="7"/>
  <c r="BO27" i="6" s="1"/>
  <c r="BO93" i="6" s="1"/>
  <c r="BO8" i="13"/>
  <c r="BI50" i="17"/>
  <c r="BI126" i="10"/>
  <c r="BI127" i="10"/>
  <c r="BI51" i="17"/>
  <c r="BI73" i="10"/>
  <c r="BI128" i="10"/>
  <c r="BI52" i="17"/>
  <c r="BC15" i="17"/>
  <c r="BH77" i="10"/>
  <c r="BH82" i="10"/>
  <c r="BH85" i="10" s="1"/>
  <c r="BH84" i="17"/>
  <c r="BC12" i="17"/>
  <c r="BC11" i="17"/>
  <c r="BA96" i="10"/>
  <c r="BA101" i="10" s="1"/>
  <c r="BA36" i="17"/>
  <c r="BA42" i="17" s="1"/>
  <c r="BC98" i="10"/>
  <c r="BC31" i="17"/>
  <c r="BC99" i="10"/>
  <c r="BC38" i="17"/>
  <c r="BC44" i="17" s="1"/>
  <c r="BD93" i="10"/>
  <c r="AY143" i="6"/>
  <c r="AM163" i="9"/>
  <c r="AL195" i="9"/>
  <c r="AY165" i="6"/>
  <c r="BD40" i="14"/>
  <c r="AZ9" i="6"/>
  <c r="AZ51" i="12"/>
  <c r="AZ41" i="6" s="1"/>
  <c r="AZ45" i="12"/>
  <c r="AZ39" i="6" s="1"/>
  <c r="AZ69" i="11"/>
  <c r="AZ70" i="11" s="1"/>
  <c r="AZ79" i="11"/>
  <c r="AZ108" i="10"/>
  <c r="AY157" i="6"/>
  <c r="AY126" i="6"/>
  <c r="AY122" i="6"/>
  <c r="AY176" i="6"/>
  <c r="AY8" i="6"/>
  <c r="BC62" i="8"/>
  <c r="BC89" i="10" s="1"/>
  <c r="BD64" i="14"/>
  <c r="BD77" i="11" s="1"/>
  <c r="BD48" i="14"/>
  <c r="BD46" i="14"/>
  <c r="BD63" i="8" s="1"/>
  <c r="BD90" i="10" s="1"/>
  <c r="BD97" i="10" s="1"/>
  <c r="BD49" i="14"/>
  <c r="BD47" i="14"/>
  <c r="BD64" i="8" s="1"/>
  <c r="BD91" i="10" s="1"/>
  <c r="BE63" i="14"/>
  <c r="BE62" i="14"/>
  <c r="BE61" i="14"/>
  <c r="BE60" i="14"/>
  <c r="BE59" i="14"/>
  <c r="BE58" i="14"/>
  <c r="BE57" i="14"/>
  <c r="BE56" i="14"/>
  <c r="BE55" i="14"/>
  <c r="BE54" i="14"/>
  <c r="BE53" i="14"/>
  <c r="BE52" i="14"/>
  <c r="BD5" i="13"/>
  <c r="BD5" i="14"/>
  <c r="BE36" i="14"/>
  <c r="BE35" i="14"/>
  <c r="BE34" i="14"/>
  <c r="BE33" i="14"/>
  <c r="BE32" i="14"/>
  <c r="BE31" i="14"/>
  <c r="BE30" i="14"/>
  <c r="BE29" i="14"/>
  <c r="BE39" i="14" s="1"/>
  <c r="BE28" i="14"/>
  <c r="BE27" i="14"/>
  <c r="BE26" i="14"/>
  <c r="BE25" i="14"/>
  <c r="BD5" i="12"/>
  <c r="BD5" i="6"/>
  <c r="V59" i="10"/>
  <c r="V8" i="11" s="1"/>
  <c r="V9" i="17" s="1"/>
  <c r="V55" i="10"/>
  <c r="BE59" i="8"/>
  <c r="BF22" i="7"/>
  <c r="BA145" i="9"/>
  <c r="BC160" i="9"/>
  <c r="BC176" i="9" s="1"/>
  <c r="BC192" i="9" s="1"/>
  <c r="BD144" i="9"/>
  <c r="AY187" i="9"/>
  <c r="AZ171" i="9"/>
  <c r="BA155" i="9" s="1"/>
  <c r="BB139" i="9"/>
  <c r="BD68" i="11"/>
  <c r="BD10" i="11"/>
  <c r="BD22" i="17" s="1"/>
  <c r="BD9" i="11"/>
  <c r="BD10" i="17" s="1"/>
  <c r="BD11" i="11"/>
  <c r="BD12" i="11"/>
  <c r="BD65" i="8"/>
  <c r="BD92" i="10" s="1"/>
  <c r="BD34" i="11"/>
  <c r="BD35" i="11"/>
  <c r="BD36" i="11"/>
  <c r="BD37" i="11"/>
  <c r="BD38" i="11"/>
  <c r="BD39" i="11"/>
  <c r="BD23" i="17" s="1"/>
  <c r="BD40" i="11"/>
  <c r="BD41" i="11"/>
  <c r="BD42" i="11"/>
  <c r="BD43" i="11"/>
  <c r="BD44" i="11"/>
  <c r="BD45" i="11"/>
  <c r="BD46" i="11"/>
  <c r="BD47" i="11"/>
  <c r="BD48" i="11"/>
  <c r="BD49" i="11"/>
  <c r="BD29" i="11"/>
  <c r="BD76" i="11"/>
  <c r="BD74" i="11"/>
  <c r="BD58" i="11"/>
  <c r="BD75" i="11"/>
  <c r="BD73" i="11"/>
  <c r="BD18" i="11"/>
  <c r="BD19" i="11" s="1"/>
  <c r="BD24" i="17" s="1"/>
  <c r="BD21" i="11"/>
  <c r="BD22" i="11" s="1"/>
  <c r="BD24" i="11"/>
  <c r="BD25" i="11" s="1"/>
  <c r="BD62" i="11"/>
  <c r="BB65" i="11"/>
  <c r="BB17" i="17" s="1"/>
  <c r="BC50" i="11"/>
  <c r="BC51" i="11"/>
  <c r="BB52" i="11"/>
  <c r="BD60" i="8"/>
  <c r="BD5" i="11"/>
  <c r="BD5" i="10"/>
  <c r="BD5" i="9"/>
  <c r="BD55" i="8"/>
  <c r="BE58" i="8"/>
  <c r="BE57" i="8"/>
  <c r="BF147" i="9"/>
  <c r="BF143" i="9"/>
  <c r="BF142" i="9"/>
  <c r="BF11" i="7"/>
  <c r="BE12" i="7"/>
  <c r="BE5" i="17" s="1"/>
  <c r="BE13" i="7"/>
  <c r="BE27" i="10" s="1"/>
  <c r="AY121" i="6" l="1"/>
  <c r="AE196" i="9"/>
  <c r="AF180" i="9"/>
  <c r="AG164" i="9" s="1"/>
  <c r="AG91" i="11" s="1"/>
  <c r="AG17" i="6" s="1"/>
  <c r="AG128" i="6" s="1"/>
  <c r="AH148" i="9"/>
  <c r="BE80" i="11"/>
  <c r="BE66" i="8"/>
  <c r="BD64" i="11"/>
  <c r="BD63" i="11"/>
  <c r="BD190" i="9"/>
  <c r="BE158" i="9"/>
  <c r="BE174" i="9" s="1"/>
  <c r="AW156" i="9"/>
  <c r="AW172" i="9" s="1"/>
  <c r="AW188" i="9" s="1"/>
  <c r="AX140" i="9"/>
  <c r="AK49" i="17"/>
  <c r="AM177" i="9"/>
  <c r="AM25" i="17"/>
  <c r="AL88" i="17"/>
  <c r="AL37" i="17"/>
  <c r="AL43" i="17" s="1"/>
  <c r="AL45" i="17" s="1"/>
  <c r="AS141" i="9"/>
  <c r="AR55" i="11"/>
  <c r="AR157" i="9"/>
  <c r="AR173" i="9" s="1"/>
  <c r="AR189" i="9" s="1"/>
  <c r="AQ56" i="11"/>
  <c r="AQ57" i="11"/>
  <c r="AP59" i="11"/>
  <c r="AP50" i="12" s="1"/>
  <c r="AP14" i="17"/>
  <c r="BD191" i="9"/>
  <c r="BE159" i="9"/>
  <c r="BE175" i="9" s="1"/>
  <c r="BD162" i="9"/>
  <c r="BD178" i="9" s="1"/>
  <c r="BD194" i="9" s="1"/>
  <c r="BE146" i="9"/>
  <c r="BI74" i="10"/>
  <c r="C159" i="20"/>
  <c r="BD165" i="9"/>
  <c r="BD181" i="9" s="1"/>
  <c r="BD197" i="9" s="1"/>
  <c r="BE149" i="9"/>
  <c r="BD75" i="8"/>
  <c r="BD57" i="10" s="1"/>
  <c r="BD27" i="11"/>
  <c r="BD28" i="11" s="1"/>
  <c r="BD30" i="11" s="1"/>
  <c r="BD16" i="17" s="1"/>
  <c r="BE73" i="8"/>
  <c r="BE74" i="8" s="1"/>
  <c r="BE13" i="11"/>
  <c r="BE13" i="17" s="1"/>
  <c r="BJ52" i="17"/>
  <c r="BJ128" i="10"/>
  <c r="BJ84" i="17"/>
  <c r="BJ86" i="17" s="1"/>
  <c r="BJ74" i="10"/>
  <c r="BJ50" i="17"/>
  <c r="BJ126" i="10"/>
  <c r="BJ127" i="10"/>
  <c r="BJ51" i="17"/>
  <c r="BJ77" i="10"/>
  <c r="BJ82" i="10"/>
  <c r="BJ85" i="10" s="1"/>
  <c r="BK121" i="10"/>
  <c r="BK39" i="17"/>
  <c r="BK40" i="17"/>
  <c r="BK122" i="10"/>
  <c r="BK119" i="10"/>
  <c r="BK124" i="10" s="1"/>
  <c r="BK72" i="10"/>
  <c r="BK75" i="10" s="1"/>
  <c r="BK81" i="10" s="1"/>
  <c r="BK41" i="17"/>
  <c r="BK123" i="10"/>
  <c r="BL118" i="10"/>
  <c r="BL83" i="10"/>
  <c r="BL117" i="10"/>
  <c r="BL71" i="10"/>
  <c r="BL67" i="10"/>
  <c r="BL68" i="10" s="1"/>
  <c r="BL80" i="10"/>
  <c r="BL116" i="10"/>
  <c r="BM106" i="10"/>
  <c r="BM105" i="10"/>
  <c r="BM20" i="11"/>
  <c r="BM23" i="11" s="1"/>
  <c r="BM26" i="11"/>
  <c r="BM63" i="10"/>
  <c r="BM17" i="11"/>
  <c r="BM64" i="10"/>
  <c r="BM54" i="10"/>
  <c r="BM56" i="10" s="1"/>
  <c r="BM65" i="10"/>
  <c r="BM107" i="10" s="1"/>
  <c r="BM62" i="10"/>
  <c r="BM66" i="10"/>
  <c r="BO36" i="10"/>
  <c r="BO46" i="10"/>
  <c r="BO37" i="10"/>
  <c r="BO42" i="10"/>
  <c r="BO34" i="10"/>
  <c r="BO38" i="10"/>
  <c r="BO40" i="10"/>
  <c r="BO33" i="10"/>
  <c r="BO45" i="10"/>
  <c r="BO35" i="10"/>
  <c r="BO48" i="10"/>
  <c r="BO44" i="10"/>
  <c r="BO39" i="10"/>
  <c r="BO47" i="10"/>
  <c r="BO43" i="10"/>
  <c r="BO41" i="10"/>
  <c r="BN49" i="10"/>
  <c r="BI77" i="10"/>
  <c r="BI82" i="10"/>
  <c r="BI85" i="10" s="1"/>
  <c r="BI84" i="17"/>
  <c r="BI86" i="17" s="1"/>
  <c r="BH104" i="11"/>
  <c r="BH105" i="11"/>
  <c r="BH103" i="11"/>
  <c r="BH106" i="11"/>
  <c r="BH102" i="11"/>
  <c r="BH98" i="11"/>
  <c r="BH86" i="17"/>
  <c r="BD12" i="17"/>
  <c r="BD11" i="17"/>
  <c r="BD15" i="17"/>
  <c r="BB96" i="10"/>
  <c r="BB101" i="10" s="1"/>
  <c r="BB36" i="17"/>
  <c r="BB42" i="17" s="1"/>
  <c r="BD98" i="10"/>
  <c r="V29" i="17"/>
  <c r="BD31" i="17"/>
  <c r="BD99" i="10"/>
  <c r="BD38" i="17"/>
  <c r="BD44" i="17" s="1"/>
  <c r="BE93" i="10"/>
  <c r="AZ143" i="6"/>
  <c r="AM179" i="9"/>
  <c r="AZ8" i="6"/>
  <c r="AZ176" i="6"/>
  <c r="AZ165" i="6"/>
  <c r="AZ122" i="6"/>
  <c r="AZ89" i="11"/>
  <c r="AZ15" i="6" s="1"/>
  <c r="BA9" i="6"/>
  <c r="BA51" i="12"/>
  <c r="BA41" i="6" s="1"/>
  <c r="BA45" i="12"/>
  <c r="BA39" i="6" s="1"/>
  <c r="BA69" i="11"/>
  <c r="BA70" i="11" s="1"/>
  <c r="BA89" i="11" s="1"/>
  <c r="BA15" i="6" s="1"/>
  <c r="BA79" i="11"/>
  <c r="BA108" i="10"/>
  <c r="BE40" i="14"/>
  <c r="BD62" i="8"/>
  <c r="BD89" i="10" s="1"/>
  <c r="BE64" i="14"/>
  <c r="BE77" i="11" s="1"/>
  <c r="BE47" i="14"/>
  <c r="BE64" i="8" s="1"/>
  <c r="BE91" i="10" s="1"/>
  <c r="BE48" i="14"/>
  <c r="BE46" i="14"/>
  <c r="BE63" i="8" s="1"/>
  <c r="BE90" i="10" s="1"/>
  <c r="BE97" i="10" s="1"/>
  <c r="BE49" i="14"/>
  <c r="BF63" i="14"/>
  <c r="BF62" i="14"/>
  <c r="BF61" i="14"/>
  <c r="BF60" i="14"/>
  <c r="BF59" i="14"/>
  <c r="BF58" i="14"/>
  <c r="BF57" i="14"/>
  <c r="BF56" i="14"/>
  <c r="BF55" i="14"/>
  <c r="BF54" i="14"/>
  <c r="BF53" i="14"/>
  <c r="BF52" i="14"/>
  <c r="BF36" i="14"/>
  <c r="BF35" i="14"/>
  <c r="BF34" i="14"/>
  <c r="BF33" i="14"/>
  <c r="BF32" i="14"/>
  <c r="BF31" i="14"/>
  <c r="BF30" i="14"/>
  <c r="BF29" i="14"/>
  <c r="BF39" i="14" s="1"/>
  <c r="BF28" i="14"/>
  <c r="BF27" i="14"/>
  <c r="BF26" i="14"/>
  <c r="BF25" i="14"/>
  <c r="BE5" i="13"/>
  <c r="BE5" i="14"/>
  <c r="BE5" i="12"/>
  <c r="BE5" i="6"/>
  <c r="V14" i="11"/>
  <c r="V84" i="11" s="1"/>
  <c r="V49" i="12" s="1"/>
  <c r="V46" i="12"/>
  <c r="W52" i="10"/>
  <c r="V48" i="12"/>
  <c r="BE60" i="8"/>
  <c r="BC65" i="11"/>
  <c r="BC17" i="17" s="1"/>
  <c r="BF59" i="8"/>
  <c r="BG22" i="7"/>
  <c r="BB145" i="9"/>
  <c r="BD160" i="9"/>
  <c r="BD176" i="9" s="1"/>
  <c r="BD192" i="9" s="1"/>
  <c r="BE144" i="9"/>
  <c r="BA171" i="9"/>
  <c r="BB155" i="9" s="1"/>
  <c r="AZ187" i="9"/>
  <c r="BC139" i="9"/>
  <c r="BE68" i="11"/>
  <c r="BE10" i="11"/>
  <c r="BE22" i="17" s="1"/>
  <c r="BE9" i="11"/>
  <c r="BE10" i="17" s="1"/>
  <c r="BE11" i="11"/>
  <c r="BE12" i="11"/>
  <c r="BE65" i="8"/>
  <c r="BE92" i="10" s="1"/>
  <c r="BE34" i="11"/>
  <c r="BE35" i="11"/>
  <c r="BE36" i="11"/>
  <c r="BE37" i="11"/>
  <c r="BE38" i="11"/>
  <c r="BE39" i="11"/>
  <c r="BE23" i="17" s="1"/>
  <c r="BE40" i="11"/>
  <c r="BE41" i="11"/>
  <c r="BE42" i="11"/>
  <c r="BE43" i="11"/>
  <c r="BE44" i="11"/>
  <c r="BE45" i="11"/>
  <c r="BE46" i="11"/>
  <c r="BE47" i="11"/>
  <c r="BE48" i="11"/>
  <c r="BE49" i="11"/>
  <c r="BE29" i="11"/>
  <c r="BE76" i="11"/>
  <c r="BE74" i="11"/>
  <c r="BE58" i="11"/>
  <c r="BE75" i="11"/>
  <c r="BE73" i="11"/>
  <c r="BE18" i="11"/>
  <c r="BE19" i="11" s="1"/>
  <c r="BE24" i="17" s="1"/>
  <c r="BE21" i="11"/>
  <c r="BE22" i="11" s="1"/>
  <c r="BE24" i="11"/>
  <c r="BE25" i="11" s="1"/>
  <c r="BE62" i="11"/>
  <c r="BD50" i="11"/>
  <c r="BD51" i="11"/>
  <c r="BC52" i="11"/>
  <c r="BF58" i="8"/>
  <c r="BF57" i="8"/>
  <c r="BE5" i="11"/>
  <c r="BE5" i="10"/>
  <c r="BE5" i="9"/>
  <c r="BE55" i="8"/>
  <c r="BG147" i="9"/>
  <c r="BG143" i="9"/>
  <c r="BG142" i="9"/>
  <c r="BF12" i="7"/>
  <c r="BF5" i="17" s="1"/>
  <c r="BF13" i="7"/>
  <c r="BF27" i="10" s="1"/>
  <c r="BG11" i="7"/>
  <c r="AZ121" i="6" l="1"/>
  <c r="AF196" i="9"/>
  <c r="AG180" i="9"/>
  <c r="AH164" i="9" s="1"/>
  <c r="AH91" i="11" s="1"/>
  <c r="AH17" i="6" s="1"/>
  <c r="AH128" i="6" s="1"/>
  <c r="AI148" i="9"/>
  <c r="AJ148" i="9" s="1"/>
  <c r="AK148" i="9" s="1"/>
  <c r="AL148" i="9" s="1"/>
  <c r="AM148" i="9" s="1"/>
  <c r="AN148" i="9" s="1"/>
  <c r="AO148" i="9" s="1"/>
  <c r="AP148" i="9" s="1"/>
  <c r="AQ148" i="9" s="1"/>
  <c r="AR148" i="9" s="1"/>
  <c r="AS148" i="9" s="1"/>
  <c r="AT148" i="9" s="1"/>
  <c r="AU148" i="9" s="1"/>
  <c r="AV148" i="9" s="1"/>
  <c r="BF80" i="11"/>
  <c r="BF66" i="8"/>
  <c r="BE64" i="11"/>
  <c r="BE63" i="11"/>
  <c r="BE190" i="9"/>
  <c r="BF158" i="9"/>
  <c r="BF174" i="9" s="1"/>
  <c r="AX156" i="9"/>
  <c r="AX172" i="9" s="1"/>
  <c r="AX188" i="9" s="1"/>
  <c r="AY140" i="9"/>
  <c r="AN161" i="9"/>
  <c r="AM193" i="9"/>
  <c r="AM32" i="17"/>
  <c r="AM87" i="17" s="1"/>
  <c r="AM89" i="17" s="1"/>
  <c r="AM26" i="17"/>
  <c r="AL47" i="17"/>
  <c r="AL46" i="17"/>
  <c r="AL48" i="17"/>
  <c r="AT141" i="9"/>
  <c r="AS55" i="11"/>
  <c r="AS157" i="9"/>
  <c r="AS173" i="9" s="1"/>
  <c r="AS189" i="9" s="1"/>
  <c r="AR57" i="11"/>
  <c r="AR56" i="11"/>
  <c r="AQ14" i="17"/>
  <c r="AQ59" i="11"/>
  <c r="AQ50" i="12" s="1"/>
  <c r="BE191" i="9"/>
  <c r="BF159" i="9"/>
  <c r="BF175" i="9" s="1"/>
  <c r="BF146" i="9"/>
  <c r="BE162" i="9"/>
  <c r="BE178" i="9" s="1"/>
  <c r="BE194" i="9" s="1"/>
  <c r="F152" i="20"/>
  <c r="C160" i="20"/>
  <c r="C162" i="20"/>
  <c r="F157" i="20"/>
  <c r="F151" i="20"/>
  <c r="C161" i="20"/>
  <c r="F153" i="20"/>
  <c r="F156" i="20"/>
  <c r="F155" i="20"/>
  <c r="F154" i="20"/>
  <c r="BE165" i="9"/>
  <c r="BE181" i="9" s="1"/>
  <c r="BE197" i="9" s="1"/>
  <c r="BF149" i="9"/>
  <c r="BE75" i="8"/>
  <c r="BE57" i="10" s="1"/>
  <c r="BE27" i="11"/>
  <c r="BE28" i="11" s="1"/>
  <c r="BE30" i="11" s="1"/>
  <c r="BE16" i="17" s="1"/>
  <c r="BF73" i="8"/>
  <c r="BF74" i="8" s="1"/>
  <c r="BF13" i="11"/>
  <c r="BF13" i="17" s="1"/>
  <c r="BJ106" i="11"/>
  <c r="BJ105" i="11"/>
  <c r="BJ104" i="11"/>
  <c r="BJ103" i="11"/>
  <c r="BJ102" i="11"/>
  <c r="BJ98" i="11"/>
  <c r="BO49" i="10"/>
  <c r="BK50" i="17"/>
  <c r="BK126" i="10"/>
  <c r="BK127" i="10"/>
  <c r="BK51" i="17"/>
  <c r="BK73" i="10"/>
  <c r="BK74" i="10" s="1"/>
  <c r="BK128" i="10"/>
  <c r="BK52" i="17"/>
  <c r="BL41" i="17"/>
  <c r="BL123" i="10"/>
  <c r="BL122" i="10"/>
  <c r="BL40" i="17"/>
  <c r="BL119" i="10"/>
  <c r="BL124" i="10" s="1"/>
  <c r="BL121" i="10"/>
  <c r="BL39" i="17"/>
  <c r="BM117" i="10"/>
  <c r="BM71" i="10"/>
  <c r="BM72" i="10" s="1"/>
  <c r="BM118" i="10"/>
  <c r="BM83" i="10"/>
  <c r="BM67" i="10"/>
  <c r="BM68" i="10" s="1"/>
  <c r="BM80" i="10"/>
  <c r="BM116" i="10"/>
  <c r="BN106" i="10"/>
  <c r="BN66" i="10"/>
  <c r="BN63" i="10"/>
  <c r="BN105" i="10"/>
  <c r="BN54" i="10"/>
  <c r="BN56" i="10" s="1"/>
  <c r="BN17" i="11"/>
  <c r="BN64" i="10"/>
  <c r="BN62" i="10"/>
  <c r="BN20" i="11"/>
  <c r="BN23" i="11" s="1"/>
  <c r="BN26" i="11"/>
  <c r="BN65" i="10"/>
  <c r="BN107" i="10" s="1"/>
  <c r="BL72" i="10"/>
  <c r="BI103" i="11"/>
  <c r="BI104" i="11"/>
  <c r="BI105" i="11"/>
  <c r="BI106" i="11"/>
  <c r="BI102" i="11"/>
  <c r="BI98" i="11"/>
  <c r="BE12" i="17"/>
  <c r="BE11" i="17"/>
  <c r="BE15" i="17"/>
  <c r="V57" i="17"/>
  <c r="V56" i="17"/>
  <c r="V55" i="17"/>
  <c r="BC96" i="10"/>
  <c r="BC101" i="10" s="1"/>
  <c r="BC36" i="17"/>
  <c r="BC42" i="17" s="1"/>
  <c r="BE98" i="10"/>
  <c r="BE31" i="17"/>
  <c r="BE99" i="10"/>
  <c r="BE38" i="17"/>
  <c r="BE44" i="17" s="1"/>
  <c r="BF93" i="10"/>
  <c r="AN163" i="9"/>
  <c r="AM195" i="9"/>
  <c r="BB9" i="6"/>
  <c r="BB51" i="12"/>
  <c r="BB41" i="6" s="1"/>
  <c r="BB45" i="12"/>
  <c r="BB39" i="6" s="1"/>
  <c r="BB79" i="11"/>
  <c r="BB69" i="11"/>
  <c r="BB70" i="11" s="1"/>
  <c r="BB89" i="11" s="1"/>
  <c r="BB15" i="6" s="1"/>
  <c r="BB108" i="10"/>
  <c r="BA143" i="6"/>
  <c r="BA165" i="6"/>
  <c r="AZ126" i="6"/>
  <c r="AZ157" i="6"/>
  <c r="BA122" i="6"/>
  <c r="BA176" i="6"/>
  <c r="BA8" i="6"/>
  <c r="BA157" i="6"/>
  <c r="BA126" i="6"/>
  <c r="BF40" i="14"/>
  <c r="BE62" i="8"/>
  <c r="BE89" i="10" s="1"/>
  <c r="BF64" i="14"/>
  <c r="BF77" i="11" s="1"/>
  <c r="BF49" i="14"/>
  <c r="BF46" i="14"/>
  <c r="BF63" i="8" s="1"/>
  <c r="BF90" i="10" s="1"/>
  <c r="BF97" i="10" s="1"/>
  <c r="BF47" i="14"/>
  <c r="BF64" i="8" s="1"/>
  <c r="BF91" i="10" s="1"/>
  <c r="BF48" i="14"/>
  <c r="BG63" i="14"/>
  <c r="BG62" i="14"/>
  <c r="BG61" i="14"/>
  <c r="BG60" i="14"/>
  <c r="BG59" i="14"/>
  <c r="BG58" i="14"/>
  <c r="BG57" i="14"/>
  <c r="BG56" i="14"/>
  <c r="BG55" i="14"/>
  <c r="BG54" i="14"/>
  <c r="BG53" i="14"/>
  <c r="BG52" i="14"/>
  <c r="BF5" i="13"/>
  <c r="BF5" i="14"/>
  <c r="BG36" i="14"/>
  <c r="BG35" i="14"/>
  <c r="BG34" i="14"/>
  <c r="BG33" i="14"/>
  <c r="BG32" i="14"/>
  <c r="BG31" i="14"/>
  <c r="BG30" i="14"/>
  <c r="BG29" i="14"/>
  <c r="BG39" i="14" s="1"/>
  <c r="BG28" i="14"/>
  <c r="BG27" i="14"/>
  <c r="BG26" i="14"/>
  <c r="BG25" i="14"/>
  <c r="V40" i="6"/>
  <c r="BF5" i="12"/>
  <c r="BF5" i="6"/>
  <c r="W53" i="10"/>
  <c r="BD65" i="11"/>
  <c r="BD17" i="17" s="1"/>
  <c r="BF60" i="8"/>
  <c r="BG59" i="8"/>
  <c r="BH22" i="7"/>
  <c r="BC145" i="9"/>
  <c r="BE160" i="9"/>
  <c r="BE176" i="9" s="1"/>
  <c r="BE192" i="9" s="1"/>
  <c r="BF144" i="9"/>
  <c r="BA187" i="9"/>
  <c r="BB171" i="9"/>
  <c r="BC155" i="9" s="1"/>
  <c r="BD139" i="9"/>
  <c r="BF68" i="11"/>
  <c r="BF10" i="11"/>
  <c r="BF22" i="17" s="1"/>
  <c r="BF9" i="11"/>
  <c r="BF10" i="17" s="1"/>
  <c r="BF11" i="11"/>
  <c r="BF12" i="11"/>
  <c r="BF65" i="8"/>
  <c r="BF92" i="10" s="1"/>
  <c r="BF34" i="11"/>
  <c r="BF35" i="11"/>
  <c r="BF36" i="11"/>
  <c r="BF37" i="11"/>
  <c r="BF38" i="11"/>
  <c r="BF39" i="11"/>
  <c r="BF23" i="17" s="1"/>
  <c r="BF40" i="11"/>
  <c r="BF41" i="11"/>
  <c r="BF42" i="11"/>
  <c r="BF43" i="11"/>
  <c r="BF44" i="11"/>
  <c r="BF45" i="11"/>
  <c r="BF46" i="11"/>
  <c r="BF47" i="11"/>
  <c r="BF48" i="11"/>
  <c r="BF49" i="11"/>
  <c r="BF29" i="11"/>
  <c r="BF76" i="11"/>
  <c r="BF73" i="11"/>
  <c r="BF75" i="11"/>
  <c r="BF58" i="11"/>
  <c r="BF74" i="11"/>
  <c r="BF18" i="11"/>
  <c r="BF19" i="11" s="1"/>
  <c r="BF24" i="17" s="1"/>
  <c r="BF21" i="11"/>
  <c r="BF22" i="11" s="1"/>
  <c r="BF24" i="11"/>
  <c r="BF25" i="11" s="1"/>
  <c r="BF62" i="11"/>
  <c r="BE50" i="11"/>
  <c r="BE51" i="11"/>
  <c r="BD52" i="11"/>
  <c r="BF5" i="11"/>
  <c r="BF5" i="10"/>
  <c r="BF5" i="9"/>
  <c r="BF55" i="8"/>
  <c r="BG58" i="8"/>
  <c r="BG57" i="8"/>
  <c r="BH147" i="9"/>
  <c r="BH143" i="9"/>
  <c r="BH142" i="9"/>
  <c r="BH11" i="7"/>
  <c r="BG12" i="7"/>
  <c r="BG5" i="17" s="1"/>
  <c r="BG13" i="7"/>
  <c r="BG27" i="10" s="1"/>
  <c r="BA121" i="6" l="1"/>
  <c r="AH180" i="9"/>
  <c r="AG196" i="9"/>
  <c r="BG80" i="11"/>
  <c r="BG66" i="8"/>
  <c r="BF64" i="11"/>
  <c r="BF63" i="11"/>
  <c r="BF190" i="9"/>
  <c r="BG158" i="9"/>
  <c r="BG174" i="9" s="1"/>
  <c r="AY156" i="9"/>
  <c r="AY172" i="9" s="1"/>
  <c r="AY188" i="9" s="1"/>
  <c r="AZ140" i="9"/>
  <c r="AN25" i="17"/>
  <c r="AN177" i="9"/>
  <c r="AM88" i="17"/>
  <c r="AM37" i="17"/>
  <c r="AM43" i="17" s="1"/>
  <c r="AM45" i="17" s="1"/>
  <c r="AL49" i="17"/>
  <c r="AU141" i="9"/>
  <c r="AT55" i="11"/>
  <c r="AT157" i="9"/>
  <c r="AT173" i="9" s="1"/>
  <c r="AT189" i="9" s="1"/>
  <c r="AS56" i="11"/>
  <c r="AS57" i="11"/>
  <c r="AR59" i="11"/>
  <c r="AR50" i="12" s="1"/>
  <c r="AR14" i="17"/>
  <c r="BF191" i="9"/>
  <c r="BG159" i="9"/>
  <c r="BG175" i="9" s="1"/>
  <c r="BF162" i="9"/>
  <c r="BF178" i="9" s="1"/>
  <c r="BF194" i="9" s="1"/>
  <c r="BG146" i="9"/>
  <c r="BF165" i="9"/>
  <c r="BF181" i="9" s="1"/>
  <c r="BF197" i="9" s="1"/>
  <c r="BG149" i="9"/>
  <c r="BF27" i="11"/>
  <c r="BF28" i="11" s="1"/>
  <c r="BF30" i="11" s="1"/>
  <c r="BF16" i="17" s="1"/>
  <c r="BF75" i="8"/>
  <c r="BF57" i="10" s="1"/>
  <c r="BG73" i="8"/>
  <c r="BG74" i="8" s="1"/>
  <c r="BG13" i="11"/>
  <c r="BG13" i="17" s="1"/>
  <c r="BL73" i="10"/>
  <c r="BL75" i="10"/>
  <c r="BL81" i="10" s="1"/>
  <c r="BO63" i="10"/>
  <c r="BO66" i="10"/>
  <c r="BO62" i="10"/>
  <c r="BO116" i="10" s="1"/>
  <c r="BO106" i="10"/>
  <c r="BO54" i="10"/>
  <c r="BO56" i="10" s="1"/>
  <c r="BO105" i="10"/>
  <c r="BO17" i="11"/>
  <c r="BO65" i="10"/>
  <c r="BO107" i="10" s="1"/>
  <c r="BM75" i="10"/>
  <c r="BM81" i="10" s="1"/>
  <c r="BM73" i="10"/>
  <c r="BO64" i="10"/>
  <c r="BO20" i="11"/>
  <c r="BO23" i="11" s="1"/>
  <c r="BO26" i="11"/>
  <c r="BK77" i="10"/>
  <c r="BK82" i="10"/>
  <c r="BK85" i="10" s="1"/>
  <c r="BK84" i="17"/>
  <c r="BK86" i="17" s="1"/>
  <c r="BL128" i="10"/>
  <c r="BL52" i="17"/>
  <c r="BL51" i="17"/>
  <c r="BL127" i="10"/>
  <c r="BL50" i="17"/>
  <c r="BL126" i="10"/>
  <c r="BM122" i="10"/>
  <c r="BM40" i="17"/>
  <c r="BM41" i="17"/>
  <c r="BM123" i="10"/>
  <c r="BM119" i="10"/>
  <c r="BM124" i="10" s="1"/>
  <c r="BM121" i="10"/>
  <c r="BM39" i="17"/>
  <c r="BN117" i="10"/>
  <c r="BN71" i="10"/>
  <c r="BN118" i="10"/>
  <c r="BN83" i="10"/>
  <c r="BN67" i="10"/>
  <c r="BN68" i="10" s="1"/>
  <c r="BN80" i="10"/>
  <c r="BN116" i="10"/>
  <c r="BF11" i="17"/>
  <c r="BF15" i="17"/>
  <c r="BF12" i="17"/>
  <c r="BD96" i="10"/>
  <c r="BD101" i="10" s="1"/>
  <c r="BD36" i="17"/>
  <c r="BD42" i="17" s="1"/>
  <c r="BF98" i="10"/>
  <c r="BF31" i="17"/>
  <c r="BF99" i="10"/>
  <c r="BF38" i="17"/>
  <c r="BF44" i="17" s="1"/>
  <c r="AW148" i="9"/>
  <c r="BG93" i="10"/>
  <c r="BB143" i="6"/>
  <c r="AN179" i="9"/>
  <c r="BB122" i="6"/>
  <c r="BB176" i="6"/>
  <c r="BB8" i="6"/>
  <c r="BB165" i="6"/>
  <c r="BB126" i="6"/>
  <c r="BB157" i="6"/>
  <c r="BG40" i="14"/>
  <c r="BC9" i="6"/>
  <c r="BC45" i="12"/>
  <c r="BC39" i="6" s="1"/>
  <c r="BC51" i="12"/>
  <c r="BC41" i="6" s="1"/>
  <c r="BC69" i="11"/>
  <c r="BC70" i="11" s="1"/>
  <c r="BC89" i="11" s="1"/>
  <c r="BC15" i="6" s="1"/>
  <c r="BC79" i="11"/>
  <c r="BC108" i="10"/>
  <c r="BF62" i="8"/>
  <c r="BF89" i="10" s="1"/>
  <c r="BG64" i="14"/>
  <c r="BG77" i="11" s="1"/>
  <c r="BG47" i="14"/>
  <c r="BG64" i="8" s="1"/>
  <c r="BG91" i="10" s="1"/>
  <c r="BG46" i="14"/>
  <c r="BG63" i="8" s="1"/>
  <c r="BG90" i="10" s="1"/>
  <c r="BG97" i="10" s="1"/>
  <c r="BG49" i="14"/>
  <c r="BG48" i="14"/>
  <c r="BH63" i="14"/>
  <c r="BH62" i="14"/>
  <c r="BH61" i="14"/>
  <c r="BH60" i="14"/>
  <c r="BH59" i="14"/>
  <c r="BH58" i="14"/>
  <c r="BH57" i="14"/>
  <c r="BH56" i="14"/>
  <c r="BH55" i="14"/>
  <c r="BH54" i="14"/>
  <c r="BH53" i="14"/>
  <c r="BH52" i="14"/>
  <c r="BH36" i="14"/>
  <c r="BH35" i="14"/>
  <c r="BH34" i="14"/>
  <c r="BH33" i="14"/>
  <c r="BH32" i="14"/>
  <c r="BH31" i="14"/>
  <c r="BH30" i="14"/>
  <c r="BH29" i="14"/>
  <c r="BH39" i="14" s="1"/>
  <c r="BH28" i="14"/>
  <c r="BH27" i="14"/>
  <c r="BH26" i="14"/>
  <c r="BH25" i="14"/>
  <c r="BG5" i="13"/>
  <c r="BG5" i="14"/>
  <c r="BG5" i="12"/>
  <c r="BG5" i="6"/>
  <c r="BG60" i="8"/>
  <c r="W59" i="10"/>
  <c r="W8" i="11" s="1"/>
  <c r="W9" i="17" s="1"/>
  <c r="W55" i="10"/>
  <c r="BF51" i="11"/>
  <c r="BH59" i="8"/>
  <c r="BI22" i="7"/>
  <c r="BD145" i="9"/>
  <c r="BG144" i="9"/>
  <c r="BF160" i="9"/>
  <c r="BF176" i="9" s="1"/>
  <c r="BF192" i="9" s="1"/>
  <c r="BB187" i="9"/>
  <c r="BC171" i="9"/>
  <c r="BD155" i="9" s="1"/>
  <c r="BE139" i="9"/>
  <c r="BG68" i="11"/>
  <c r="BG10" i="11"/>
  <c r="BG22" i="17" s="1"/>
  <c r="BG9" i="11"/>
  <c r="BG10" i="17" s="1"/>
  <c r="BG11" i="11"/>
  <c r="BG12" i="11"/>
  <c r="BG65" i="8"/>
  <c r="BG92" i="10" s="1"/>
  <c r="BG34" i="11"/>
  <c r="BG35" i="11"/>
  <c r="BG36" i="11"/>
  <c r="BG37" i="11"/>
  <c r="BG38" i="11"/>
  <c r="BG39" i="11"/>
  <c r="BG23" i="17" s="1"/>
  <c r="BG40" i="11"/>
  <c r="BG41" i="11"/>
  <c r="BG42" i="11"/>
  <c r="BG43" i="11"/>
  <c r="BG44" i="11"/>
  <c r="BG45" i="11"/>
  <c r="BG46" i="11"/>
  <c r="BG47" i="11"/>
  <c r="BG48" i="11"/>
  <c r="BG49" i="11"/>
  <c r="BG29" i="11"/>
  <c r="BG73" i="11"/>
  <c r="BG76" i="11"/>
  <c r="BG75" i="11"/>
  <c r="BG58" i="11"/>
  <c r="BG74" i="11"/>
  <c r="BG18" i="11"/>
  <c r="BG19" i="11" s="1"/>
  <c r="BG24" i="17" s="1"/>
  <c r="BG21" i="11"/>
  <c r="BG22" i="11" s="1"/>
  <c r="BG24" i="11"/>
  <c r="BG25" i="11" s="1"/>
  <c r="BG62" i="11"/>
  <c r="BE65" i="11"/>
  <c r="BE17" i="17" s="1"/>
  <c r="BF50" i="11"/>
  <c r="BE52" i="11"/>
  <c r="BH58" i="8"/>
  <c r="BH57" i="8"/>
  <c r="BG5" i="11"/>
  <c r="BG5" i="10"/>
  <c r="BG5" i="9"/>
  <c r="BG55" i="8"/>
  <c r="BI147" i="9"/>
  <c r="BJ147" i="9" s="1"/>
  <c r="BI143" i="9"/>
  <c r="BJ143" i="9" s="1"/>
  <c r="BI142" i="9"/>
  <c r="BJ142" i="9" s="1"/>
  <c r="BH13" i="7"/>
  <c r="BH27" i="10" s="1"/>
  <c r="BI11" i="7"/>
  <c r="BH12" i="7"/>
  <c r="BH5" i="17" s="1"/>
  <c r="BB121" i="6" l="1"/>
  <c r="AH196" i="9"/>
  <c r="AI164" i="9"/>
  <c r="BH80" i="11"/>
  <c r="BH66" i="8"/>
  <c r="BG64" i="11"/>
  <c r="BG63" i="11"/>
  <c r="BG190" i="9"/>
  <c r="BH158" i="9"/>
  <c r="BH174" i="9" s="1"/>
  <c r="AZ156" i="9"/>
  <c r="AZ172" i="9" s="1"/>
  <c r="AZ188" i="9" s="1"/>
  <c r="BA140" i="9"/>
  <c r="AN26" i="17"/>
  <c r="AN32" i="17"/>
  <c r="AN87" i="17" s="1"/>
  <c r="AN89" i="17" s="1"/>
  <c r="AN193" i="9"/>
  <c r="AO161" i="9"/>
  <c r="AM46" i="17"/>
  <c r="AM48" i="17"/>
  <c r="AM47" i="17"/>
  <c r="AV141" i="9"/>
  <c r="AU55" i="11"/>
  <c r="AU157" i="9"/>
  <c r="AU173" i="9" s="1"/>
  <c r="AU189" i="9" s="1"/>
  <c r="AT57" i="11"/>
  <c r="AT56" i="11"/>
  <c r="AS14" i="17"/>
  <c r="AS59" i="11"/>
  <c r="AS50" i="12" s="1"/>
  <c r="BG191" i="9"/>
  <c r="BH159" i="9"/>
  <c r="BH175" i="9" s="1"/>
  <c r="BG162" i="9"/>
  <c r="BG178" i="9" s="1"/>
  <c r="BG194" i="9" s="1"/>
  <c r="BH146" i="9"/>
  <c r="BH149" i="9"/>
  <c r="BG165" i="9"/>
  <c r="BG181" i="9" s="1"/>
  <c r="BG197" i="9" s="1"/>
  <c r="BG75" i="8"/>
  <c r="BG57" i="10" s="1"/>
  <c r="BG27" i="11"/>
  <c r="BG28" i="11" s="1"/>
  <c r="BG30" i="11" s="1"/>
  <c r="BG16" i="17" s="1"/>
  <c r="BH73" i="8"/>
  <c r="BH74" i="8" s="1"/>
  <c r="BH13" i="11"/>
  <c r="BH13" i="17" s="1"/>
  <c r="BL84" i="17"/>
  <c r="BL86" i="17" s="1"/>
  <c r="BL82" i="10"/>
  <c r="BL85" i="10" s="1"/>
  <c r="BL77" i="10"/>
  <c r="BL74" i="10"/>
  <c r="BO80" i="10"/>
  <c r="BO67" i="10"/>
  <c r="BO68" i="10" s="1"/>
  <c r="BO117" i="10"/>
  <c r="BO71" i="10"/>
  <c r="BM74" i="10"/>
  <c r="BM77" i="10"/>
  <c r="BM82" i="10"/>
  <c r="BM85" i="10" s="1"/>
  <c r="BM84" i="17"/>
  <c r="BM86" i="17" s="1"/>
  <c r="BO39" i="17"/>
  <c r="BO121" i="10"/>
  <c r="BN72" i="10"/>
  <c r="BN75" i="10" s="1"/>
  <c r="BN81" i="10" s="1"/>
  <c r="BO118" i="10"/>
  <c r="BO83" i="10"/>
  <c r="BK102" i="11"/>
  <c r="BK105" i="11"/>
  <c r="BK98" i="11"/>
  <c r="BK103" i="11"/>
  <c r="BK104" i="11"/>
  <c r="BK106" i="11"/>
  <c r="BM51" i="17"/>
  <c r="BM127" i="10"/>
  <c r="BM128" i="10"/>
  <c r="BM52" i="17"/>
  <c r="BM50" i="17"/>
  <c r="BM126" i="10"/>
  <c r="BN122" i="10"/>
  <c r="BN40" i="17"/>
  <c r="BN41" i="17"/>
  <c r="BN123" i="10"/>
  <c r="BN119" i="10"/>
  <c r="BN124" i="10" s="1"/>
  <c r="BN121" i="10"/>
  <c r="BN39" i="17"/>
  <c r="BG12" i="17"/>
  <c r="BG11" i="17"/>
  <c r="BG15" i="17"/>
  <c r="BE96" i="10"/>
  <c r="BE101" i="10" s="1"/>
  <c r="BE36" i="17"/>
  <c r="BE42" i="17" s="1"/>
  <c r="BG98" i="10"/>
  <c r="W29" i="17"/>
  <c r="BG31" i="17"/>
  <c r="BG99" i="10"/>
  <c r="BG38" i="17"/>
  <c r="BG44" i="17" s="1"/>
  <c r="AX148" i="9"/>
  <c r="BH93" i="10"/>
  <c r="BC143" i="6"/>
  <c r="BD69" i="11"/>
  <c r="BD70" i="11" s="1"/>
  <c r="BD89" i="11" s="1"/>
  <c r="BD15" i="6" s="1"/>
  <c r="BD79" i="11"/>
  <c r="BD108" i="10"/>
  <c r="BD9" i="6"/>
  <c r="BD51" i="12"/>
  <c r="BD41" i="6" s="1"/>
  <c r="BD45" i="12"/>
  <c r="BD39" i="6" s="1"/>
  <c r="AN195" i="9"/>
  <c r="AO163" i="9"/>
  <c r="BC165" i="6"/>
  <c r="BC122" i="6"/>
  <c r="BC176" i="6"/>
  <c r="BC8" i="6"/>
  <c r="BC157" i="6"/>
  <c r="BC126" i="6"/>
  <c r="BG62" i="8"/>
  <c r="BG89" i="10" s="1"/>
  <c r="BH40" i="14"/>
  <c r="BH64" i="14"/>
  <c r="BH77" i="11" s="1"/>
  <c r="BH46" i="14"/>
  <c r="BH63" i="8" s="1"/>
  <c r="BH90" i="10" s="1"/>
  <c r="BH97" i="10" s="1"/>
  <c r="BH47" i="14"/>
  <c r="BH64" i="8" s="1"/>
  <c r="BH91" i="10" s="1"/>
  <c r="BH48" i="14"/>
  <c r="BH49" i="14"/>
  <c r="BI63" i="14"/>
  <c r="BI62" i="14"/>
  <c r="BI61" i="14"/>
  <c r="BI60" i="14"/>
  <c r="BI59" i="14"/>
  <c r="BI58" i="14"/>
  <c r="BI57" i="14"/>
  <c r="BI56" i="14"/>
  <c r="BI55" i="14"/>
  <c r="BI54" i="14"/>
  <c r="BI53" i="14"/>
  <c r="BI52" i="14"/>
  <c r="BJ11" i="7"/>
  <c r="BI31" i="14"/>
  <c r="BI30" i="14"/>
  <c r="BI36" i="14"/>
  <c r="BI25" i="14"/>
  <c r="BI35" i="14"/>
  <c r="BI26" i="14"/>
  <c r="BI34" i="14"/>
  <c r="BI27" i="14"/>
  <c r="BI33" i="14"/>
  <c r="BI28" i="14"/>
  <c r="BI32" i="14"/>
  <c r="BI29" i="14"/>
  <c r="BI39" i="14" s="1"/>
  <c r="BH5" i="13"/>
  <c r="BH5" i="14"/>
  <c r="BI59" i="8"/>
  <c r="BJ22" i="7"/>
  <c r="BK147" i="9"/>
  <c r="BK143" i="9"/>
  <c r="BK142" i="9"/>
  <c r="BH5" i="12"/>
  <c r="BH5" i="6"/>
  <c r="BH60" i="8"/>
  <c r="BF52" i="11"/>
  <c r="W14" i="11"/>
  <c r="W84" i="11" s="1"/>
  <c r="W49" i="12" s="1"/>
  <c r="W46" i="12"/>
  <c r="X52" i="10"/>
  <c r="W48" i="12"/>
  <c r="BG51" i="11"/>
  <c r="BE145" i="9"/>
  <c r="BG160" i="9"/>
  <c r="BG176" i="9" s="1"/>
  <c r="BG192" i="9" s="1"/>
  <c r="BH144" i="9"/>
  <c r="BC187" i="9"/>
  <c r="BD171" i="9"/>
  <c r="BE155" i="9" s="1"/>
  <c r="BF139" i="9"/>
  <c r="BH68" i="11"/>
  <c r="BH10" i="11"/>
  <c r="BH22" i="17" s="1"/>
  <c r="BH9" i="11"/>
  <c r="BH10" i="17" s="1"/>
  <c r="BH11" i="11"/>
  <c r="BH12" i="11"/>
  <c r="BH65" i="8"/>
  <c r="BH92" i="10" s="1"/>
  <c r="BH34" i="11"/>
  <c r="BH35" i="11"/>
  <c r="BH36" i="11"/>
  <c r="BH37" i="11"/>
  <c r="BH38" i="11"/>
  <c r="BH39" i="11"/>
  <c r="BH23" i="17" s="1"/>
  <c r="BH40" i="11"/>
  <c r="BH41" i="11"/>
  <c r="BH42" i="11"/>
  <c r="BH43" i="11"/>
  <c r="BH44" i="11"/>
  <c r="BH45" i="11"/>
  <c r="BH46" i="11"/>
  <c r="BH47" i="11"/>
  <c r="BH48" i="11"/>
  <c r="BH49" i="11"/>
  <c r="BH29" i="11"/>
  <c r="BH74" i="11"/>
  <c r="BH75" i="11"/>
  <c r="BH76" i="11"/>
  <c r="BH58" i="11"/>
  <c r="BH73" i="11"/>
  <c r="BH18" i="11"/>
  <c r="BH19" i="11" s="1"/>
  <c r="BH24" i="17" s="1"/>
  <c r="BH21" i="11"/>
  <c r="BH22" i="11" s="1"/>
  <c r="BH24" i="11"/>
  <c r="BH25" i="11" s="1"/>
  <c r="BH62" i="11"/>
  <c r="BF65" i="11"/>
  <c r="BF17" i="17" s="1"/>
  <c r="BG50" i="11"/>
  <c r="BI58" i="8"/>
  <c r="BI57" i="8"/>
  <c r="BH5" i="11"/>
  <c r="BH5" i="10"/>
  <c r="BH5" i="9"/>
  <c r="BH55" i="8"/>
  <c r="BI12" i="7"/>
  <c r="BI5" i="17" s="1"/>
  <c r="BI13" i="7"/>
  <c r="BI27" i="10" s="1"/>
  <c r="BC121" i="6" l="1"/>
  <c r="AI180" i="9"/>
  <c r="AI91" i="11"/>
  <c r="AI17" i="6" s="1"/>
  <c r="AI128" i="6" s="1"/>
  <c r="BI80" i="11"/>
  <c r="BI66" i="8"/>
  <c r="BH64" i="11"/>
  <c r="BH63" i="11"/>
  <c r="BH190" i="9"/>
  <c r="BI158" i="9"/>
  <c r="BI174" i="9" s="1"/>
  <c r="BB140" i="9"/>
  <c r="BA156" i="9"/>
  <c r="BA172" i="9" s="1"/>
  <c r="BA188" i="9" s="1"/>
  <c r="BH191" i="9"/>
  <c r="BI159" i="9"/>
  <c r="BI175" i="9" s="1"/>
  <c r="AN37" i="17"/>
  <c r="AN43" i="17" s="1"/>
  <c r="AN45" i="17" s="1"/>
  <c r="AN88" i="17"/>
  <c r="AM49" i="17"/>
  <c r="AO25" i="17"/>
  <c r="AO177" i="9"/>
  <c r="AW141" i="9"/>
  <c r="AV55" i="11"/>
  <c r="AV157" i="9"/>
  <c r="AV173" i="9" s="1"/>
  <c r="AV189" i="9" s="1"/>
  <c r="AU57" i="11"/>
  <c r="AU56" i="11"/>
  <c r="AT59" i="11"/>
  <c r="AT50" i="12" s="1"/>
  <c r="AT14" i="17"/>
  <c r="BL104" i="11"/>
  <c r="BL98" i="11"/>
  <c r="BH162" i="9"/>
  <c r="BH178" i="9" s="1"/>
  <c r="BH194" i="9" s="1"/>
  <c r="BI146" i="9"/>
  <c r="BL105" i="11"/>
  <c r="BL102" i="11"/>
  <c r="BL106" i="11"/>
  <c r="BL103" i="11"/>
  <c r="BH165" i="9"/>
  <c r="BH181" i="9" s="1"/>
  <c r="BH197" i="9" s="1"/>
  <c r="BI149" i="9"/>
  <c r="BH75" i="8"/>
  <c r="BH57" i="10" s="1"/>
  <c r="BH27" i="11"/>
  <c r="BH28" i="11" s="1"/>
  <c r="BH30" i="11" s="1"/>
  <c r="BH16" i="17" s="1"/>
  <c r="BI73" i="8"/>
  <c r="BI74" i="8" s="1"/>
  <c r="BI13" i="11"/>
  <c r="BI13" i="17" s="1"/>
  <c r="BM105" i="11"/>
  <c r="BM98" i="11"/>
  <c r="BO122" i="10"/>
  <c r="BO40" i="17"/>
  <c r="BO72" i="10"/>
  <c r="BO75" i="10" s="1"/>
  <c r="BO81" i="10" s="1"/>
  <c r="BN73" i="10"/>
  <c r="BN74" i="10" s="1"/>
  <c r="BM102" i="11"/>
  <c r="BM103" i="11"/>
  <c r="BM104" i="11"/>
  <c r="BM106" i="11"/>
  <c r="BO50" i="17"/>
  <c r="BO126" i="10"/>
  <c r="BO123" i="10"/>
  <c r="BO119" i="10"/>
  <c r="BO124" i="10" s="1"/>
  <c r="BO41" i="17"/>
  <c r="BN51" i="17"/>
  <c r="BN127" i="10"/>
  <c r="BN128" i="10"/>
  <c r="BN52" i="17"/>
  <c r="BN50" i="17"/>
  <c r="BN126" i="10"/>
  <c r="BH11" i="17"/>
  <c r="BH12" i="17"/>
  <c r="BH15" i="17"/>
  <c r="W57" i="17"/>
  <c r="W55" i="17"/>
  <c r="W56" i="17"/>
  <c r="BF96" i="10"/>
  <c r="BF101" i="10" s="1"/>
  <c r="BF36" i="17"/>
  <c r="BF42" i="17" s="1"/>
  <c r="BH98" i="10"/>
  <c r="BH31" i="17"/>
  <c r="BH99" i="10"/>
  <c r="BH38" i="17"/>
  <c r="BH44" i="17" s="1"/>
  <c r="AY148" i="9"/>
  <c r="BI93" i="10"/>
  <c r="BD143" i="6"/>
  <c r="BD126" i="6"/>
  <c r="BD157" i="6"/>
  <c r="BE51" i="12"/>
  <c r="BE41" i="6" s="1"/>
  <c r="BE45" i="12"/>
  <c r="BE39" i="6" s="1"/>
  <c r="BD8" i="6"/>
  <c r="BD176" i="6"/>
  <c r="BD165" i="6"/>
  <c r="BD122" i="6"/>
  <c r="AO179" i="9"/>
  <c r="BE9" i="6"/>
  <c r="BE69" i="11"/>
  <c r="BE70" i="11" s="1"/>
  <c r="BE89" i="11" s="1"/>
  <c r="BE15" i="6" s="1"/>
  <c r="BE79" i="11"/>
  <c r="BE108" i="10"/>
  <c r="BH62" i="8"/>
  <c r="BH89" i="10" s="1"/>
  <c r="W40" i="6"/>
  <c r="BI40" i="14"/>
  <c r="BI64" i="14"/>
  <c r="BI77" i="11" s="1"/>
  <c r="BJ53" i="14"/>
  <c r="BJ52" i="14"/>
  <c r="BJ13" i="7"/>
  <c r="BJ27" i="10" s="1"/>
  <c r="BJ57" i="8"/>
  <c r="BJ58" i="8"/>
  <c r="BK11" i="7"/>
  <c r="BJ12" i="7"/>
  <c r="BJ5" i="17" s="1"/>
  <c r="BJ63" i="14"/>
  <c r="BJ62" i="14"/>
  <c r="BJ61" i="14"/>
  <c r="BJ60" i="14"/>
  <c r="BJ59" i="14"/>
  <c r="BJ58" i="14"/>
  <c r="BJ57" i="14"/>
  <c r="BJ56" i="14"/>
  <c r="BJ55" i="14"/>
  <c r="BJ54" i="14"/>
  <c r="BI46" i="14"/>
  <c r="BI63" i="8" s="1"/>
  <c r="BI90" i="10" s="1"/>
  <c r="BI97" i="10" s="1"/>
  <c r="BI49" i="14"/>
  <c r="BI48" i="14"/>
  <c r="BI47" i="14"/>
  <c r="BI64" i="8" s="1"/>
  <c r="BI91" i="10" s="1"/>
  <c r="BJ25" i="14"/>
  <c r="BJ35" i="14"/>
  <c r="BJ26" i="14"/>
  <c r="BJ34" i="14"/>
  <c r="BJ27" i="14"/>
  <c r="BJ33" i="14"/>
  <c r="BJ28" i="14"/>
  <c r="BJ32" i="14"/>
  <c r="BJ29" i="14"/>
  <c r="BJ39" i="14" s="1"/>
  <c r="BJ31" i="14"/>
  <c r="BJ30" i="14"/>
  <c r="BJ36" i="14"/>
  <c r="BI60" i="8"/>
  <c r="BI5" i="13"/>
  <c r="BI5" i="14"/>
  <c r="BK22" i="7"/>
  <c r="BJ59" i="8"/>
  <c r="BL147" i="9"/>
  <c r="BL143" i="9"/>
  <c r="BL142" i="9"/>
  <c r="BI5" i="12"/>
  <c r="BI5" i="6"/>
  <c r="X53" i="10"/>
  <c r="BG52" i="11"/>
  <c r="BH51" i="11"/>
  <c r="BF145" i="9"/>
  <c r="BH160" i="9"/>
  <c r="BH176" i="9" s="1"/>
  <c r="BH192" i="9" s="1"/>
  <c r="BI144" i="9"/>
  <c r="BJ144" i="9" s="1"/>
  <c r="BE171" i="9"/>
  <c r="BF155" i="9" s="1"/>
  <c r="BD187" i="9"/>
  <c r="BG139" i="9"/>
  <c r="BI68" i="11"/>
  <c r="BI10" i="11"/>
  <c r="BI22" i="17" s="1"/>
  <c r="BI9" i="11"/>
  <c r="BI10" i="17" s="1"/>
  <c r="BI11" i="11"/>
  <c r="BI12" i="11"/>
  <c r="BI65" i="8"/>
  <c r="BI92" i="10" s="1"/>
  <c r="BI34" i="11"/>
  <c r="BI35" i="11"/>
  <c r="BI36" i="11"/>
  <c r="BI37" i="11"/>
  <c r="BI38" i="11"/>
  <c r="BI39" i="11"/>
  <c r="BI23" i="17" s="1"/>
  <c r="BI40" i="11"/>
  <c r="BI41" i="11"/>
  <c r="BI42" i="11"/>
  <c r="BI43" i="11"/>
  <c r="BI44" i="11"/>
  <c r="BI45" i="11"/>
  <c r="BI46" i="11"/>
  <c r="BI47" i="11"/>
  <c r="BI48" i="11"/>
  <c r="BI49" i="11"/>
  <c r="BI29" i="11"/>
  <c r="BI76" i="11"/>
  <c r="BI58" i="11"/>
  <c r="BI73" i="11"/>
  <c r="BI74" i="11"/>
  <c r="BI75" i="11"/>
  <c r="BI18" i="11"/>
  <c r="BI19" i="11" s="1"/>
  <c r="BI24" i="17" s="1"/>
  <c r="BI21" i="11"/>
  <c r="BI22" i="11" s="1"/>
  <c r="BI24" i="11"/>
  <c r="BI25" i="11" s="1"/>
  <c r="BI62" i="11"/>
  <c r="BG65" i="11"/>
  <c r="BG17" i="17" s="1"/>
  <c r="BH50" i="11"/>
  <c r="BI5" i="11"/>
  <c r="BI5" i="10"/>
  <c r="BI5" i="9"/>
  <c r="BI55" i="8"/>
  <c r="BD121" i="6" l="1"/>
  <c r="AI196" i="9"/>
  <c r="AJ164" i="9"/>
  <c r="BJ80" i="11"/>
  <c r="BJ66" i="8"/>
  <c r="BI64" i="11"/>
  <c r="BI63" i="11"/>
  <c r="BJ158" i="9"/>
  <c r="BJ174" i="9" s="1"/>
  <c r="BI190" i="9"/>
  <c r="BB156" i="9"/>
  <c r="BB172" i="9" s="1"/>
  <c r="BB188" i="9" s="1"/>
  <c r="BC140" i="9"/>
  <c r="BJ159" i="9"/>
  <c r="BJ175" i="9" s="1"/>
  <c r="BI191" i="9"/>
  <c r="AN47" i="17"/>
  <c r="AN46" i="17"/>
  <c r="AN48" i="17"/>
  <c r="AO32" i="17"/>
  <c r="AO87" i="17" s="1"/>
  <c r="AO89" i="17" s="1"/>
  <c r="AO26" i="17"/>
  <c r="AO193" i="9"/>
  <c r="AP161" i="9"/>
  <c r="AW55" i="11"/>
  <c r="AX141" i="9"/>
  <c r="AW157" i="9"/>
  <c r="AW173" i="9" s="1"/>
  <c r="AW189" i="9" s="1"/>
  <c r="AV56" i="11"/>
  <c r="AV57" i="11"/>
  <c r="AU59" i="11"/>
  <c r="AU50" i="12" s="1"/>
  <c r="AU14" i="17"/>
  <c r="BI162" i="9"/>
  <c r="BI178" i="9" s="1"/>
  <c r="BJ146" i="9"/>
  <c r="BI165" i="9"/>
  <c r="BI181" i="9" s="1"/>
  <c r="BJ149" i="9"/>
  <c r="BK149" i="9" s="1"/>
  <c r="BL149" i="9" s="1"/>
  <c r="BM149" i="9" s="1"/>
  <c r="BI75" i="8"/>
  <c r="BI57" i="10" s="1"/>
  <c r="BI27" i="11"/>
  <c r="BI28" i="11" s="1"/>
  <c r="BI30" i="11" s="1"/>
  <c r="BI16" i="17" s="1"/>
  <c r="BJ73" i="8"/>
  <c r="BJ74" i="8" s="1"/>
  <c r="BJ13" i="11"/>
  <c r="BJ13" i="17" s="1"/>
  <c r="BO51" i="17"/>
  <c r="BO127" i="10"/>
  <c r="BO73" i="10"/>
  <c r="BO74" i="10" s="1"/>
  <c r="BN84" i="17"/>
  <c r="BN86" i="17" s="1"/>
  <c r="BN82" i="10"/>
  <c r="BN85" i="10" s="1"/>
  <c r="BN77" i="10"/>
  <c r="BO128" i="10"/>
  <c r="BO52" i="17"/>
  <c r="BI11" i="17"/>
  <c r="BI12" i="17"/>
  <c r="BI15" i="17"/>
  <c r="BG96" i="10"/>
  <c r="BG101" i="10" s="1"/>
  <c r="BG36" i="17"/>
  <c r="BG42" i="17" s="1"/>
  <c r="BI98" i="10"/>
  <c r="BI31" i="17"/>
  <c r="BI99" i="10"/>
  <c r="BI38" i="17"/>
  <c r="BI44" i="17" s="1"/>
  <c r="AZ148" i="9"/>
  <c r="BJ93" i="10"/>
  <c r="AO195" i="9"/>
  <c r="AP163" i="9"/>
  <c r="BE8" i="6"/>
  <c r="BE176" i="6"/>
  <c r="BE165" i="6"/>
  <c r="BE122" i="6"/>
  <c r="BE143" i="6"/>
  <c r="BE157" i="6"/>
  <c r="BE126" i="6"/>
  <c r="BF108" i="10"/>
  <c r="BF69" i="11"/>
  <c r="BF70" i="11" s="1"/>
  <c r="BF89" i="11" s="1"/>
  <c r="BF15" i="6" s="1"/>
  <c r="BF79" i="11"/>
  <c r="BF9" i="6"/>
  <c r="BF51" i="12"/>
  <c r="BF41" i="6" s="1"/>
  <c r="BF45" i="12"/>
  <c r="BF39" i="6" s="1"/>
  <c r="BJ37" i="11"/>
  <c r="BJ34" i="11"/>
  <c r="BJ76" i="11"/>
  <c r="BJ46" i="11"/>
  <c r="BJ74" i="11"/>
  <c r="BJ43" i="11"/>
  <c r="BJ40" i="11"/>
  <c r="BJ38" i="11"/>
  <c r="BJ75" i="11"/>
  <c r="BJ35" i="11"/>
  <c r="BJ49" i="11"/>
  <c r="BJ44" i="11"/>
  <c r="BJ41" i="11"/>
  <c r="BJ39" i="11"/>
  <c r="BJ23" i="17" s="1"/>
  <c r="BJ36" i="11"/>
  <c r="BJ73" i="11"/>
  <c r="BJ58" i="11"/>
  <c r="BJ18" i="11"/>
  <c r="BJ19" i="11" s="1"/>
  <c r="BJ24" i="17" s="1"/>
  <c r="BJ21" i="11"/>
  <c r="BJ22" i="11" s="1"/>
  <c r="BJ62" i="11"/>
  <c r="BJ24" i="11"/>
  <c r="BJ25" i="11" s="1"/>
  <c r="BJ65" i="8"/>
  <c r="BJ92" i="10" s="1"/>
  <c r="BK58" i="8"/>
  <c r="BL11" i="7"/>
  <c r="BK57" i="8"/>
  <c r="BJ40" i="14"/>
  <c r="BJ60" i="8"/>
  <c r="BJ12" i="11"/>
  <c r="BJ42" i="11"/>
  <c r="BJ45" i="11"/>
  <c r="BJ47" i="11"/>
  <c r="BJ11" i="11"/>
  <c r="BJ9" i="11"/>
  <c r="BJ10" i="17" s="1"/>
  <c r="BJ10" i="11"/>
  <c r="BJ22" i="17" s="1"/>
  <c r="BJ68" i="11"/>
  <c r="BK29" i="14"/>
  <c r="BK39" i="14" s="1"/>
  <c r="BK49" i="14" s="1"/>
  <c r="BK36" i="14"/>
  <c r="BK25" i="14"/>
  <c r="BK26" i="14"/>
  <c r="BK27" i="14"/>
  <c r="BK28" i="14"/>
  <c r="BK30" i="14"/>
  <c r="BK31" i="14"/>
  <c r="BK32" i="14"/>
  <c r="BK33" i="14"/>
  <c r="BK34" i="14"/>
  <c r="BK35" i="14"/>
  <c r="BK13" i="7"/>
  <c r="BK27" i="10" s="1"/>
  <c r="BK12" i="7"/>
  <c r="BK5" i="17" s="1"/>
  <c r="BJ5" i="14"/>
  <c r="BJ5" i="10"/>
  <c r="BJ5" i="11"/>
  <c r="BJ5" i="13"/>
  <c r="BJ5" i="12"/>
  <c r="BJ55" i="8"/>
  <c r="BJ5" i="9"/>
  <c r="BJ5" i="6"/>
  <c r="BK52" i="14"/>
  <c r="BK53" i="14"/>
  <c r="BK54" i="14"/>
  <c r="BK55" i="14"/>
  <c r="BK56" i="14"/>
  <c r="BK57" i="14"/>
  <c r="BK58" i="14"/>
  <c r="BK59" i="14"/>
  <c r="BK60" i="14"/>
  <c r="BK61" i="14"/>
  <c r="BK62" i="14"/>
  <c r="BK63" i="14"/>
  <c r="BJ64" i="14"/>
  <c r="BJ77" i="11" s="1"/>
  <c r="BI62" i="8"/>
  <c r="BI89" i="10" s="1"/>
  <c r="BJ29" i="11"/>
  <c r="BJ48" i="11"/>
  <c r="BJ48" i="14"/>
  <c r="BJ47" i="14"/>
  <c r="BJ64" i="8" s="1"/>
  <c r="BJ91" i="10" s="1"/>
  <c r="BJ46" i="14"/>
  <c r="BJ63" i="8" s="1"/>
  <c r="BJ90" i="10" s="1"/>
  <c r="BJ97" i="10" s="1"/>
  <c r="BJ49" i="14"/>
  <c r="BK59" i="8"/>
  <c r="BL22" i="7"/>
  <c r="BM147" i="9"/>
  <c r="BM143" i="9"/>
  <c r="BM142" i="9"/>
  <c r="BK144" i="9"/>
  <c r="X59" i="10"/>
  <c r="X8" i="11" s="1"/>
  <c r="X9" i="17" s="1"/>
  <c r="X55" i="10"/>
  <c r="BI160" i="9"/>
  <c r="BI176" i="9" s="1"/>
  <c r="BJ160" i="9" s="1"/>
  <c r="BH52" i="11"/>
  <c r="BG145" i="9"/>
  <c r="BF171" i="9"/>
  <c r="BG155" i="9" s="1"/>
  <c r="BE187" i="9"/>
  <c r="BH139" i="9"/>
  <c r="BH65" i="11"/>
  <c r="BH17" i="17" s="1"/>
  <c r="BI50" i="11"/>
  <c r="BI51" i="11"/>
  <c r="BE121" i="6" l="1"/>
  <c r="AJ91" i="11"/>
  <c r="AJ17" i="6" s="1"/>
  <c r="AJ128" i="6" s="1"/>
  <c r="AJ180" i="9"/>
  <c r="BK80" i="11"/>
  <c r="BK66" i="8"/>
  <c r="BJ64" i="11"/>
  <c r="BJ63" i="11"/>
  <c r="BK158" i="9"/>
  <c r="BK174" i="9" s="1"/>
  <c r="BJ190" i="9"/>
  <c r="BK159" i="9"/>
  <c r="BK175" i="9" s="1"/>
  <c r="BJ191" i="9"/>
  <c r="BC156" i="9"/>
  <c r="BC172" i="9" s="1"/>
  <c r="BC188" i="9" s="1"/>
  <c r="BD140" i="9"/>
  <c r="AN49" i="17"/>
  <c r="AP25" i="17"/>
  <c r="AP177" i="9"/>
  <c r="AO37" i="17"/>
  <c r="AO43" i="17" s="1"/>
  <c r="AO45" i="17" s="1"/>
  <c r="AO88" i="17"/>
  <c r="AQ161" i="9"/>
  <c r="AP193" i="9"/>
  <c r="AW56" i="11"/>
  <c r="AW57" i="11"/>
  <c r="AY141" i="9"/>
  <c r="AX55" i="11"/>
  <c r="AX157" i="9"/>
  <c r="AX173" i="9" s="1"/>
  <c r="AX189" i="9" s="1"/>
  <c r="AV59" i="11"/>
  <c r="AV50" i="12" s="1"/>
  <c r="AV14" i="17"/>
  <c r="BI194" i="9"/>
  <c r="BJ162" i="9"/>
  <c r="BJ178" i="9" s="1"/>
  <c r="BJ194" i="9" s="1"/>
  <c r="BK146" i="9"/>
  <c r="BL146" i="9" s="1"/>
  <c r="BM146" i="9" s="1"/>
  <c r="BN146" i="9" s="1"/>
  <c r="BI197" i="9"/>
  <c r="BJ165" i="9"/>
  <c r="BJ181" i="9" s="1"/>
  <c r="BJ27" i="11"/>
  <c r="BJ28" i="11" s="1"/>
  <c r="BJ30" i="11" s="1"/>
  <c r="BJ16" i="17" s="1"/>
  <c r="BJ75" i="8"/>
  <c r="BJ57" i="10" s="1"/>
  <c r="BK73" i="8"/>
  <c r="BK74" i="8" s="1"/>
  <c r="BK13" i="11"/>
  <c r="BK13" i="17" s="1"/>
  <c r="BO84" i="17"/>
  <c r="BO86" i="17" s="1"/>
  <c r="BO82" i="10"/>
  <c r="BO85" i="10" s="1"/>
  <c r="BO77" i="10"/>
  <c r="BN106" i="11"/>
  <c r="BN105" i="11"/>
  <c r="BN104" i="11"/>
  <c r="BN103" i="11"/>
  <c r="BN102" i="11"/>
  <c r="BN98" i="11"/>
  <c r="BJ11" i="17"/>
  <c r="BJ12" i="17"/>
  <c r="BJ15" i="17"/>
  <c r="BH96" i="10"/>
  <c r="BH101" i="10" s="1"/>
  <c r="BH36" i="17"/>
  <c r="BH42" i="17" s="1"/>
  <c r="BJ99" i="10"/>
  <c r="BJ38" i="17"/>
  <c r="BJ44" i="17" s="1"/>
  <c r="BJ31" i="17"/>
  <c r="BJ98" i="10"/>
  <c r="X29" i="17"/>
  <c r="BA148" i="9"/>
  <c r="BK93" i="10"/>
  <c r="AP179" i="9"/>
  <c r="BF143" i="6"/>
  <c r="BG9" i="6"/>
  <c r="BG79" i="11"/>
  <c r="BG108" i="10"/>
  <c r="BG69" i="11"/>
  <c r="BG70" i="11" s="1"/>
  <c r="BG89" i="11" s="1"/>
  <c r="BG15" i="6" s="1"/>
  <c r="BG51" i="12"/>
  <c r="BG41" i="6" s="1"/>
  <c r="BG45" i="12"/>
  <c r="BG39" i="6" s="1"/>
  <c r="BK46" i="14"/>
  <c r="BK63" i="8" s="1"/>
  <c r="BK90" i="10" s="1"/>
  <c r="BK97" i="10" s="1"/>
  <c r="BK47" i="14"/>
  <c r="BK64" i="8" s="1"/>
  <c r="BK91" i="10" s="1"/>
  <c r="BK48" i="14"/>
  <c r="BF157" i="6"/>
  <c r="BF126" i="6"/>
  <c r="BF8" i="6"/>
  <c r="BF176" i="6"/>
  <c r="BF165" i="6"/>
  <c r="BF122" i="6"/>
  <c r="BM11" i="7"/>
  <c r="BL12" i="7"/>
  <c r="BL5" i="17" s="1"/>
  <c r="BL58" i="8"/>
  <c r="BL13" i="7"/>
  <c r="BL27" i="10" s="1"/>
  <c r="BL57" i="8"/>
  <c r="BK68" i="11"/>
  <c r="BK10" i="11"/>
  <c r="BK22" i="17" s="1"/>
  <c r="BK9" i="11"/>
  <c r="BK10" i="17" s="1"/>
  <c r="BK11" i="11"/>
  <c r="BK12" i="11"/>
  <c r="BK34" i="11"/>
  <c r="BK35" i="11"/>
  <c r="BK75" i="11"/>
  <c r="BK38" i="11"/>
  <c r="BK76" i="11"/>
  <c r="BK39" i="11"/>
  <c r="BK23" i="17" s="1"/>
  <c r="BK74" i="11"/>
  <c r="BJ50" i="11"/>
  <c r="BK60" i="8"/>
  <c r="BK40" i="14"/>
  <c r="BL63" i="14"/>
  <c r="BL62" i="14"/>
  <c r="BL61" i="14"/>
  <c r="BL60" i="14"/>
  <c r="BL59" i="14"/>
  <c r="BL58" i="14"/>
  <c r="BL57" i="14"/>
  <c r="BL56" i="14"/>
  <c r="BL55" i="14"/>
  <c r="BL54" i="14"/>
  <c r="BL53" i="14"/>
  <c r="BL52" i="14"/>
  <c r="BL36" i="14"/>
  <c r="BL35" i="14"/>
  <c r="BL34" i="14"/>
  <c r="BL33" i="14"/>
  <c r="BL32" i="14"/>
  <c r="BL31" i="14"/>
  <c r="BL30" i="14"/>
  <c r="BL29" i="14"/>
  <c r="BL39" i="14" s="1"/>
  <c r="BL28" i="14"/>
  <c r="BL27" i="14"/>
  <c r="BL26" i="14"/>
  <c r="BL25" i="14"/>
  <c r="BK48" i="11"/>
  <c r="BK29" i="11"/>
  <c r="BK73" i="11"/>
  <c r="BK58" i="11"/>
  <c r="BK36" i="11"/>
  <c r="BK37" i="11"/>
  <c r="BK47" i="11"/>
  <c r="BK46" i="11"/>
  <c r="BK45" i="11"/>
  <c r="BK49" i="11"/>
  <c r="BK41" i="11"/>
  <c r="BK44" i="11"/>
  <c r="BK40" i="11"/>
  <c r="BK42" i="11"/>
  <c r="BK43" i="11"/>
  <c r="BK65" i="8"/>
  <c r="BK92" i="10" s="1"/>
  <c r="BK18" i="11"/>
  <c r="BK19" i="11" s="1"/>
  <c r="BK24" i="17" s="1"/>
  <c r="BK21" i="11"/>
  <c r="BK22" i="11" s="1"/>
  <c r="BK24" i="11"/>
  <c r="BK25" i="11" s="1"/>
  <c r="BK62" i="11"/>
  <c r="BJ51" i="11"/>
  <c r="BJ62" i="8"/>
  <c r="BJ89" i="10" s="1"/>
  <c r="BK5" i="14"/>
  <c r="BK55" i="8"/>
  <c r="BK5" i="6"/>
  <c r="BK5" i="9"/>
  <c r="BK5" i="11"/>
  <c r="BK5" i="13"/>
  <c r="BK5" i="12"/>
  <c r="BK5" i="10"/>
  <c r="BK64" i="14"/>
  <c r="BK77" i="11" s="1"/>
  <c r="BL59" i="8"/>
  <c r="BM22" i="7"/>
  <c r="BN149" i="9"/>
  <c r="BN147" i="9"/>
  <c r="BN143" i="9"/>
  <c r="BN142" i="9"/>
  <c r="BL144" i="9"/>
  <c r="BI192" i="9"/>
  <c r="BJ176" i="9"/>
  <c r="BK160" i="9" s="1"/>
  <c r="X14" i="11"/>
  <c r="X84" i="11" s="1"/>
  <c r="X49" i="12" s="1"/>
  <c r="X46" i="12"/>
  <c r="Y52" i="10"/>
  <c r="X48" i="12"/>
  <c r="BI52" i="11"/>
  <c r="BH145" i="9"/>
  <c r="BF187" i="9"/>
  <c r="BG171" i="9"/>
  <c r="BH155" i="9" s="1"/>
  <c r="BI139" i="9"/>
  <c r="BJ139" i="9" s="1"/>
  <c r="BI65" i="11"/>
  <c r="BI17" i="17" s="1"/>
  <c r="BF121" i="6" l="1"/>
  <c r="AP26" i="17"/>
  <c r="AP32" i="17"/>
  <c r="AP87" i="17" s="1"/>
  <c r="AP89" i="17" s="1"/>
  <c r="AJ196" i="9"/>
  <c r="AK164" i="9"/>
  <c r="BL80" i="11"/>
  <c r="BL66" i="8"/>
  <c r="BK64" i="11"/>
  <c r="BK63" i="11"/>
  <c r="BL158" i="9"/>
  <c r="BL174" i="9" s="1"/>
  <c r="BK190" i="9"/>
  <c r="BK191" i="9"/>
  <c r="BL159" i="9"/>
  <c r="BL175" i="9" s="1"/>
  <c r="BD156" i="9"/>
  <c r="BD172" i="9" s="1"/>
  <c r="BD188" i="9" s="1"/>
  <c r="BE140" i="9"/>
  <c r="AO48" i="17"/>
  <c r="AO47" i="17"/>
  <c r="AO46" i="17"/>
  <c r="AP88" i="17"/>
  <c r="AP37" i="17"/>
  <c r="AP43" i="17" s="1"/>
  <c r="AP45" i="17" s="1"/>
  <c r="AQ177" i="9"/>
  <c r="AQ25" i="17"/>
  <c r="AW14" i="17"/>
  <c r="AW59" i="11"/>
  <c r="AW50" i="12" s="1"/>
  <c r="AZ141" i="9"/>
  <c r="AY55" i="11"/>
  <c r="AY157" i="9"/>
  <c r="AY173" i="9" s="1"/>
  <c r="AY189" i="9" s="1"/>
  <c r="AX56" i="11"/>
  <c r="AX57" i="11"/>
  <c r="BK162" i="9"/>
  <c r="BK178" i="9" s="1"/>
  <c r="BK75" i="8"/>
  <c r="BK57" i="10" s="1"/>
  <c r="BK27" i="11"/>
  <c r="BK28" i="11" s="1"/>
  <c r="BK30" i="11" s="1"/>
  <c r="BK16" i="17" s="1"/>
  <c r="BJ197" i="9"/>
  <c r="BK165" i="9"/>
  <c r="BK181" i="9" s="1"/>
  <c r="BL73" i="8"/>
  <c r="BL74" i="8" s="1"/>
  <c r="BL13" i="11"/>
  <c r="BL13" i="17" s="1"/>
  <c r="BK15" i="17"/>
  <c r="BO105" i="11"/>
  <c r="BO106" i="11"/>
  <c r="BO104" i="11"/>
  <c r="BO102" i="11"/>
  <c r="BO103" i="11"/>
  <c r="BO98" i="11"/>
  <c r="BK12" i="17"/>
  <c r="BK11" i="17"/>
  <c r="X56" i="17"/>
  <c r="X57" i="17"/>
  <c r="X55" i="17"/>
  <c r="BK98" i="10"/>
  <c r="BK31" i="17"/>
  <c r="BK99" i="10"/>
  <c r="BK38" i="17"/>
  <c r="BK44" i="17" s="1"/>
  <c r="BI96" i="10"/>
  <c r="BI101" i="10" s="1"/>
  <c r="BI36" i="17"/>
  <c r="BI42" i="17" s="1"/>
  <c r="BB148" i="9"/>
  <c r="AQ163" i="9"/>
  <c r="AP195" i="9"/>
  <c r="BL93" i="10"/>
  <c r="BJ65" i="11"/>
  <c r="BJ17" i="17" s="1"/>
  <c r="BH9" i="6"/>
  <c r="BH69" i="11"/>
  <c r="BH70" i="11" s="1"/>
  <c r="BH89" i="11" s="1"/>
  <c r="BH15" i="6" s="1"/>
  <c r="BH79" i="11"/>
  <c r="BH108" i="10"/>
  <c r="BG8" i="6"/>
  <c r="BG176" i="6"/>
  <c r="BG122" i="6"/>
  <c r="BH51" i="12"/>
  <c r="BH41" i="6" s="1"/>
  <c r="BH45" i="12"/>
  <c r="BH39" i="6" s="1"/>
  <c r="BG157" i="6"/>
  <c r="BG126" i="6"/>
  <c r="BG165" i="6"/>
  <c r="BG143" i="6"/>
  <c r="BK62" i="8"/>
  <c r="BK89" i="10" s="1"/>
  <c r="BL40" i="14"/>
  <c r="BM13" i="7"/>
  <c r="BM27" i="10" s="1"/>
  <c r="BM57" i="8"/>
  <c r="BM63" i="14"/>
  <c r="BM62" i="14"/>
  <c r="BM61" i="14"/>
  <c r="BM60" i="14"/>
  <c r="BM59" i="14"/>
  <c r="BM57" i="14"/>
  <c r="BM56" i="14"/>
  <c r="BM54" i="14"/>
  <c r="BM52" i="14"/>
  <c r="BM58" i="14"/>
  <c r="BM55" i="14"/>
  <c r="BM53" i="14"/>
  <c r="BL60" i="8"/>
  <c r="BM30" i="14"/>
  <c r="BM29" i="14"/>
  <c r="BM39" i="14" s="1"/>
  <c r="BM28" i="14"/>
  <c r="BM27" i="14"/>
  <c r="BM26" i="14"/>
  <c r="BM25" i="14"/>
  <c r="BN11" i="7"/>
  <c r="BM12" i="7"/>
  <c r="BM5" i="17" s="1"/>
  <c r="BM58" i="8"/>
  <c r="BL5" i="14"/>
  <c r="BL5" i="9"/>
  <c r="BL5" i="6"/>
  <c r="BL5" i="11"/>
  <c r="BL5" i="12"/>
  <c r="BL55" i="8"/>
  <c r="BL5" i="13"/>
  <c r="BL5" i="10"/>
  <c r="BL68" i="11"/>
  <c r="BL46" i="11"/>
  <c r="BL76" i="11"/>
  <c r="BL47" i="11"/>
  <c r="BL75" i="11"/>
  <c r="BL36" i="11"/>
  <c r="BL48" i="11"/>
  <c r="BL74" i="11"/>
  <c r="BL35" i="11"/>
  <c r="BL49" i="11"/>
  <c r="BL58" i="11"/>
  <c r="BL18" i="11"/>
  <c r="BL19" i="11" s="1"/>
  <c r="BL24" i="17" s="1"/>
  <c r="BL24" i="11"/>
  <c r="BL25" i="11" s="1"/>
  <c r="BL21" i="11"/>
  <c r="BL22" i="11" s="1"/>
  <c r="BL62" i="11"/>
  <c r="BL65" i="8"/>
  <c r="BL92" i="10" s="1"/>
  <c r="BM36" i="14"/>
  <c r="BM35" i="14"/>
  <c r="BM34" i="14"/>
  <c r="BM33" i="14"/>
  <c r="BM32" i="14"/>
  <c r="BM31" i="14"/>
  <c r="BK51" i="11"/>
  <c r="BJ52" i="11"/>
  <c r="BL10" i="11"/>
  <c r="BL22" i="17" s="1"/>
  <c r="BL9" i="11"/>
  <c r="BL10" i="17" s="1"/>
  <c r="BL11" i="11"/>
  <c r="BL12" i="11"/>
  <c r="BL29" i="11"/>
  <c r="BL34" i="11"/>
  <c r="BL42" i="11"/>
  <c r="BL73" i="11"/>
  <c r="BL43" i="11"/>
  <c r="BL44" i="11"/>
  <c r="BL41" i="11"/>
  <c r="BL37" i="11"/>
  <c r="BL40" i="11"/>
  <c r="BL39" i="11"/>
  <c r="BL23" i="17" s="1"/>
  <c r="BL45" i="11"/>
  <c r="BL38" i="11"/>
  <c r="BK50" i="11"/>
  <c r="BL64" i="14"/>
  <c r="BL77" i="11" s="1"/>
  <c r="BL49" i="14"/>
  <c r="BL48" i="14"/>
  <c r="BL46" i="14"/>
  <c r="BL63" i="8" s="1"/>
  <c r="BL90" i="10" s="1"/>
  <c r="BL97" i="10" s="1"/>
  <c r="BL47" i="14"/>
  <c r="BL64" i="8" s="1"/>
  <c r="BL91" i="10" s="1"/>
  <c r="BN22" i="7"/>
  <c r="BM59" i="8"/>
  <c r="BO149" i="9"/>
  <c r="BO147" i="9"/>
  <c r="BO146" i="9"/>
  <c r="BO143" i="9"/>
  <c r="BO142" i="9"/>
  <c r="BM144" i="9"/>
  <c r="BJ192" i="9"/>
  <c r="BK176" i="9"/>
  <c r="BL160" i="9" s="1"/>
  <c r="BK139" i="9"/>
  <c r="X40" i="6"/>
  <c r="Y53" i="10"/>
  <c r="BI145" i="9"/>
  <c r="BJ145" i="9" s="1"/>
  <c r="BG187" i="9"/>
  <c r="BH171" i="9"/>
  <c r="BI155" i="9" s="1"/>
  <c r="BG121" i="6" l="1"/>
  <c r="AK180" i="9"/>
  <c r="AK91" i="11"/>
  <c r="AK17" i="6" s="1"/>
  <c r="AK128" i="6" s="1"/>
  <c r="BM80" i="11"/>
  <c r="BM66" i="8"/>
  <c r="AO49" i="17"/>
  <c r="BL63" i="11"/>
  <c r="BL64" i="11"/>
  <c r="BM158" i="9"/>
  <c r="BM174" i="9" s="1"/>
  <c r="BL190" i="9"/>
  <c r="BM159" i="9"/>
  <c r="BM175" i="9" s="1"/>
  <c r="BL191" i="9"/>
  <c r="BF140" i="9"/>
  <c r="BE156" i="9"/>
  <c r="BE172" i="9" s="1"/>
  <c r="BE188" i="9" s="1"/>
  <c r="AP48" i="17"/>
  <c r="AP47" i="17"/>
  <c r="AP46" i="17"/>
  <c r="AQ193" i="9"/>
  <c r="AR161" i="9"/>
  <c r="AQ32" i="17"/>
  <c r="AQ87" i="17" s="1"/>
  <c r="AQ89" i="17" s="1"/>
  <c r="AQ26" i="17"/>
  <c r="BA141" i="9"/>
  <c r="AZ55" i="11"/>
  <c r="AZ157" i="9"/>
  <c r="AZ173" i="9" s="1"/>
  <c r="AZ189" i="9" s="1"/>
  <c r="AY57" i="11"/>
  <c r="AY56" i="11"/>
  <c r="AX14" i="17"/>
  <c r="AX59" i="11"/>
  <c r="AX50" i="12" s="1"/>
  <c r="BK194" i="9"/>
  <c r="BL162" i="9"/>
  <c r="BL178" i="9" s="1"/>
  <c r="BK197" i="9"/>
  <c r="BL165" i="9"/>
  <c r="BL181" i="9" s="1"/>
  <c r="BM73" i="8"/>
  <c r="BM74" i="8" s="1"/>
  <c r="BL75" i="8"/>
  <c r="BL57" i="10" s="1"/>
  <c r="BL27" i="11"/>
  <c r="BL28" i="11" s="1"/>
  <c r="BL30" i="11" s="1"/>
  <c r="BL16" i="17" s="1"/>
  <c r="BM13" i="11"/>
  <c r="BM13" i="17" s="1"/>
  <c r="BL15" i="17"/>
  <c r="BL12" i="17"/>
  <c r="BL11" i="17"/>
  <c r="BL99" i="10"/>
  <c r="BL38" i="17"/>
  <c r="BL44" i="17" s="1"/>
  <c r="BJ96" i="10"/>
  <c r="BJ101" i="10" s="1"/>
  <c r="BJ36" i="17"/>
  <c r="BJ42" i="17" s="1"/>
  <c r="BL31" i="17"/>
  <c r="BL98" i="10"/>
  <c r="BC148" i="9"/>
  <c r="AQ179" i="9"/>
  <c r="BM93" i="10"/>
  <c r="BK65" i="11"/>
  <c r="BK17" i="17" s="1"/>
  <c r="BH122" i="6"/>
  <c r="BH176" i="6"/>
  <c r="BH8" i="6"/>
  <c r="BH157" i="6"/>
  <c r="BH126" i="6"/>
  <c r="BL62" i="8"/>
  <c r="BL89" i="10" s="1"/>
  <c r="BH143" i="6"/>
  <c r="BH165" i="6"/>
  <c r="BM64" i="14"/>
  <c r="BM77" i="11" s="1"/>
  <c r="BM24" i="11"/>
  <c r="BM25" i="11" s="1"/>
  <c r="BM62" i="11"/>
  <c r="BK52" i="11"/>
  <c r="BM40" i="14"/>
  <c r="BM21" i="11"/>
  <c r="BM22" i="11" s="1"/>
  <c r="BM47" i="11"/>
  <c r="BM74" i="11"/>
  <c r="BM35" i="11"/>
  <c r="BM46" i="11"/>
  <c r="BM45" i="11"/>
  <c r="BM18" i="11"/>
  <c r="BM19" i="11" s="1"/>
  <c r="BM24" i="17" s="1"/>
  <c r="BM65" i="8"/>
  <c r="BM92" i="10" s="1"/>
  <c r="BM68" i="11"/>
  <c r="BM10" i="11"/>
  <c r="BM22" i="17" s="1"/>
  <c r="BM9" i="11"/>
  <c r="BM10" i="17" s="1"/>
  <c r="BM11" i="11"/>
  <c r="BM12" i="11"/>
  <c r="BM29" i="11"/>
  <c r="BM42" i="11"/>
  <c r="BM58" i="11"/>
  <c r="BM44" i="11"/>
  <c r="BM49" i="11"/>
  <c r="BM75" i="11"/>
  <c r="BM43" i="11"/>
  <c r="BM48" i="11"/>
  <c r="BM36" i="11"/>
  <c r="BM38" i="11"/>
  <c r="BM39" i="11"/>
  <c r="BM23" i="17" s="1"/>
  <c r="BM40" i="11"/>
  <c r="BM41" i="11"/>
  <c r="BM34" i="11"/>
  <c r="BM73" i="11"/>
  <c r="BM37" i="11"/>
  <c r="BM76" i="11"/>
  <c r="BI79" i="11"/>
  <c r="BI108" i="10"/>
  <c r="BI69" i="11"/>
  <c r="BI70" i="11" s="1"/>
  <c r="BI89" i="11" s="1"/>
  <c r="BI15" i="6" s="1"/>
  <c r="BI45" i="12"/>
  <c r="BI39" i="6" s="1"/>
  <c r="BI51" i="12"/>
  <c r="BI41" i="6" s="1"/>
  <c r="BI9" i="6"/>
  <c r="BL51" i="11"/>
  <c r="BL50" i="11"/>
  <c r="BO11" i="7"/>
  <c r="BN13" i="7"/>
  <c r="BN27" i="10" s="1"/>
  <c r="BM60" i="8"/>
  <c r="BM49" i="14"/>
  <c r="BM47" i="14"/>
  <c r="BM64" i="8" s="1"/>
  <c r="BM91" i="10" s="1"/>
  <c r="BM46" i="14"/>
  <c r="BM63" i="8" s="1"/>
  <c r="BM90" i="10" s="1"/>
  <c r="BM97" i="10" s="1"/>
  <c r="BM48" i="14"/>
  <c r="BN29" i="14"/>
  <c r="BN39" i="14" s="1"/>
  <c r="BN57" i="8"/>
  <c r="BN60" i="14"/>
  <c r="BN59" i="14"/>
  <c r="BN58" i="14"/>
  <c r="BN57" i="14"/>
  <c r="BN56" i="14"/>
  <c r="BN55" i="14"/>
  <c r="BN54" i="14"/>
  <c r="BN53" i="14"/>
  <c r="BN52" i="14"/>
  <c r="BN63" i="14"/>
  <c r="BN34" i="14"/>
  <c r="BN33" i="14"/>
  <c r="BN32" i="14"/>
  <c r="BN31" i="14"/>
  <c r="BN30" i="14"/>
  <c r="BN62" i="14"/>
  <c r="BN28" i="14"/>
  <c r="BN27" i="14"/>
  <c r="BN26" i="14"/>
  <c r="BN25" i="14"/>
  <c r="BN58" i="8"/>
  <c r="BN12" i="7"/>
  <c r="BN5" i="17" s="1"/>
  <c r="BN61" i="14"/>
  <c r="BM5" i="9"/>
  <c r="BM55" i="8"/>
  <c r="BN36" i="14"/>
  <c r="BN35" i="14"/>
  <c r="BM5" i="14"/>
  <c r="BM5" i="6"/>
  <c r="BM5" i="10"/>
  <c r="BM5" i="11"/>
  <c r="BM5" i="13"/>
  <c r="BM5" i="12"/>
  <c r="BO22" i="7"/>
  <c r="BO59" i="8" s="1"/>
  <c r="BN59" i="8"/>
  <c r="BN144" i="9"/>
  <c r="BK192" i="9"/>
  <c r="BL176" i="9"/>
  <c r="BM160" i="9" s="1"/>
  <c r="BL139" i="9"/>
  <c r="BK145" i="9"/>
  <c r="Y59" i="10"/>
  <c r="Y8" i="11" s="1"/>
  <c r="Y9" i="17" s="1"/>
  <c r="Y55" i="10"/>
  <c r="BH187" i="9"/>
  <c r="BI171" i="9"/>
  <c r="BH121" i="6" l="1"/>
  <c r="AK196" i="9"/>
  <c r="AL164" i="9"/>
  <c r="BN80" i="11"/>
  <c r="BN66" i="8"/>
  <c r="BM75" i="8"/>
  <c r="BM57" i="10" s="1"/>
  <c r="BM27" i="11"/>
  <c r="BM28" i="11" s="1"/>
  <c r="BM30" i="11" s="1"/>
  <c r="BM16" i="17" s="1"/>
  <c r="BM64" i="11"/>
  <c r="BM63" i="11"/>
  <c r="BN158" i="9"/>
  <c r="BN174" i="9" s="1"/>
  <c r="BM190" i="9"/>
  <c r="AP49" i="17"/>
  <c r="BN159" i="9"/>
  <c r="BN175" i="9" s="1"/>
  <c r="BM191" i="9"/>
  <c r="BF156" i="9"/>
  <c r="BF172" i="9" s="1"/>
  <c r="BF188" i="9" s="1"/>
  <c r="BG140" i="9"/>
  <c r="AR25" i="17"/>
  <c r="AR177" i="9"/>
  <c r="AQ88" i="17"/>
  <c r="AQ37" i="17"/>
  <c r="AQ43" i="17" s="1"/>
  <c r="AQ45" i="17" s="1"/>
  <c r="BB141" i="9"/>
  <c r="BA55" i="11"/>
  <c r="BA157" i="9"/>
  <c r="BA173" i="9" s="1"/>
  <c r="BA189" i="9" s="1"/>
  <c r="AZ56" i="11"/>
  <c r="AZ57" i="11"/>
  <c r="AY59" i="11"/>
  <c r="AY50" i="12" s="1"/>
  <c r="AY14" i="17"/>
  <c r="BL194" i="9"/>
  <c r="BM162" i="9"/>
  <c r="BM178" i="9" s="1"/>
  <c r="BL197" i="9"/>
  <c r="BM165" i="9"/>
  <c r="BM181" i="9" s="1"/>
  <c r="BN73" i="8"/>
  <c r="BN74" i="8" s="1"/>
  <c r="BN13" i="11"/>
  <c r="BN13" i="17" s="1"/>
  <c r="BM15" i="17"/>
  <c r="BM12" i="17"/>
  <c r="BM11" i="17"/>
  <c r="BK96" i="10"/>
  <c r="BK101" i="10" s="1"/>
  <c r="BK36" i="17"/>
  <c r="BK42" i="17" s="1"/>
  <c r="BM99" i="10"/>
  <c r="BM38" i="17"/>
  <c r="BM44" i="17" s="1"/>
  <c r="BM31" i="17"/>
  <c r="BM98" i="10"/>
  <c r="Y29" i="17"/>
  <c r="BD148" i="9"/>
  <c r="AR163" i="9"/>
  <c r="AR179" i="9" s="1"/>
  <c r="AQ195" i="9"/>
  <c r="BN93" i="10"/>
  <c r="BJ108" i="10"/>
  <c r="BJ45" i="12"/>
  <c r="BJ39" i="6" s="1"/>
  <c r="BJ51" i="12"/>
  <c r="BJ41" i="6" s="1"/>
  <c r="BJ69" i="11"/>
  <c r="BJ70" i="11" s="1"/>
  <c r="BJ89" i="11" s="1"/>
  <c r="BJ15" i="6" s="1"/>
  <c r="BJ79" i="11"/>
  <c r="BJ9" i="6"/>
  <c r="BN40" i="14"/>
  <c r="BN41" i="11"/>
  <c r="BN40" i="11"/>
  <c r="BN45" i="11"/>
  <c r="BN65" i="8"/>
  <c r="BN92" i="10" s="1"/>
  <c r="BN39" i="11"/>
  <c r="BN23" i="17" s="1"/>
  <c r="BN21" i="11"/>
  <c r="BN22" i="11" s="1"/>
  <c r="BN24" i="11"/>
  <c r="BN25" i="11" s="1"/>
  <c r="BI143" i="6"/>
  <c r="BL52" i="11"/>
  <c r="BM62" i="8"/>
  <c r="BM89" i="10" s="1"/>
  <c r="BL65" i="11"/>
  <c r="BL17" i="17" s="1"/>
  <c r="BM51" i="11"/>
  <c r="BM50" i="11"/>
  <c r="BN64" i="14"/>
  <c r="BN77" i="11" s="1"/>
  <c r="BI126" i="6"/>
  <c r="BI157" i="6"/>
  <c r="BI122" i="6"/>
  <c r="BI165" i="6"/>
  <c r="BI8" i="6"/>
  <c r="BI176" i="6"/>
  <c r="BO36" i="14"/>
  <c r="BO35" i="14"/>
  <c r="BO34" i="14"/>
  <c r="BO33" i="14"/>
  <c r="BO32" i="14"/>
  <c r="BO31" i="14"/>
  <c r="BO29" i="14"/>
  <c r="BO39" i="14" s="1"/>
  <c r="BO28" i="14"/>
  <c r="BO27" i="14"/>
  <c r="BO26" i="14"/>
  <c r="BO25" i="14"/>
  <c r="BO58" i="8"/>
  <c r="BO12" i="7"/>
  <c r="BO5" i="17" s="1"/>
  <c r="BO13" i="7"/>
  <c r="BO27" i="10" s="1"/>
  <c r="BO57" i="8"/>
  <c r="BO30" i="14"/>
  <c r="BO52" i="14"/>
  <c r="BO62" i="14"/>
  <c r="BO63" i="14"/>
  <c r="BO60" i="14"/>
  <c r="BO59" i="14"/>
  <c r="BO58" i="14"/>
  <c r="BO57" i="14"/>
  <c r="BO56" i="14"/>
  <c r="BO55" i="14"/>
  <c r="BO54" i="14"/>
  <c r="BO53" i="14"/>
  <c r="BO61" i="14"/>
  <c r="BN18" i="11"/>
  <c r="BN19" i="11" s="1"/>
  <c r="BN24" i="17" s="1"/>
  <c r="BN62" i="11"/>
  <c r="BN5" i="13"/>
  <c r="BN55" i="8"/>
  <c r="BN5" i="9"/>
  <c r="BN5" i="12"/>
  <c r="BN60" i="8"/>
  <c r="BN49" i="14"/>
  <c r="BN46" i="14"/>
  <c r="BN63" i="8" s="1"/>
  <c r="BN90" i="10" s="1"/>
  <c r="BN97" i="10" s="1"/>
  <c r="BN48" i="14"/>
  <c r="BN47" i="14"/>
  <c r="BN64" i="8" s="1"/>
  <c r="BN91" i="10" s="1"/>
  <c r="BN48" i="11"/>
  <c r="BN42" i="11"/>
  <c r="BN36" i="11"/>
  <c r="BN38" i="11"/>
  <c r="BN43" i="11"/>
  <c r="BN37" i="11"/>
  <c r="BN73" i="11"/>
  <c r="BN34" i="11"/>
  <c r="BN76" i="11"/>
  <c r="BN68" i="11"/>
  <c r="BN10" i="11"/>
  <c r="BN22" i="17" s="1"/>
  <c r="BN9" i="11"/>
  <c r="BN10" i="17" s="1"/>
  <c r="BN11" i="11"/>
  <c r="BN12" i="11"/>
  <c r="BN29" i="11"/>
  <c r="BN58" i="11"/>
  <c r="BN49" i="11"/>
  <c r="BN35" i="11"/>
  <c r="BN46" i="11"/>
  <c r="BN44" i="11"/>
  <c r="BN47" i="11"/>
  <c r="BN74" i="11"/>
  <c r="BN75" i="11"/>
  <c r="BN5" i="14"/>
  <c r="BN5" i="11"/>
  <c r="BN5" i="6"/>
  <c r="BN5" i="10"/>
  <c r="BO144" i="9"/>
  <c r="BL192" i="9"/>
  <c r="BM176" i="9"/>
  <c r="BN160" i="9" s="1"/>
  <c r="BM139" i="9"/>
  <c r="BL145" i="9"/>
  <c r="BJ155" i="9"/>
  <c r="BJ171" i="9" s="1"/>
  <c r="Y14" i="11"/>
  <c r="Y84" i="11" s="1"/>
  <c r="Y49" i="12" s="1"/>
  <c r="Y46" i="12"/>
  <c r="Y48" i="12"/>
  <c r="Z52" i="10"/>
  <c r="BI187" i="9"/>
  <c r="BI121" i="6" l="1"/>
  <c r="AL180" i="9"/>
  <c r="AL91" i="11"/>
  <c r="AL17" i="6" s="1"/>
  <c r="AL128" i="6" s="1"/>
  <c r="BO80" i="11"/>
  <c r="BO66" i="8"/>
  <c r="BN64" i="11"/>
  <c r="BN63" i="11"/>
  <c r="BO158" i="9"/>
  <c r="BO174" i="9" s="1"/>
  <c r="BO190" i="9" s="1"/>
  <c r="BN190" i="9"/>
  <c r="BO159" i="9"/>
  <c r="BO175" i="9" s="1"/>
  <c r="BO191" i="9" s="1"/>
  <c r="BN191" i="9"/>
  <c r="BG156" i="9"/>
  <c r="BG172" i="9" s="1"/>
  <c r="BG188" i="9" s="1"/>
  <c r="BH140" i="9"/>
  <c r="AR26" i="17"/>
  <c r="AR32" i="17"/>
  <c r="AR87" i="17" s="1"/>
  <c r="AR89" i="17" s="1"/>
  <c r="AS161" i="9"/>
  <c r="AR193" i="9"/>
  <c r="AQ47" i="17"/>
  <c r="AQ46" i="17"/>
  <c r="AQ48" i="17"/>
  <c r="BC141" i="9"/>
  <c r="BB55" i="11"/>
  <c r="BB157" i="9"/>
  <c r="BB173" i="9" s="1"/>
  <c r="BB189" i="9" s="1"/>
  <c r="BA57" i="11"/>
  <c r="BA56" i="11"/>
  <c r="AZ14" i="17"/>
  <c r="AZ59" i="11"/>
  <c r="AZ50" i="12" s="1"/>
  <c r="BM194" i="9"/>
  <c r="BN162" i="9"/>
  <c r="BN178" i="9" s="1"/>
  <c r="BN75" i="8"/>
  <c r="BN57" i="10" s="1"/>
  <c r="BN27" i="11"/>
  <c r="BN28" i="11" s="1"/>
  <c r="BN30" i="11" s="1"/>
  <c r="BN16" i="17" s="1"/>
  <c r="BM197" i="9"/>
  <c r="BN165" i="9"/>
  <c r="BN181" i="9" s="1"/>
  <c r="BO60" i="8"/>
  <c r="BO73" i="8"/>
  <c r="BO74" i="8" s="1"/>
  <c r="BO13" i="11"/>
  <c r="BO13" i="17" s="1"/>
  <c r="BN11" i="17"/>
  <c r="BN15" i="17"/>
  <c r="BN12" i="17"/>
  <c r="Y56" i="17"/>
  <c r="Y57" i="17"/>
  <c r="Y55" i="17"/>
  <c r="BL96" i="10"/>
  <c r="BL101" i="10" s="1"/>
  <c r="BL36" i="17"/>
  <c r="BL42" i="17" s="1"/>
  <c r="BN99" i="10"/>
  <c r="BN38" i="17"/>
  <c r="BN44" i="17" s="1"/>
  <c r="BN98" i="10"/>
  <c r="BN31" i="17"/>
  <c r="BE148" i="9"/>
  <c r="BO93" i="10"/>
  <c r="BM65" i="11"/>
  <c r="BM17" i="17" s="1"/>
  <c r="BJ143" i="6"/>
  <c r="BJ8" i="6"/>
  <c r="BJ122" i="6"/>
  <c r="BJ176" i="6"/>
  <c r="BJ165" i="6"/>
  <c r="BJ126" i="6"/>
  <c r="BJ157" i="6"/>
  <c r="BK108" i="10"/>
  <c r="BK45" i="12"/>
  <c r="BK39" i="6" s="1"/>
  <c r="BK51" i="12"/>
  <c r="BK41" i="6" s="1"/>
  <c r="BK69" i="11"/>
  <c r="BK70" i="11" s="1"/>
  <c r="BK89" i="11" s="1"/>
  <c r="BK15" i="6" s="1"/>
  <c r="BK9" i="6"/>
  <c r="BK79" i="11"/>
  <c r="BN51" i="11"/>
  <c r="BM52" i="11"/>
  <c r="BO40" i="14"/>
  <c r="AS163" i="9"/>
  <c r="AR195" i="9"/>
  <c r="BN62" i="8"/>
  <c r="BN89" i="10" s="1"/>
  <c r="BN50" i="11"/>
  <c r="BO64" i="14"/>
  <c r="BO77" i="11" s="1"/>
  <c r="BO49" i="14"/>
  <c r="BO47" i="14"/>
  <c r="BO64" i="8" s="1"/>
  <c r="BO91" i="10" s="1"/>
  <c r="BO46" i="14"/>
  <c r="BO63" i="8" s="1"/>
  <c r="BO90" i="10" s="1"/>
  <c r="BO97" i="10" s="1"/>
  <c r="BO48" i="14"/>
  <c r="BO5" i="14"/>
  <c r="BO5" i="11"/>
  <c r="BO55" i="8"/>
  <c r="BO5" i="10"/>
  <c r="BO5" i="12"/>
  <c r="BO5" i="6"/>
  <c r="BO5" i="9"/>
  <c r="BO5" i="13"/>
  <c r="BO62" i="11"/>
  <c r="BO49" i="11"/>
  <c r="BO48" i="11"/>
  <c r="BO47" i="11"/>
  <c r="BO38" i="11"/>
  <c r="BO41" i="11"/>
  <c r="BO24" i="11"/>
  <c r="BO25" i="11" s="1"/>
  <c r="BO68" i="11"/>
  <c r="BO10" i="11"/>
  <c r="BO22" i="17" s="1"/>
  <c r="BO9" i="11"/>
  <c r="BO10" i="17" s="1"/>
  <c r="BO12" i="11"/>
  <c r="BO11" i="11"/>
  <c r="BO29" i="11"/>
  <c r="BO58" i="11"/>
  <c r="BO36" i="11"/>
  <c r="BO39" i="11"/>
  <c r="BO23" i="17" s="1"/>
  <c r="BO40" i="11"/>
  <c r="BO42" i="11"/>
  <c r="BO43" i="11"/>
  <c r="BO73" i="11"/>
  <c r="BO34" i="11"/>
  <c r="BO74" i="11"/>
  <c r="BO44" i="11"/>
  <c r="BO35" i="11"/>
  <c r="BO45" i="11"/>
  <c r="BO46" i="11"/>
  <c r="BO75" i="11"/>
  <c r="BO76" i="11"/>
  <c r="BO37" i="11"/>
  <c r="BO65" i="8"/>
  <c r="BO92" i="10" s="1"/>
  <c r="BO21" i="11"/>
  <c r="BO22" i="11" s="1"/>
  <c r="BO18" i="11"/>
  <c r="BO19" i="11" s="1"/>
  <c r="BO24" i="17" s="1"/>
  <c r="BM192" i="9"/>
  <c r="BN176" i="9"/>
  <c r="BO160" i="9" s="1"/>
  <c r="BN139" i="9"/>
  <c r="BM145" i="9"/>
  <c r="BK155" i="9"/>
  <c r="BK171" i="9" s="1"/>
  <c r="BJ187" i="9"/>
  <c r="Y40" i="6"/>
  <c r="Z53" i="10"/>
  <c r="BJ121" i="6" l="1"/>
  <c r="AL196" i="9"/>
  <c r="AM164" i="9"/>
  <c r="BO64" i="11"/>
  <c r="BO63" i="11"/>
  <c r="BH156" i="9"/>
  <c r="BH172" i="9" s="1"/>
  <c r="BH188" i="9" s="1"/>
  <c r="BI140" i="9"/>
  <c r="AR88" i="17"/>
  <c r="AR37" i="17"/>
  <c r="AR43" i="17" s="1"/>
  <c r="AR45" i="17" s="1"/>
  <c r="AS177" i="9"/>
  <c r="AS25" i="17"/>
  <c r="AQ49" i="17"/>
  <c r="BC55" i="11"/>
  <c r="BD141" i="9"/>
  <c r="BC157" i="9"/>
  <c r="BC173" i="9" s="1"/>
  <c r="BC189" i="9" s="1"/>
  <c r="BB56" i="11"/>
  <c r="BB57" i="11"/>
  <c r="BA59" i="11"/>
  <c r="BA50" i="12" s="1"/>
  <c r="BA14" i="17"/>
  <c r="BN194" i="9"/>
  <c r="BO162" i="9"/>
  <c r="BO178" i="9" s="1"/>
  <c r="BO194" i="9" s="1"/>
  <c r="BN197" i="9"/>
  <c r="BO165" i="9"/>
  <c r="BO181" i="9" s="1"/>
  <c r="BO197" i="9" s="1"/>
  <c r="BO62" i="8"/>
  <c r="BO89" i="10" s="1"/>
  <c r="BO75" i="8"/>
  <c r="BO57" i="10" s="1"/>
  <c r="BO27" i="11"/>
  <c r="BO28" i="11" s="1"/>
  <c r="BO30" i="11" s="1"/>
  <c r="BO16" i="17" s="1"/>
  <c r="BO15" i="17"/>
  <c r="BO11" i="17"/>
  <c r="BO12" i="17"/>
  <c r="Y74" i="17"/>
  <c r="Y75" i="17"/>
  <c r="Y73" i="17"/>
  <c r="BM96" i="10"/>
  <c r="BM101" i="10" s="1"/>
  <c r="BM36" i="17"/>
  <c r="BM42" i="17" s="1"/>
  <c r="BO98" i="10"/>
  <c r="BO31" i="17"/>
  <c r="BO99" i="10"/>
  <c r="BO38" i="17"/>
  <c r="BO44" i="17" s="1"/>
  <c r="BF148" i="9"/>
  <c r="BN52" i="11"/>
  <c r="BL108" i="10"/>
  <c r="BL45" i="12"/>
  <c r="BL39" i="6" s="1"/>
  <c r="BL51" i="12"/>
  <c r="BL41" i="6" s="1"/>
  <c r="BL79" i="11"/>
  <c r="BL9" i="6"/>
  <c r="BL69" i="11"/>
  <c r="BL70" i="11" s="1"/>
  <c r="BL89" i="11" s="1"/>
  <c r="BL15" i="6" s="1"/>
  <c r="BK143" i="6"/>
  <c r="BK126" i="6"/>
  <c r="BK157" i="6"/>
  <c r="BK122" i="6"/>
  <c r="BK8" i="6"/>
  <c r="BK165" i="6"/>
  <c r="BK176" i="6"/>
  <c r="AS179" i="9"/>
  <c r="BO51" i="11"/>
  <c r="BO50" i="11"/>
  <c r="BN65" i="11"/>
  <c r="BN17" i="17" s="1"/>
  <c r="BN192" i="9"/>
  <c r="BO176" i="9"/>
  <c r="BO192" i="9" s="1"/>
  <c r="BO139" i="9"/>
  <c r="BN145" i="9"/>
  <c r="BL155" i="9"/>
  <c r="BL171" i="9" s="1"/>
  <c r="BK187" i="9"/>
  <c r="Z59" i="10"/>
  <c r="Z8" i="11" s="1"/>
  <c r="Z9" i="17" s="1"/>
  <c r="Z55" i="10"/>
  <c r="BK121" i="6" l="1"/>
  <c r="AM180" i="9"/>
  <c r="AM91" i="11"/>
  <c r="AM17" i="6" s="1"/>
  <c r="AM128" i="6" s="1"/>
  <c r="BJ140" i="9"/>
  <c r="BI156" i="9"/>
  <c r="BI172" i="9" s="1"/>
  <c r="BI188" i="9" s="1"/>
  <c r="AR47" i="17"/>
  <c r="AR46" i="17"/>
  <c r="AR48" i="17"/>
  <c r="AT161" i="9"/>
  <c r="AS193" i="9"/>
  <c r="AS32" i="17"/>
  <c r="AS87" i="17" s="1"/>
  <c r="AS89" i="17" s="1"/>
  <c r="AS26" i="17"/>
  <c r="BC56" i="11"/>
  <c r="BC57" i="11"/>
  <c r="BE141" i="9"/>
  <c r="BD55" i="11"/>
  <c r="BD157" i="9"/>
  <c r="BD173" i="9" s="1"/>
  <c r="BD189" i="9" s="1"/>
  <c r="BB14" i="17"/>
  <c r="BB59" i="11"/>
  <c r="BB50" i="12" s="1"/>
  <c r="BO52" i="11"/>
  <c r="BN96" i="10"/>
  <c r="BN101" i="10" s="1"/>
  <c r="BN69" i="11" s="1"/>
  <c r="BN70" i="11" s="1"/>
  <c r="BN89" i="11" s="1"/>
  <c r="BN15" i="6" s="1"/>
  <c r="BN36" i="17"/>
  <c r="BN42" i="17" s="1"/>
  <c r="Z29" i="17"/>
  <c r="BG148" i="9"/>
  <c r="BL143" i="6"/>
  <c r="BL122" i="6"/>
  <c r="BL176" i="6"/>
  <c r="BL8" i="6"/>
  <c r="BL165" i="6"/>
  <c r="BL126" i="6"/>
  <c r="BL157" i="6"/>
  <c r="AT163" i="9"/>
  <c r="AS195" i="9"/>
  <c r="BM79" i="11"/>
  <c r="BM69" i="11"/>
  <c r="BM70" i="11" s="1"/>
  <c r="BM89" i="11" s="1"/>
  <c r="BM15" i="6" s="1"/>
  <c r="BM51" i="12"/>
  <c r="BM41" i="6" s="1"/>
  <c r="BM45" i="12"/>
  <c r="BM39" i="6" s="1"/>
  <c r="BM9" i="6"/>
  <c r="BM108" i="10"/>
  <c r="BO65" i="11"/>
  <c r="BO17" i="17" s="1"/>
  <c r="BO145" i="9"/>
  <c r="BM155" i="9"/>
  <c r="BM171" i="9" s="1"/>
  <c r="BL187" i="9"/>
  <c r="AA52" i="10"/>
  <c r="AA53" i="10" s="1"/>
  <c r="Z48" i="12"/>
  <c r="Z46" i="12"/>
  <c r="Z14" i="11"/>
  <c r="Z84" i="11" s="1"/>
  <c r="Z49" i="12" s="1"/>
  <c r="BL121" i="6" l="1"/>
  <c r="AN164" i="9"/>
  <c r="AM196" i="9"/>
  <c r="BK140" i="9"/>
  <c r="BJ156" i="9"/>
  <c r="BJ172" i="9" s="1"/>
  <c r="BJ188" i="9" s="1"/>
  <c r="AT25" i="17"/>
  <c r="AT177" i="9"/>
  <c r="AS88" i="17"/>
  <c r="AS37" i="17"/>
  <c r="AS43" i="17" s="1"/>
  <c r="AS45" i="17" s="1"/>
  <c r="AR49" i="17"/>
  <c r="BC14" i="17"/>
  <c r="BC59" i="11"/>
  <c r="BC50" i="12" s="1"/>
  <c r="BF141" i="9"/>
  <c r="BE55" i="11"/>
  <c r="BE157" i="9"/>
  <c r="BE173" i="9" s="1"/>
  <c r="BE189" i="9" s="1"/>
  <c r="BD56" i="11"/>
  <c r="BD57" i="11"/>
  <c r="BO96" i="10"/>
  <c r="BO101" i="10" s="1"/>
  <c r="BO36" i="17"/>
  <c r="BO42" i="17" s="1"/>
  <c r="Z56" i="17"/>
  <c r="Z57" i="17"/>
  <c r="Z55" i="17"/>
  <c r="BH148" i="9"/>
  <c r="AT179" i="9"/>
  <c r="BN79" i="11"/>
  <c r="BN108" i="10"/>
  <c r="BN9" i="6"/>
  <c r="BN157" i="6" s="1"/>
  <c r="BN51" i="12"/>
  <c r="BN41" i="6" s="1"/>
  <c r="BN45" i="12"/>
  <c r="BN39" i="6" s="1"/>
  <c r="BM157" i="6"/>
  <c r="BM126" i="6"/>
  <c r="BM8" i="6"/>
  <c r="BM165" i="6"/>
  <c r="BM176" i="6"/>
  <c r="BM122" i="6"/>
  <c r="C7" i="15"/>
  <c r="BM143" i="6"/>
  <c r="BN155" i="9"/>
  <c r="BN171" i="9" s="1"/>
  <c r="BM187" i="9"/>
  <c r="Z40" i="6"/>
  <c r="AA59" i="10"/>
  <c r="AA8" i="11" s="1"/>
  <c r="AA9" i="17" s="1"/>
  <c r="AA55" i="10"/>
  <c r="BM121" i="6" l="1"/>
  <c r="AN180" i="9"/>
  <c r="AN91" i="11"/>
  <c r="AN17" i="6" s="1"/>
  <c r="AN128" i="6" s="1"/>
  <c r="BK156" i="9"/>
  <c r="BK172" i="9" s="1"/>
  <c r="BK188" i="9" s="1"/>
  <c r="BL140" i="9"/>
  <c r="AT32" i="17"/>
  <c r="AT87" i="17" s="1"/>
  <c r="AT89" i="17" s="1"/>
  <c r="AT26" i="17"/>
  <c r="AT193" i="9"/>
  <c r="AU161" i="9"/>
  <c r="AS48" i="17"/>
  <c r="AS47" i="17"/>
  <c r="AS46" i="17"/>
  <c r="BG141" i="9"/>
  <c r="BF55" i="11"/>
  <c r="BF157" i="9"/>
  <c r="BF173" i="9" s="1"/>
  <c r="BF189" i="9" s="1"/>
  <c r="BE57" i="11"/>
  <c r="BE56" i="11"/>
  <c r="BD59" i="11"/>
  <c r="BD50" i="12" s="1"/>
  <c r="BD14" i="17"/>
  <c r="BO108" i="10"/>
  <c r="BO45" i="12"/>
  <c r="BO39" i="6" s="1"/>
  <c r="BO51" i="12"/>
  <c r="BO41" i="6" s="1"/>
  <c r="BO69" i="11"/>
  <c r="BO70" i="11" s="1"/>
  <c r="BO89" i="11" s="1"/>
  <c r="BO15" i="6" s="1"/>
  <c r="BO79" i="11"/>
  <c r="BO9" i="6"/>
  <c r="Z74" i="17"/>
  <c r="Z75" i="17"/>
  <c r="Z73" i="17"/>
  <c r="AA29" i="17"/>
  <c r="BI148" i="9"/>
  <c r="AU163" i="9"/>
  <c r="AT195" i="9"/>
  <c r="BN122" i="6"/>
  <c r="BN176" i="6"/>
  <c r="BN8" i="6"/>
  <c r="BN126" i="6"/>
  <c r="BN143" i="6"/>
  <c r="BN165" i="6"/>
  <c r="BO155" i="9"/>
  <c r="BO171" i="9" s="1"/>
  <c r="BN187" i="9"/>
  <c r="AA14" i="11"/>
  <c r="AA84" i="11" s="1"/>
  <c r="AA49" i="12" s="1"/>
  <c r="AA46" i="12"/>
  <c r="AB52" i="10"/>
  <c r="AA48" i="12"/>
  <c r="BN121" i="6" l="1"/>
  <c r="AN196" i="9"/>
  <c r="AO164" i="9"/>
  <c r="AS49" i="17"/>
  <c r="BL156" i="9"/>
  <c r="BL172" i="9" s="1"/>
  <c r="BL188" i="9" s="1"/>
  <c r="BM140" i="9"/>
  <c r="AT88" i="17"/>
  <c r="AT37" i="17"/>
  <c r="AT43" i="17" s="1"/>
  <c r="AT45" i="17" s="1"/>
  <c r="AU177" i="9"/>
  <c r="AU25" i="17"/>
  <c r="BG55" i="11"/>
  <c r="BH141" i="9"/>
  <c r="BG157" i="9"/>
  <c r="BG173" i="9" s="1"/>
  <c r="BG189" i="9" s="1"/>
  <c r="BF56" i="11"/>
  <c r="BF57" i="11"/>
  <c r="BE59" i="11"/>
  <c r="BE50" i="12" s="1"/>
  <c r="BE14" i="17"/>
  <c r="BO165" i="6"/>
  <c r="BO143" i="6"/>
  <c r="BO176" i="6"/>
  <c r="BO122" i="6"/>
  <c r="BO8" i="6"/>
  <c r="BO126" i="6"/>
  <c r="BO157" i="6"/>
  <c r="AA57" i="17"/>
  <c r="AA56" i="17"/>
  <c r="AA55" i="17"/>
  <c r="BJ148" i="9"/>
  <c r="AU179" i="9"/>
  <c r="BO187" i="9"/>
  <c r="AA40" i="6"/>
  <c r="AB53" i="10"/>
  <c r="BO121" i="6" l="1"/>
  <c r="D7" i="15"/>
  <c r="AO180" i="9"/>
  <c r="AO91" i="11"/>
  <c r="AO17" i="6" s="1"/>
  <c r="AO128" i="6" s="1"/>
  <c r="BN140" i="9"/>
  <c r="BM156" i="9"/>
  <c r="BM172" i="9" s="1"/>
  <c r="BM188" i="9" s="1"/>
  <c r="AT48" i="17"/>
  <c r="AT47" i="17"/>
  <c r="AT46" i="17"/>
  <c r="AU193" i="9"/>
  <c r="AV161" i="9"/>
  <c r="AU32" i="17"/>
  <c r="AU87" i="17" s="1"/>
  <c r="AU89" i="17" s="1"/>
  <c r="AU26" i="17"/>
  <c r="BG57" i="11"/>
  <c r="BG56" i="11"/>
  <c r="BH55" i="11"/>
  <c r="BI141" i="9"/>
  <c r="BH157" i="9"/>
  <c r="BH173" i="9" s="1"/>
  <c r="BH189" i="9" s="1"/>
  <c r="BF14" i="17"/>
  <c r="BF59" i="11"/>
  <c r="BF50" i="12" s="1"/>
  <c r="AA75" i="17"/>
  <c r="AA74" i="17"/>
  <c r="AA73" i="17"/>
  <c r="BK148" i="9"/>
  <c r="AU195" i="9"/>
  <c r="AV163" i="9"/>
  <c r="AB59" i="10"/>
  <c r="AB8" i="11" s="1"/>
  <c r="AB9" i="17" s="1"/>
  <c r="AB55" i="10"/>
  <c r="AP164" i="9" l="1"/>
  <c r="AO196" i="9"/>
  <c r="AT49" i="17"/>
  <c r="BO140" i="9"/>
  <c r="BN156" i="9"/>
  <c r="BN172" i="9" s="1"/>
  <c r="BN188" i="9" s="1"/>
  <c r="AV177" i="9"/>
  <c r="AV25" i="17"/>
  <c r="AU88" i="17"/>
  <c r="AU37" i="17"/>
  <c r="AU43" i="17" s="1"/>
  <c r="AU45" i="17" s="1"/>
  <c r="BG14" i="17"/>
  <c r="BG59" i="11"/>
  <c r="BG50" i="12" s="1"/>
  <c r="BH56" i="11"/>
  <c r="BH57" i="11"/>
  <c r="BJ141" i="9"/>
  <c r="BI157" i="9"/>
  <c r="BI173" i="9" s="1"/>
  <c r="BI189" i="9" s="1"/>
  <c r="BI55" i="11"/>
  <c r="AB29" i="17"/>
  <c r="BL148" i="9"/>
  <c r="AV179" i="9"/>
  <c r="AB46" i="12"/>
  <c r="AB14" i="11"/>
  <c r="AB84" i="11" s="1"/>
  <c r="AB49" i="12" s="1"/>
  <c r="AC52" i="10"/>
  <c r="AB48" i="12"/>
  <c r="AP180" i="9" l="1"/>
  <c r="AP91" i="11"/>
  <c r="AP17" i="6" s="1"/>
  <c r="AP128" i="6" s="1"/>
  <c r="BO156" i="9"/>
  <c r="BO172" i="9" s="1"/>
  <c r="BO188" i="9" s="1"/>
  <c r="AW161" i="9"/>
  <c r="AV193" i="9"/>
  <c r="AV26" i="17"/>
  <c r="AV32" i="17"/>
  <c r="AV87" i="17" s="1"/>
  <c r="AV89" i="17" s="1"/>
  <c r="AU47" i="17"/>
  <c r="AU46" i="17"/>
  <c r="AU48" i="17"/>
  <c r="BH14" i="17"/>
  <c r="BH59" i="11"/>
  <c r="BH50" i="12" s="1"/>
  <c r="BJ55" i="11"/>
  <c r="BK141" i="9"/>
  <c r="BJ157" i="9"/>
  <c r="BJ173" i="9" s="1"/>
  <c r="BJ189" i="9" s="1"/>
  <c r="BI57" i="11"/>
  <c r="BI56" i="11"/>
  <c r="AB57" i="17"/>
  <c r="AB56" i="17"/>
  <c r="AB55" i="17"/>
  <c r="BM148" i="9"/>
  <c r="AV195" i="9"/>
  <c r="AW163" i="9"/>
  <c r="AC53" i="10"/>
  <c r="AB40" i="6"/>
  <c r="AQ164" i="9" l="1"/>
  <c r="AP196" i="9"/>
  <c r="AW25" i="17"/>
  <c r="AW177" i="9"/>
  <c r="AV37" i="17"/>
  <c r="AV43" i="17" s="1"/>
  <c r="AV45" i="17" s="1"/>
  <c r="AV88" i="17"/>
  <c r="AU49" i="17"/>
  <c r="BJ57" i="11"/>
  <c r="BJ56" i="11"/>
  <c r="BL141" i="9"/>
  <c r="BK55" i="11"/>
  <c r="BK157" i="9"/>
  <c r="BK173" i="9" s="1"/>
  <c r="BK189" i="9" s="1"/>
  <c r="BI59" i="11"/>
  <c r="BI50" i="12" s="1"/>
  <c r="BI14" i="17"/>
  <c r="AB75" i="17"/>
  <c r="AB74" i="17"/>
  <c r="AB73" i="17"/>
  <c r="BN148" i="9"/>
  <c r="AW179" i="9"/>
  <c r="AC59" i="10"/>
  <c r="AC8" i="11" s="1"/>
  <c r="AC9" i="17" s="1"/>
  <c r="AC55" i="10"/>
  <c r="AQ180" i="9" l="1"/>
  <c r="AQ91" i="11"/>
  <c r="AQ17" i="6" s="1"/>
  <c r="AQ128" i="6" s="1"/>
  <c r="AW32" i="17"/>
  <c r="AW87" i="17" s="1"/>
  <c r="AW89" i="17" s="1"/>
  <c r="AW26" i="17"/>
  <c r="AX161" i="9"/>
  <c r="AW193" i="9"/>
  <c r="AV47" i="17"/>
  <c r="AV46" i="17"/>
  <c r="AV48" i="17"/>
  <c r="BJ59" i="11"/>
  <c r="BJ50" i="12" s="1"/>
  <c r="BJ14" i="17"/>
  <c r="BL157" i="9"/>
  <c r="BL173" i="9" s="1"/>
  <c r="BL189" i="9" s="1"/>
  <c r="BM141" i="9"/>
  <c r="BL55" i="11"/>
  <c r="BK57" i="11"/>
  <c r="BK56" i="11"/>
  <c r="AC29" i="17"/>
  <c r="BO148" i="9"/>
  <c r="AW195" i="9"/>
  <c r="AX163" i="9"/>
  <c r="AC48" i="12"/>
  <c r="AD52" i="10"/>
  <c r="AC46" i="12"/>
  <c r="AC14" i="11"/>
  <c r="AC84" i="11" s="1"/>
  <c r="AC49" i="12" s="1"/>
  <c r="AR164" i="9" l="1"/>
  <c r="AQ196" i="9"/>
  <c r="AV49" i="17"/>
  <c r="AW88" i="17"/>
  <c r="AW37" i="17"/>
  <c r="AW43" i="17" s="1"/>
  <c r="AW45" i="17" s="1"/>
  <c r="AX25" i="17"/>
  <c r="AX177" i="9"/>
  <c r="BN141" i="9"/>
  <c r="BM157" i="9"/>
  <c r="BM173" i="9" s="1"/>
  <c r="BM189" i="9" s="1"/>
  <c r="BM55" i="11"/>
  <c r="BL57" i="11"/>
  <c r="BL56" i="11"/>
  <c r="BK14" i="17"/>
  <c r="BK59" i="11"/>
  <c r="BK50" i="12" s="1"/>
  <c r="AC57" i="17"/>
  <c r="AC56" i="17"/>
  <c r="AC55" i="17"/>
  <c r="AX179" i="9"/>
  <c r="AC40" i="6"/>
  <c r="AD53" i="10"/>
  <c r="AR180" i="9" l="1"/>
  <c r="AR91" i="11"/>
  <c r="AR17" i="6" s="1"/>
  <c r="AR128" i="6" s="1"/>
  <c r="AW48" i="17"/>
  <c r="AW47" i="17"/>
  <c r="AW46" i="17"/>
  <c r="AX32" i="17"/>
  <c r="AX87" i="17" s="1"/>
  <c r="AX89" i="17" s="1"/>
  <c r="AX26" i="17"/>
  <c r="AX193" i="9"/>
  <c r="AY161" i="9"/>
  <c r="BO141" i="9"/>
  <c r="BN55" i="11"/>
  <c r="BN157" i="9"/>
  <c r="BN173" i="9" s="1"/>
  <c r="BN189" i="9" s="1"/>
  <c r="BM56" i="11"/>
  <c r="BM57" i="11"/>
  <c r="BL59" i="11"/>
  <c r="BL50" i="12" s="1"/>
  <c r="BL14" i="17"/>
  <c r="AC75" i="17"/>
  <c r="AC74" i="17"/>
  <c r="AC73" i="17"/>
  <c r="AX195" i="9"/>
  <c r="AY163" i="9"/>
  <c r="AD59" i="10"/>
  <c r="AD8" i="11" s="1"/>
  <c r="AD9" i="17" s="1"/>
  <c r="AD55" i="10"/>
  <c r="AR196" i="9" l="1"/>
  <c r="AS164" i="9"/>
  <c r="AW49" i="17"/>
  <c r="AX37" i="17"/>
  <c r="AX43" i="17" s="1"/>
  <c r="AX45" i="17" s="1"/>
  <c r="AX88" i="17"/>
  <c r="AY177" i="9"/>
  <c r="AY25" i="17"/>
  <c r="BO55" i="11"/>
  <c r="BO157" i="9"/>
  <c r="BO173" i="9" s="1"/>
  <c r="BO189" i="9" s="1"/>
  <c r="BN57" i="11"/>
  <c r="BN56" i="11"/>
  <c r="BM14" i="17"/>
  <c r="BM59" i="11"/>
  <c r="BM50" i="12" s="1"/>
  <c r="AD29" i="17"/>
  <c r="AY179" i="9"/>
  <c r="AD46" i="12"/>
  <c r="AD14" i="11"/>
  <c r="AD84" i="11" s="1"/>
  <c r="AD49" i="12" s="1"/>
  <c r="AE52" i="10"/>
  <c r="AD48" i="12"/>
  <c r="AS180" i="9" l="1"/>
  <c r="AS91" i="11"/>
  <c r="AS17" i="6" s="1"/>
  <c r="AS128" i="6" s="1"/>
  <c r="AX46" i="17"/>
  <c r="AX47" i="17"/>
  <c r="AX48" i="17"/>
  <c r="AY193" i="9"/>
  <c r="AZ161" i="9"/>
  <c r="AY26" i="17"/>
  <c r="AY32" i="17"/>
  <c r="AY87" i="17" s="1"/>
  <c r="AY89" i="17" s="1"/>
  <c r="BO56" i="11"/>
  <c r="BO57" i="11"/>
  <c r="BN14" i="17"/>
  <c r="BN59" i="11"/>
  <c r="BN50" i="12" s="1"/>
  <c r="AD57" i="17"/>
  <c r="AD56" i="17"/>
  <c r="AD55" i="17"/>
  <c r="AZ163" i="9"/>
  <c r="AY195" i="9"/>
  <c r="AD40" i="6"/>
  <c r="AE53" i="10"/>
  <c r="AT164" i="9" l="1"/>
  <c r="AS196" i="9"/>
  <c r="AZ177" i="9"/>
  <c r="AZ25" i="17"/>
  <c r="AY88" i="17"/>
  <c r="AY37" i="17"/>
  <c r="AY43" i="17" s="1"/>
  <c r="AY45" i="17" s="1"/>
  <c r="AX49" i="17"/>
  <c r="BO59" i="11"/>
  <c r="BO50" i="12" s="1"/>
  <c r="BO14" i="17"/>
  <c r="AD75" i="17"/>
  <c r="AD74" i="17"/>
  <c r="AD73" i="17"/>
  <c r="AZ179" i="9"/>
  <c r="AE59" i="10"/>
  <c r="AE8" i="11" s="1"/>
  <c r="AE9" i="17" s="1"/>
  <c r="AE55" i="10"/>
  <c r="AT91" i="11" l="1"/>
  <c r="AT17" i="6" s="1"/>
  <c r="AT128" i="6" s="1"/>
  <c r="AT180" i="9"/>
  <c r="BA161" i="9"/>
  <c r="AZ193" i="9"/>
  <c r="AZ32" i="17"/>
  <c r="AZ87" i="17" s="1"/>
  <c r="AZ89" i="17" s="1"/>
  <c r="AZ26" i="17"/>
  <c r="AY47" i="17"/>
  <c r="AY46" i="17"/>
  <c r="AY48" i="17"/>
  <c r="AE29" i="17"/>
  <c r="AZ195" i="9"/>
  <c r="BA163" i="9"/>
  <c r="AF52" i="10"/>
  <c r="AE48" i="12"/>
  <c r="AE14" i="11"/>
  <c r="AE84" i="11" s="1"/>
  <c r="AE49" i="12" s="1"/>
  <c r="AE46" i="12"/>
  <c r="AU164" i="9" l="1"/>
  <c r="AT196" i="9"/>
  <c r="BA177" i="9"/>
  <c r="BA25" i="17"/>
  <c r="AZ88" i="17"/>
  <c r="AZ37" i="17"/>
  <c r="AZ43" i="17" s="1"/>
  <c r="AZ45" i="17" s="1"/>
  <c r="AY49" i="17"/>
  <c r="AE57" i="17"/>
  <c r="AE55" i="17"/>
  <c r="AE56" i="17"/>
  <c r="BA179" i="9"/>
  <c r="AE40" i="6"/>
  <c r="AF53" i="10"/>
  <c r="AU180" i="9" l="1"/>
  <c r="AU91" i="11"/>
  <c r="AU17" i="6" s="1"/>
  <c r="AU128" i="6" s="1"/>
  <c r="BA193" i="9"/>
  <c r="BB161" i="9"/>
  <c r="BA26" i="17"/>
  <c r="BA32" i="17"/>
  <c r="BA87" i="17" s="1"/>
  <c r="BA89" i="17" s="1"/>
  <c r="AZ46" i="17"/>
  <c r="AZ48" i="17"/>
  <c r="AZ47" i="17"/>
  <c r="AE75" i="17"/>
  <c r="AE73" i="17"/>
  <c r="AE74" i="17"/>
  <c r="BB163" i="9"/>
  <c r="BA195" i="9"/>
  <c r="AF59" i="10"/>
  <c r="AF8" i="11" s="1"/>
  <c r="AF9" i="17" s="1"/>
  <c r="AF55" i="10"/>
  <c r="AV164" i="9" l="1"/>
  <c r="AU196" i="9"/>
  <c r="AZ49" i="17"/>
  <c r="BB177" i="9"/>
  <c r="BB25" i="17"/>
  <c r="BA37" i="17"/>
  <c r="BA43" i="17" s="1"/>
  <c r="BA45" i="17" s="1"/>
  <c r="BA88" i="17"/>
  <c r="AF29" i="17"/>
  <c r="BB179" i="9"/>
  <c r="AF14" i="11"/>
  <c r="AF84" i="11" s="1"/>
  <c r="AF49" i="12" s="1"/>
  <c r="AF46" i="12"/>
  <c r="AF48" i="12"/>
  <c r="AG52" i="10"/>
  <c r="AV180" i="9" l="1"/>
  <c r="AV91" i="11"/>
  <c r="AV17" i="6" s="1"/>
  <c r="AV128" i="6" s="1"/>
  <c r="BC161" i="9"/>
  <c r="BB193" i="9"/>
  <c r="BB32" i="17"/>
  <c r="BB87" i="17" s="1"/>
  <c r="BB89" i="17" s="1"/>
  <c r="BB26" i="17"/>
  <c r="BA48" i="17"/>
  <c r="BA47" i="17"/>
  <c r="BA46" i="17"/>
  <c r="AF57" i="17"/>
  <c r="AF56" i="17"/>
  <c r="AF55" i="17"/>
  <c r="BB195" i="9"/>
  <c r="BC163" i="9"/>
  <c r="AF40" i="6"/>
  <c r="AG53" i="10"/>
  <c r="AV196" i="9" l="1"/>
  <c r="AW164" i="9"/>
  <c r="BA49" i="17"/>
  <c r="BB88" i="17"/>
  <c r="BB37" i="17"/>
  <c r="BB43" i="17" s="1"/>
  <c r="BB45" i="17" s="1"/>
  <c r="BC25" i="17"/>
  <c r="BC177" i="9"/>
  <c r="AF75" i="17"/>
  <c r="AF74" i="17"/>
  <c r="AF73" i="17"/>
  <c r="BC179" i="9"/>
  <c r="AG59" i="10"/>
  <c r="AG8" i="11" s="1"/>
  <c r="AG9" i="17" s="1"/>
  <c r="AG55" i="10"/>
  <c r="AW180" i="9" l="1"/>
  <c r="AW91" i="11"/>
  <c r="AW17" i="6" s="1"/>
  <c r="AW128" i="6" s="1"/>
  <c r="BB48" i="17"/>
  <c r="BB46" i="17"/>
  <c r="BB47" i="17"/>
  <c r="BC32" i="17"/>
  <c r="BC87" i="17" s="1"/>
  <c r="BC89" i="17" s="1"/>
  <c r="BC26" i="17"/>
  <c r="BD161" i="9"/>
  <c r="BC193" i="9"/>
  <c r="AG29" i="17"/>
  <c r="BD163" i="9"/>
  <c r="BC195" i="9"/>
  <c r="AG14" i="11"/>
  <c r="AG84" i="11" s="1"/>
  <c r="AG49" i="12" s="1"/>
  <c r="AG46" i="12"/>
  <c r="AH52" i="10"/>
  <c r="AG48" i="12"/>
  <c r="AX164" i="9" l="1"/>
  <c r="AW196" i="9"/>
  <c r="BB49" i="17"/>
  <c r="BD25" i="17"/>
  <c r="BD177" i="9"/>
  <c r="BC88" i="17"/>
  <c r="BC37" i="17"/>
  <c r="BC43" i="17" s="1"/>
  <c r="BC45" i="17" s="1"/>
  <c r="AG57" i="17"/>
  <c r="AG56" i="17"/>
  <c r="AG55" i="17"/>
  <c r="BD179" i="9"/>
  <c r="AG40" i="6"/>
  <c r="AH53" i="10"/>
  <c r="AX180" i="9" l="1"/>
  <c r="AX91" i="11"/>
  <c r="AX17" i="6" s="1"/>
  <c r="AX128" i="6" s="1"/>
  <c r="BD26" i="17"/>
  <c r="BD32" i="17"/>
  <c r="BD87" i="17" s="1"/>
  <c r="BD89" i="17" s="1"/>
  <c r="BE161" i="9"/>
  <c r="BD193" i="9"/>
  <c r="BC46" i="17"/>
  <c r="BC47" i="17"/>
  <c r="BC48" i="17"/>
  <c r="AG75" i="17"/>
  <c r="AG74" i="17"/>
  <c r="AG73" i="17"/>
  <c r="BD195" i="9"/>
  <c r="BE163" i="9"/>
  <c r="AH59" i="10"/>
  <c r="AH8" i="11" s="1"/>
  <c r="AH9" i="17" s="1"/>
  <c r="AH55" i="10"/>
  <c r="AY164" i="9" l="1"/>
  <c r="AX196" i="9"/>
  <c r="BC49" i="17"/>
  <c r="BD88" i="17"/>
  <c r="BD37" i="17"/>
  <c r="BD43" i="17" s="1"/>
  <c r="BD45" i="17" s="1"/>
  <c r="BE177" i="9"/>
  <c r="BE25" i="17"/>
  <c r="AH29" i="17"/>
  <c r="BE179" i="9"/>
  <c r="AH14" i="11"/>
  <c r="AH84" i="11" s="1"/>
  <c r="AH49" i="12" s="1"/>
  <c r="AH46" i="12"/>
  <c r="AH48" i="12"/>
  <c r="AI52" i="10"/>
  <c r="AY180" i="9" l="1"/>
  <c r="AY91" i="11"/>
  <c r="AY17" i="6" s="1"/>
  <c r="AY128" i="6" s="1"/>
  <c r="BF161" i="9"/>
  <c r="BE193" i="9"/>
  <c r="BE26" i="17"/>
  <c r="BE37" i="17" s="1"/>
  <c r="BE43" i="17" s="1"/>
  <c r="BE45" i="17" s="1"/>
  <c r="BE32" i="17"/>
  <c r="BE87" i="17" s="1"/>
  <c r="BD48" i="17"/>
  <c r="BD47" i="17"/>
  <c r="BD46" i="17"/>
  <c r="AH55" i="17"/>
  <c r="AH57" i="17"/>
  <c r="AH56" i="17"/>
  <c r="BF163" i="9"/>
  <c r="BE195" i="9"/>
  <c r="AH40" i="6"/>
  <c r="AI53" i="10"/>
  <c r="AZ164" i="9" l="1"/>
  <c r="AY196" i="9"/>
  <c r="BF177" i="9"/>
  <c r="BF25" i="17"/>
  <c r="BE89" i="17"/>
  <c r="BE88" i="17"/>
  <c r="BD49" i="17"/>
  <c r="BE48" i="17"/>
  <c r="BE46" i="17"/>
  <c r="BE47" i="17"/>
  <c r="AH73" i="17"/>
  <c r="AH75" i="17"/>
  <c r="AH74" i="17"/>
  <c r="BF179" i="9"/>
  <c r="AI59" i="10"/>
  <c r="AI8" i="11" s="1"/>
  <c r="AI9" i="17" s="1"/>
  <c r="AI55" i="10"/>
  <c r="AZ180" i="9" l="1"/>
  <c r="AZ91" i="11"/>
  <c r="AZ17" i="6" s="1"/>
  <c r="AZ128" i="6" s="1"/>
  <c r="BF193" i="9"/>
  <c r="BG161" i="9"/>
  <c r="BF26" i="17"/>
  <c r="BF32" i="17"/>
  <c r="BF87" i="17" s="1"/>
  <c r="BF89" i="17" s="1"/>
  <c r="BE49" i="17"/>
  <c r="AI29" i="17"/>
  <c r="BG163" i="9"/>
  <c r="BF195" i="9"/>
  <c r="AI46" i="12"/>
  <c r="AI14" i="11"/>
  <c r="AI84" i="11" s="1"/>
  <c r="AI49" i="12" s="1"/>
  <c r="AI48" i="12"/>
  <c r="AJ52" i="10"/>
  <c r="AZ196" i="9" l="1"/>
  <c r="BA164" i="9"/>
  <c r="BF88" i="17"/>
  <c r="BF37" i="17"/>
  <c r="BF43" i="17" s="1"/>
  <c r="BF45" i="17" s="1"/>
  <c r="BG25" i="17"/>
  <c r="BG177" i="9"/>
  <c r="AI55" i="17"/>
  <c r="AI56" i="17"/>
  <c r="AI57" i="17"/>
  <c r="AI40" i="6"/>
  <c r="BG179" i="9"/>
  <c r="AJ53" i="10"/>
  <c r="BA180" i="9" l="1"/>
  <c r="BA91" i="11"/>
  <c r="BA17" i="6" s="1"/>
  <c r="BA128" i="6" s="1"/>
  <c r="BH161" i="9"/>
  <c r="BG193" i="9"/>
  <c r="BG26" i="17"/>
  <c r="BG37" i="17" s="1"/>
  <c r="BG43" i="17" s="1"/>
  <c r="BG45" i="17" s="1"/>
  <c r="BG32" i="17"/>
  <c r="BG87" i="17" s="1"/>
  <c r="BF46" i="17"/>
  <c r="BF47" i="17"/>
  <c r="BF48" i="17"/>
  <c r="AI73" i="17"/>
  <c r="AI74" i="17"/>
  <c r="AI75" i="17"/>
  <c r="AJ59" i="10"/>
  <c r="AJ8" i="11" s="1"/>
  <c r="AJ9" i="17" s="1"/>
  <c r="AJ55" i="10"/>
  <c r="BH163" i="9"/>
  <c r="BG195" i="9"/>
  <c r="BB164" i="9" l="1"/>
  <c r="BA196" i="9"/>
  <c r="BH25" i="17"/>
  <c r="BH177" i="9"/>
  <c r="BG89" i="17"/>
  <c r="BG88" i="17"/>
  <c r="BF49" i="17"/>
  <c r="BG46" i="17"/>
  <c r="BG48" i="17"/>
  <c r="BG47" i="17"/>
  <c r="AJ29" i="17"/>
  <c r="AJ46" i="12"/>
  <c r="AJ14" i="11"/>
  <c r="AJ84" i="11" s="1"/>
  <c r="AJ49" i="12" s="1"/>
  <c r="AK52" i="10"/>
  <c r="AJ48" i="12"/>
  <c r="BH179" i="9"/>
  <c r="BB91" i="11" l="1"/>
  <c r="BB17" i="6" s="1"/>
  <c r="BB128" i="6" s="1"/>
  <c r="BB180" i="9"/>
  <c r="BH32" i="17"/>
  <c r="BH87" i="17" s="1"/>
  <c r="BH26" i="17"/>
  <c r="BH37" i="17" s="1"/>
  <c r="BH43" i="17" s="1"/>
  <c r="BH45" i="17" s="1"/>
  <c r="BH193" i="9"/>
  <c r="BI161" i="9"/>
  <c r="BG49" i="17"/>
  <c r="AJ55" i="17"/>
  <c r="AJ57" i="17"/>
  <c r="AJ56" i="17"/>
  <c r="AJ40" i="6"/>
  <c r="AK53" i="10"/>
  <c r="BI163" i="9"/>
  <c r="BH195" i="9"/>
  <c r="BB196" i="9" l="1"/>
  <c r="BC164" i="9"/>
  <c r="BI177" i="9"/>
  <c r="BI25" i="17"/>
  <c r="BH89" i="17"/>
  <c r="BH88" i="17"/>
  <c r="BH47" i="17"/>
  <c r="BH46" i="17"/>
  <c r="BH48" i="17"/>
  <c r="AJ73" i="17"/>
  <c r="AJ75" i="17"/>
  <c r="AJ74" i="17"/>
  <c r="AK59" i="10"/>
  <c r="AK8" i="11" s="1"/>
  <c r="AK9" i="17" s="1"/>
  <c r="AK55" i="10"/>
  <c r="BI179" i="9"/>
  <c r="BC180" i="9" l="1"/>
  <c r="BC91" i="11"/>
  <c r="BC17" i="6" s="1"/>
  <c r="BC128" i="6" s="1"/>
  <c r="BI26" i="17"/>
  <c r="BI32" i="17"/>
  <c r="BI87" i="17" s="1"/>
  <c r="BI89" i="17" s="1"/>
  <c r="BI193" i="9"/>
  <c r="BJ161" i="9"/>
  <c r="BH49" i="17"/>
  <c r="AK29" i="17"/>
  <c r="AK46" i="12"/>
  <c r="AK14" i="11"/>
  <c r="AK84" i="11" s="1"/>
  <c r="AK49" i="12" s="1"/>
  <c r="AL52" i="10"/>
  <c r="AK48" i="12"/>
  <c r="BI195" i="9"/>
  <c r="BJ163" i="9"/>
  <c r="BC196" i="9" l="1"/>
  <c r="BD164" i="9"/>
  <c r="BI37" i="17"/>
  <c r="BI43" i="17" s="1"/>
  <c r="BI45" i="17" s="1"/>
  <c r="BI88" i="17"/>
  <c r="BJ177" i="9"/>
  <c r="BJ25" i="17"/>
  <c r="AK55" i="17"/>
  <c r="AK57" i="17"/>
  <c r="AK56" i="17"/>
  <c r="AK40" i="6"/>
  <c r="BJ179" i="9"/>
  <c r="AL53" i="10"/>
  <c r="BD180" i="9" l="1"/>
  <c r="BD91" i="11"/>
  <c r="BD17" i="6" s="1"/>
  <c r="BD128" i="6" s="1"/>
  <c r="BJ193" i="9"/>
  <c r="BK161" i="9"/>
  <c r="BI48" i="17"/>
  <c r="BI46" i="17"/>
  <c r="BI47" i="17"/>
  <c r="BJ32" i="17"/>
  <c r="BJ87" i="17" s="1"/>
  <c r="BJ89" i="17" s="1"/>
  <c r="BJ26" i="17"/>
  <c r="AK73" i="17"/>
  <c r="AK75" i="17"/>
  <c r="AK74" i="17"/>
  <c r="BK163" i="9"/>
  <c r="BJ195" i="9"/>
  <c r="AL59" i="10"/>
  <c r="AL8" i="11" s="1"/>
  <c r="AL9" i="17" s="1"/>
  <c r="AL55" i="10"/>
  <c r="BD196" i="9" l="1"/>
  <c r="BE164" i="9"/>
  <c r="BK177" i="9"/>
  <c r="BK25" i="17"/>
  <c r="BI49" i="17"/>
  <c r="BJ37" i="17"/>
  <c r="BJ43" i="17" s="1"/>
  <c r="BJ45" i="17" s="1"/>
  <c r="BJ47" i="17" s="1"/>
  <c r="BJ88" i="17"/>
  <c r="AL29" i="17"/>
  <c r="BK179" i="9"/>
  <c r="AL46" i="12"/>
  <c r="AL14" i="11"/>
  <c r="AL84" i="11" s="1"/>
  <c r="AL49" i="12" s="1"/>
  <c r="AM52" i="10"/>
  <c r="AL48" i="12"/>
  <c r="BE180" i="9" l="1"/>
  <c r="BE91" i="11"/>
  <c r="BE17" i="6" s="1"/>
  <c r="BE128" i="6" s="1"/>
  <c r="BL161" i="9"/>
  <c r="BK193" i="9"/>
  <c r="BK26" i="17"/>
  <c r="BK37" i="17" s="1"/>
  <c r="BK43" i="17" s="1"/>
  <c r="BK45" i="17" s="1"/>
  <c r="BK32" i="17"/>
  <c r="BK87" i="17" s="1"/>
  <c r="BJ46" i="17"/>
  <c r="BJ48" i="17"/>
  <c r="AL55" i="17"/>
  <c r="AL56" i="17"/>
  <c r="AL57" i="17"/>
  <c r="BK195" i="9"/>
  <c r="BL163" i="9"/>
  <c r="AL40" i="6"/>
  <c r="AM53" i="10"/>
  <c r="BE196" i="9" l="1"/>
  <c r="BF164" i="9"/>
  <c r="BL177" i="9"/>
  <c r="BL25" i="17"/>
  <c r="BK89" i="17"/>
  <c r="BK88" i="17"/>
  <c r="BJ49" i="17"/>
  <c r="BK48" i="17"/>
  <c r="BK46" i="17"/>
  <c r="BK47" i="17"/>
  <c r="AL73" i="17"/>
  <c r="AL74" i="17"/>
  <c r="AL75" i="17"/>
  <c r="BL179" i="9"/>
  <c r="AM59" i="10"/>
  <c r="AM8" i="11" s="1"/>
  <c r="AM9" i="17" s="1"/>
  <c r="AM55" i="10"/>
  <c r="BF180" i="9" l="1"/>
  <c r="BF91" i="11"/>
  <c r="BF17" i="6" s="1"/>
  <c r="BF128" i="6" s="1"/>
  <c r="BM161" i="9"/>
  <c r="BL193" i="9"/>
  <c r="BL26" i="17"/>
  <c r="BL37" i="17" s="1"/>
  <c r="BL43" i="17" s="1"/>
  <c r="BL45" i="17" s="1"/>
  <c r="BL32" i="17"/>
  <c r="BL87" i="17" s="1"/>
  <c r="BK49" i="17"/>
  <c r="AM29" i="17"/>
  <c r="BM163" i="9"/>
  <c r="BL195" i="9"/>
  <c r="AM46" i="12"/>
  <c r="AM14" i="11"/>
  <c r="AM84" i="11" s="1"/>
  <c r="AM49" i="12" s="1"/>
  <c r="AN52" i="10"/>
  <c r="AM48" i="12"/>
  <c r="BF196" i="9" l="1"/>
  <c r="BG164" i="9"/>
  <c r="BM177" i="9"/>
  <c r="BM25" i="17"/>
  <c r="BL89" i="17"/>
  <c r="BL88" i="17"/>
  <c r="BL46" i="17"/>
  <c r="BL47" i="17"/>
  <c r="BL48" i="17"/>
  <c r="AM57" i="17"/>
  <c r="AM55" i="17"/>
  <c r="AM56" i="17"/>
  <c r="BM179" i="9"/>
  <c r="AM40" i="6"/>
  <c r="AN53" i="10"/>
  <c r="BG180" i="9" l="1"/>
  <c r="BG91" i="11"/>
  <c r="BG17" i="6" s="1"/>
  <c r="BG128" i="6" s="1"/>
  <c r="BM193" i="9"/>
  <c r="BN161" i="9"/>
  <c r="BM26" i="17"/>
  <c r="BM32" i="17"/>
  <c r="BM87" i="17" s="1"/>
  <c r="BM89" i="17" s="1"/>
  <c r="BL49" i="17"/>
  <c r="AM75" i="17"/>
  <c r="AM73" i="17"/>
  <c r="AM74" i="17"/>
  <c r="BM195" i="9"/>
  <c r="BN163" i="9"/>
  <c r="AN59" i="10"/>
  <c r="AN8" i="11" s="1"/>
  <c r="AN9" i="17" s="1"/>
  <c r="AN55" i="10"/>
  <c r="BG196" i="9" l="1"/>
  <c r="BH164" i="9"/>
  <c r="BN177" i="9"/>
  <c r="BN25" i="17"/>
  <c r="BM88" i="17"/>
  <c r="BM37" i="17"/>
  <c r="BM43" i="17" s="1"/>
  <c r="BM45" i="17" s="1"/>
  <c r="AN29" i="17"/>
  <c r="BN179" i="9"/>
  <c r="AN46" i="12"/>
  <c r="AN14" i="11"/>
  <c r="AN84" i="11" s="1"/>
  <c r="AN49" i="12" s="1"/>
  <c r="AO52" i="10"/>
  <c r="AN48" i="12"/>
  <c r="BH180" i="9" l="1"/>
  <c r="BH91" i="11"/>
  <c r="BH17" i="6" s="1"/>
  <c r="BH128" i="6" s="1"/>
  <c r="BN193" i="9"/>
  <c r="BO161" i="9"/>
  <c r="BN32" i="17"/>
  <c r="BN87" i="17" s="1"/>
  <c r="BN89" i="17" s="1"/>
  <c r="BN26" i="17"/>
  <c r="BM46" i="17"/>
  <c r="BM47" i="17"/>
  <c r="BM48" i="17"/>
  <c r="AN57" i="17"/>
  <c r="AN55" i="17"/>
  <c r="AN56" i="17"/>
  <c r="BN195" i="9"/>
  <c r="BO163" i="9"/>
  <c r="AO53" i="10"/>
  <c r="AN40" i="6"/>
  <c r="BH196" i="9" l="1"/>
  <c r="BI164" i="9"/>
  <c r="BM49" i="17"/>
  <c r="BO25" i="17"/>
  <c r="BO177" i="9"/>
  <c r="BO193" i="9" s="1"/>
  <c r="BN88" i="17"/>
  <c r="BN37" i="17"/>
  <c r="BN43" i="17" s="1"/>
  <c r="BN45" i="17" s="1"/>
  <c r="BN47" i="17" s="1"/>
  <c r="AN75" i="17"/>
  <c r="AN73" i="17"/>
  <c r="AN74" i="17"/>
  <c r="BO179" i="9"/>
  <c r="BO195" i="9" s="1"/>
  <c r="AO59" i="10"/>
  <c r="AO8" i="11" s="1"/>
  <c r="AO9" i="17" s="1"/>
  <c r="AO55" i="10"/>
  <c r="BI180" i="9" l="1"/>
  <c r="BI91" i="11"/>
  <c r="BI17" i="6" s="1"/>
  <c r="BI128" i="6" s="1"/>
  <c r="BN48" i="17"/>
  <c r="BN46" i="17"/>
  <c r="BO26" i="17"/>
  <c r="BO32" i="17"/>
  <c r="BO87" i="17" s="1"/>
  <c r="BO89" i="17" s="1"/>
  <c r="AO29" i="17"/>
  <c r="AO14" i="11"/>
  <c r="AO84" i="11" s="1"/>
  <c r="AO49" i="12" s="1"/>
  <c r="AO46" i="12"/>
  <c r="AP52" i="10"/>
  <c r="AO48" i="12"/>
  <c r="BI196" i="9" l="1"/>
  <c r="BJ164" i="9"/>
  <c r="BN49" i="17"/>
  <c r="BO37" i="17"/>
  <c r="BO43" i="17" s="1"/>
  <c r="BO45" i="17" s="1"/>
  <c r="BO46" i="17" s="1"/>
  <c r="BO88" i="17"/>
  <c r="AO56" i="17"/>
  <c r="AO55" i="17"/>
  <c r="AO57" i="17"/>
  <c r="AP53" i="10"/>
  <c r="AO40" i="6"/>
  <c r="BJ180" i="9" l="1"/>
  <c r="BJ91" i="11"/>
  <c r="BJ17" i="6" s="1"/>
  <c r="BJ128" i="6" s="1"/>
  <c r="BO47" i="17"/>
  <c r="BO48" i="17"/>
  <c r="AO74" i="17"/>
  <c r="AO73" i="17"/>
  <c r="AO75" i="17"/>
  <c r="AP59" i="10"/>
  <c r="AP8" i="11" s="1"/>
  <c r="AP9" i="17" s="1"/>
  <c r="AP55" i="10"/>
  <c r="BK164" i="9" l="1"/>
  <c r="BJ196" i="9"/>
  <c r="BO49" i="17"/>
  <c r="AP29" i="17"/>
  <c r="AP46" i="12"/>
  <c r="AP14" i="11"/>
  <c r="AP84" i="11" s="1"/>
  <c r="AP49" i="12" s="1"/>
  <c r="AP48" i="12"/>
  <c r="AQ52" i="10"/>
  <c r="BK180" i="9" l="1"/>
  <c r="BK91" i="11"/>
  <c r="BK17" i="6" s="1"/>
  <c r="BK128" i="6" s="1"/>
  <c r="AP55" i="17"/>
  <c r="AP56" i="17"/>
  <c r="AP57" i="17"/>
  <c r="AQ53" i="10"/>
  <c r="AP40" i="6"/>
  <c r="BL164" i="9" l="1"/>
  <c r="BK196" i="9"/>
  <c r="AP73" i="17"/>
  <c r="AP74" i="17"/>
  <c r="AP75" i="17"/>
  <c r="AQ59" i="10"/>
  <c r="AQ8" i="11" s="1"/>
  <c r="AQ9" i="17" s="1"/>
  <c r="AQ55" i="10"/>
  <c r="BL180" i="9" l="1"/>
  <c r="BL91" i="11"/>
  <c r="BL17" i="6" s="1"/>
  <c r="BL128" i="6" s="1"/>
  <c r="AQ29" i="17"/>
  <c r="AQ14" i="11"/>
  <c r="AQ84" i="11" s="1"/>
  <c r="AQ49" i="12" s="1"/>
  <c r="AQ46" i="12"/>
  <c r="AR52" i="10"/>
  <c r="AQ48" i="12"/>
  <c r="BL196" i="9" l="1"/>
  <c r="BM164" i="9"/>
  <c r="AQ56" i="17"/>
  <c r="AQ57" i="17"/>
  <c r="AQ55" i="17"/>
  <c r="AR53" i="10"/>
  <c r="AQ40" i="6"/>
  <c r="BM180" i="9" l="1"/>
  <c r="BM91" i="11"/>
  <c r="BM17" i="6" s="1"/>
  <c r="BM128" i="6" s="1"/>
  <c r="AQ74" i="17"/>
  <c r="AQ75" i="17"/>
  <c r="AQ73" i="17"/>
  <c r="AR59" i="10"/>
  <c r="AR8" i="11" s="1"/>
  <c r="AR9" i="17" s="1"/>
  <c r="AR55" i="10"/>
  <c r="BN164" i="9" l="1"/>
  <c r="BM196" i="9"/>
  <c r="AR29" i="17"/>
  <c r="AR14" i="11"/>
  <c r="AR84" i="11" s="1"/>
  <c r="AR49" i="12" s="1"/>
  <c r="AR46" i="12"/>
  <c r="AS52" i="10"/>
  <c r="AR48" i="12"/>
  <c r="BN180" i="9" l="1"/>
  <c r="BN91" i="11"/>
  <c r="BN17" i="6" s="1"/>
  <c r="BN128" i="6" s="1"/>
  <c r="AR57" i="17"/>
  <c r="AR56" i="17"/>
  <c r="AR55" i="17"/>
  <c r="AS53" i="10"/>
  <c r="AR40" i="6"/>
  <c r="BO164" i="9" l="1"/>
  <c r="BN196" i="9"/>
  <c r="AR75" i="17"/>
  <c r="AR74" i="17"/>
  <c r="AR73" i="17"/>
  <c r="AS59" i="10"/>
  <c r="AS8" i="11" s="1"/>
  <c r="AS9" i="17" s="1"/>
  <c r="AS55" i="10"/>
  <c r="BO180" i="9" l="1"/>
  <c r="BO196" i="9" s="1"/>
  <c r="BO91" i="11"/>
  <c r="BO17" i="6" s="1"/>
  <c r="BO128" i="6" s="1"/>
  <c r="AS29" i="17"/>
  <c r="AS14" i="11"/>
  <c r="AS84" i="11" s="1"/>
  <c r="AS49" i="12" s="1"/>
  <c r="AS46" i="12"/>
  <c r="AT52" i="10"/>
  <c r="AS48" i="12"/>
  <c r="AS56" i="17" l="1"/>
  <c r="AS55" i="17"/>
  <c r="AS57" i="17"/>
  <c r="AS40" i="6"/>
  <c r="AT53" i="10"/>
  <c r="AS74" i="17" l="1"/>
  <c r="AS73" i="17"/>
  <c r="AS75" i="17"/>
  <c r="AT59" i="10"/>
  <c r="AT8" i="11" s="1"/>
  <c r="AT9" i="17" s="1"/>
  <c r="AT55" i="10"/>
  <c r="AT29" i="17" l="1"/>
  <c r="AT14" i="11"/>
  <c r="AT84" i="11" s="1"/>
  <c r="AT49" i="12" s="1"/>
  <c r="AT46" i="12"/>
  <c r="AT48" i="12"/>
  <c r="AU52" i="10"/>
  <c r="AT57" i="17" l="1"/>
  <c r="AT56" i="17"/>
  <c r="AT55" i="17"/>
  <c r="AU53" i="10"/>
  <c r="AT40" i="6"/>
  <c r="AT75" i="17" l="1"/>
  <c r="AT74" i="17"/>
  <c r="AT73" i="17"/>
  <c r="AU59" i="10"/>
  <c r="AU8" i="11" s="1"/>
  <c r="AU9" i="17" s="1"/>
  <c r="AU55" i="10"/>
  <c r="AU29" i="17" l="1"/>
  <c r="AU46" i="12"/>
  <c r="AU14" i="11"/>
  <c r="AU84" i="11" s="1"/>
  <c r="AU49" i="12" s="1"/>
  <c r="AV52" i="10"/>
  <c r="AV53" i="10" s="1"/>
  <c r="AU48" i="12"/>
  <c r="AU55" i="17" l="1"/>
  <c r="AU57" i="17"/>
  <c r="AU56" i="17"/>
  <c r="AU40" i="6"/>
  <c r="AV59" i="10"/>
  <c r="AV8" i="11" s="1"/>
  <c r="AV9" i="17" s="1"/>
  <c r="AV55" i="10"/>
  <c r="AU73" i="17" l="1"/>
  <c r="AU75" i="17"/>
  <c r="AU74" i="17"/>
  <c r="AV29" i="17"/>
  <c r="AV46" i="12"/>
  <c r="AV14" i="11"/>
  <c r="AV84" i="11" s="1"/>
  <c r="AV49" i="12" s="1"/>
  <c r="AV48" i="12"/>
  <c r="AW52" i="10"/>
  <c r="AV57" i="17" l="1"/>
  <c r="AV56" i="17"/>
  <c r="AV55" i="17"/>
  <c r="AW53" i="10"/>
  <c r="AV40" i="6"/>
  <c r="AV75" i="17" l="1"/>
  <c r="AV74" i="17"/>
  <c r="AV73" i="17"/>
  <c r="AW59" i="10"/>
  <c r="AW8" i="11" s="1"/>
  <c r="AW9" i="17" s="1"/>
  <c r="AW55" i="10"/>
  <c r="AW29" i="17" l="1"/>
  <c r="AW46" i="12"/>
  <c r="AW14" i="11"/>
  <c r="AW84" i="11" s="1"/>
  <c r="AW49" i="12" s="1"/>
  <c r="AX52" i="10"/>
  <c r="AW48" i="12"/>
  <c r="AW56" i="17" l="1"/>
  <c r="AW57" i="17"/>
  <c r="AW55" i="17"/>
  <c r="AW40" i="6"/>
  <c r="AX53" i="10"/>
  <c r="AW74" i="17" l="1"/>
  <c r="AW75" i="17"/>
  <c r="AW73" i="17"/>
  <c r="AX59" i="10"/>
  <c r="AX8" i="11" s="1"/>
  <c r="AX9" i="17" s="1"/>
  <c r="AX55" i="10"/>
  <c r="AX29" i="17" l="1"/>
  <c r="AX46" i="12"/>
  <c r="AX14" i="11"/>
  <c r="AX84" i="11" s="1"/>
  <c r="AX49" i="12" s="1"/>
  <c r="AY52" i="10"/>
  <c r="AX48" i="12"/>
  <c r="AX55" i="17" l="1"/>
  <c r="AX57" i="17"/>
  <c r="AX56" i="17"/>
  <c r="AY53" i="10"/>
  <c r="AX40" i="6"/>
  <c r="AX73" i="17" l="1"/>
  <c r="AX75" i="17"/>
  <c r="AX74" i="17"/>
  <c r="AY59" i="10"/>
  <c r="AY8" i="11" s="1"/>
  <c r="AY9" i="17" s="1"/>
  <c r="AY55" i="10"/>
  <c r="AY29" i="17" l="1"/>
  <c r="AY14" i="11"/>
  <c r="AY84" i="11" s="1"/>
  <c r="AY49" i="12" s="1"/>
  <c r="AY46" i="12"/>
  <c r="AZ52" i="10"/>
  <c r="AY48" i="12"/>
  <c r="AY55" i="17" l="1"/>
  <c r="AY57" i="17"/>
  <c r="AY56" i="17"/>
  <c r="AY40" i="6"/>
  <c r="AZ53" i="10"/>
  <c r="AY73" i="17" l="1"/>
  <c r="AY75" i="17"/>
  <c r="AY74" i="17"/>
  <c r="AZ59" i="10"/>
  <c r="AZ8" i="11" s="1"/>
  <c r="AZ9" i="17" s="1"/>
  <c r="AZ55" i="10"/>
  <c r="AZ29" i="17" l="1"/>
  <c r="AZ48" i="12"/>
  <c r="BA52" i="10"/>
  <c r="BA53" i="10" s="1"/>
  <c r="AZ46" i="12"/>
  <c r="AZ14" i="11"/>
  <c r="AZ84" i="11" s="1"/>
  <c r="AZ49" i="12" s="1"/>
  <c r="AZ57" i="17" l="1"/>
  <c r="AZ56" i="17"/>
  <c r="AZ55" i="17"/>
  <c r="AZ40" i="6"/>
  <c r="BA59" i="10"/>
  <c r="BA8" i="11" s="1"/>
  <c r="BA9" i="17" s="1"/>
  <c r="BA55" i="10"/>
  <c r="AZ75" i="17" l="1"/>
  <c r="AZ74" i="17"/>
  <c r="AZ73" i="17"/>
  <c r="BA29" i="17"/>
  <c r="BA14" i="11"/>
  <c r="BA84" i="11" s="1"/>
  <c r="BA49" i="12" s="1"/>
  <c r="BA46" i="12"/>
  <c r="BB52" i="10"/>
  <c r="BA48" i="12"/>
  <c r="BA56" i="17" l="1"/>
  <c r="BA55" i="17"/>
  <c r="BA57" i="17"/>
  <c r="BA40" i="6"/>
  <c r="BB53" i="10"/>
  <c r="BA74" i="17" l="1"/>
  <c r="BA73" i="17"/>
  <c r="BA75" i="17"/>
  <c r="BB59" i="10"/>
  <c r="BB8" i="11" s="1"/>
  <c r="BB9" i="17" s="1"/>
  <c r="BB55" i="10"/>
  <c r="BB29" i="17" l="1"/>
  <c r="BB14" i="11"/>
  <c r="BB84" i="11" s="1"/>
  <c r="BB49" i="12" s="1"/>
  <c r="BB46" i="12"/>
  <c r="BC52" i="10"/>
  <c r="BB48" i="12"/>
  <c r="BB57" i="17" l="1"/>
  <c r="BB56" i="17"/>
  <c r="BB55" i="17"/>
  <c r="BB40" i="6"/>
  <c r="BC53" i="10"/>
  <c r="BB75" i="17" l="1"/>
  <c r="BB74" i="17"/>
  <c r="BB73" i="17"/>
  <c r="BC59" i="10"/>
  <c r="BC8" i="11" s="1"/>
  <c r="BC9" i="17" s="1"/>
  <c r="BC55" i="10"/>
  <c r="BC29" i="17" l="1"/>
  <c r="BC46" i="12"/>
  <c r="BC14" i="11"/>
  <c r="BC84" i="11" s="1"/>
  <c r="BC49" i="12" s="1"/>
  <c r="BD52" i="10"/>
  <c r="BC48" i="12"/>
  <c r="BC57" i="17" l="1"/>
  <c r="BC56" i="17"/>
  <c r="BC55" i="17"/>
  <c r="BC40" i="6"/>
  <c r="BD53" i="10"/>
  <c r="BC75" i="17" l="1"/>
  <c r="BC74" i="17"/>
  <c r="BC73" i="17"/>
  <c r="BD59" i="10"/>
  <c r="BD8" i="11" s="1"/>
  <c r="BD9" i="17" s="1"/>
  <c r="BD55" i="10"/>
  <c r="BD29" i="17" l="1"/>
  <c r="BD46" i="12"/>
  <c r="BD14" i="11"/>
  <c r="BD84" i="11" s="1"/>
  <c r="BD49" i="12" s="1"/>
  <c r="BE52" i="10"/>
  <c r="BD48" i="12"/>
  <c r="BD56" i="17" l="1"/>
  <c r="BD57" i="17"/>
  <c r="BD55" i="17"/>
  <c r="BE53" i="10"/>
  <c r="BD40" i="6"/>
  <c r="BD74" i="17" l="1"/>
  <c r="BD75" i="17"/>
  <c r="BD73" i="17"/>
  <c r="BE59" i="10"/>
  <c r="BE8" i="11" s="1"/>
  <c r="BE9" i="17" s="1"/>
  <c r="BE55" i="10"/>
  <c r="BE29" i="17" l="1"/>
  <c r="BE14" i="11"/>
  <c r="BE84" i="11" s="1"/>
  <c r="BE49" i="12" s="1"/>
  <c r="BE46" i="12"/>
  <c r="BF52" i="10"/>
  <c r="BE48" i="12"/>
  <c r="BE56" i="17" l="1"/>
  <c r="BE57" i="17"/>
  <c r="BE55" i="17"/>
  <c r="BF53" i="10"/>
  <c r="BE40" i="6"/>
  <c r="BE74" i="17" l="1"/>
  <c r="BE75" i="17"/>
  <c r="BE73" i="17"/>
  <c r="BF59" i="10"/>
  <c r="BF8" i="11" s="1"/>
  <c r="BF9" i="17" s="1"/>
  <c r="BF55" i="10"/>
  <c r="BF29" i="17" l="1"/>
  <c r="BF46" i="12"/>
  <c r="BF14" i="11"/>
  <c r="BF84" i="11" s="1"/>
  <c r="BF49" i="12" s="1"/>
  <c r="BF48" i="12"/>
  <c r="BG52" i="10"/>
  <c r="BF56" i="17" l="1"/>
  <c r="BF55" i="17"/>
  <c r="BF57" i="17"/>
  <c r="BG53" i="10"/>
  <c r="BF40" i="6"/>
  <c r="BF74" i="17" l="1"/>
  <c r="BF73" i="17"/>
  <c r="BF75" i="17"/>
  <c r="BG59" i="10"/>
  <c r="BG8" i="11" s="1"/>
  <c r="BG9" i="17" s="1"/>
  <c r="BG55" i="10"/>
  <c r="BG29" i="17" l="1"/>
  <c r="BG46" i="12"/>
  <c r="BG14" i="11"/>
  <c r="BG84" i="11" s="1"/>
  <c r="BG49" i="12" s="1"/>
  <c r="BH52" i="10"/>
  <c r="BG48" i="12"/>
  <c r="BG56" i="17" l="1"/>
  <c r="BG57" i="17"/>
  <c r="BG55" i="17"/>
  <c r="BG40" i="6"/>
  <c r="BH53" i="10"/>
  <c r="BG74" i="17" l="1"/>
  <c r="BG75" i="17"/>
  <c r="BG73" i="17"/>
  <c r="BH59" i="10"/>
  <c r="BH8" i="11" s="1"/>
  <c r="BH9" i="17" s="1"/>
  <c r="BH55" i="10"/>
  <c r="BH29" i="17" l="1"/>
  <c r="BH46" i="12"/>
  <c r="BH14" i="11"/>
  <c r="BH84" i="11" s="1"/>
  <c r="BH49" i="12" s="1"/>
  <c r="BI52" i="10"/>
  <c r="BH48" i="12"/>
  <c r="BH57" i="17" l="1"/>
  <c r="BH56" i="17"/>
  <c r="BH55" i="17"/>
  <c r="BH40" i="6"/>
  <c r="BI53" i="10"/>
  <c r="BH75" i="17" l="1"/>
  <c r="BH74" i="17"/>
  <c r="BH73" i="17"/>
  <c r="BI59" i="10"/>
  <c r="BI8" i="11" s="1"/>
  <c r="BI9" i="17" s="1"/>
  <c r="BI55" i="10"/>
  <c r="BI29" i="17" l="1"/>
  <c r="BI46" i="12"/>
  <c r="BI14" i="11"/>
  <c r="BI84" i="11" s="1"/>
  <c r="BI49" i="12" s="1"/>
  <c r="BI48" i="12"/>
  <c r="BJ52" i="10"/>
  <c r="BI56" i="17" l="1"/>
  <c r="BI57" i="17"/>
  <c r="BI55" i="17"/>
  <c r="BI40" i="6"/>
  <c r="BJ53" i="10"/>
  <c r="BI74" i="17" l="1"/>
  <c r="BI75" i="17"/>
  <c r="BI73" i="17"/>
  <c r="BJ59" i="10"/>
  <c r="BJ8" i="11" s="1"/>
  <c r="BJ9" i="17" s="1"/>
  <c r="BJ55" i="10"/>
  <c r="BJ29" i="17" l="1"/>
  <c r="BJ48" i="12"/>
  <c r="BK52" i="10"/>
  <c r="BK53" i="10" s="1"/>
  <c r="BJ46" i="12"/>
  <c r="BJ14" i="11"/>
  <c r="BJ84" i="11" s="1"/>
  <c r="BJ49" i="12" s="1"/>
  <c r="BJ56" i="17" l="1"/>
  <c r="BJ57" i="17"/>
  <c r="BJ55" i="17"/>
  <c r="BJ40" i="6"/>
  <c r="BK59" i="10"/>
  <c r="BK8" i="11" s="1"/>
  <c r="BK9" i="17" s="1"/>
  <c r="BK55" i="10"/>
  <c r="BJ74" i="17" l="1"/>
  <c r="BJ75" i="17"/>
  <c r="BJ73" i="17"/>
  <c r="BK29" i="17"/>
  <c r="BK14" i="11"/>
  <c r="BK84" i="11" s="1"/>
  <c r="BK49" i="12" s="1"/>
  <c r="BK46" i="12"/>
  <c r="BK48" i="12"/>
  <c r="BL52" i="10"/>
  <c r="BK57" i="17" l="1"/>
  <c r="BK56" i="17"/>
  <c r="BK55" i="17"/>
  <c r="BK40" i="6"/>
  <c r="BL53" i="10"/>
  <c r="BK75" i="17" l="1"/>
  <c r="BK74" i="17"/>
  <c r="BK73" i="17"/>
  <c r="BL59" i="10"/>
  <c r="BL8" i="11" s="1"/>
  <c r="BL9" i="17" s="1"/>
  <c r="BL55" i="10"/>
  <c r="BL29" i="17" l="1"/>
  <c r="BL14" i="11"/>
  <c r="BL84" i="11" s="1"/>
  <c r="BL49" i="12" s="1"/>
  <c r="BL46" i="12"/>
  <c r="BL48" i="12"/>
  <c r="BM52" i="10"/>
  <c r="BL57" i="17" l="1"/>
  <c r="BL56" i="17"/>
  <c r="BL55" i="17"/>
  <c r="BL40" i="6"/>
  <c r="BM53" i="10"/>
  <c r="BL75" i="17" l="1"/>
  <c r="BL74" i="17"/>
  <c r="BL73" i="17"/>
  <c r="BM59" i="10"/>
  <c r="BM8" i="11" s="1"/>
  <c r="BM9" i="17" s="1"/>
  <c r="BM55" i="10"/>
  <c r="BM29" i="17" l="1"/>
  <c r="BM46" i="12"/>
  <c r="BM14" i="11"/>
  <c r="BM84" i="11" s="1"/>
  <c r="BM49" i="12" s="1"/>
  <c r="BM48" i="12"/>
  <c r="BN52" i="10"/>
  <c r="BM57" i="17" l="1"/>
  <c r="BM56" i="17"/>
  <c r="BM55" i="17"/>
  <c r="BM40" i="6"/>
  <c r="BN53" i="10"/>
  <c r="BM75" i="17" l="1"/>
  <c r="BM74" i="17"/>
  <c r="BM73" i="17"/>
  <c r="BN59" i="10"/>
  <c r="BN8" i="11" s="1"/>
  <c r="BN9" i="17" s="1"/>
  <c r="BN55" i="10"/>
  <c r="BN29" i="17" l="1"/>
  <c r="BN46" i="12"/>
  <c r="BN14" i="11"/>
  <c r="BN84" i="11" s="1"/>
  <c r="BN49" i="12" s="1"/>
  <c r="BO52" i="10"/>
  <c r="BN48" i="12"/>
  <c r="BN56" i="17" l="1"/>
  <c r="BN57" i="17"/>
  <c r="BN55" i="17"/>
  <c r="BO53" i="10"/>
  <c r="BN40" i="6"/>
  <c r="BN74" i="17" l="1"/>
  <c r="BN75" i="17"/>
  <c r="BN73" i="17"/>
  <c r="BO59" i="10"/>
  <c r="BO8" i="11" s="1"/>
  <c r="BO9" i="17" s="1"/>
  <c r="BO55" i="10"/>
  <c r="BO48" i="12" s="1"/>
  <c r="BO29" i="17" l="1"/>
  <c r="BO46" i="12"/>
  <c r="BO14" i="11"/>
  <c r="BO84" i="11" s="1"/>
  <c r="BO49" i="12" s="1"/>
  <c r="BO40" i="6" s="1"/>
  <c r="BO57" i="17" l="1"/>
  <c r="BO56" i="17"/>
  <c r="BO55" i="17"/>
  <c r="BO75" i="17" l="1"/>
  <c r="BO74" i="17"/>
  <c r="BO73" i="17"/>
  <c r="G106" i="9" l="1"/>
  <c r="G116" i="9" l="1"/>
  <c r="G117" i="9" s="1"/>
  <c r="G133" i="9"/>
  <c r="G20" i="12"/>
  <c r="G102" i="6" l="1"/>
  <c r="G104" i="6" s="1"/>
  <c r="G106" i="6" s="1"/>
  <c r="G107" i="6" s="1"/>
  <c r="G74" i="6"/>
  <c r="G75" i="6" s="1"/>
  <c r="G8" i="12"/>
  <c r="G150" i="9"/>
  <c r="G134" i="9"/>
  <c r="G135" i="9" s="1"/>
  <c r="G198" i="9" l="1"/>
  <c r="G199" i="9" s="1"/>
  <c r="G44" i="6" s="1"/>
  <c r="G151" i="9"/>
  <c r="G45" i="6" l="1"/>
  <c r="G167" i="6"/>
  <c r="S166" i="9" l="1"/>
  <c r="S85" i="11" l="1"/>
  <c r="S167" i="9"/>
  <c r="S23" i="6" s="1"/>
  <c r="S134" i="6" s="1"/>
  <c r="S182" i="9"/>
  <c r="T166" i="9" s="1"/>
  <c r="S86" i="11" l="1"/>
  <c r="S18" i="17"/>
  <c r="S31" i="12"/>
  <c r="S70" i="6"/>
  <c r="S100" i="6"/>
  <c r="S183" i="9"/>
  <c r="T182" i="9"/>
  <c r="U166" i="9" s="1"/>
  <c r="T85" i="11"/>
  <c r="T167" i="9"/>
  <c r="T23" i="6" s="1"/>
  <c r="T134" i="6" s="1"/>
  <c r="S97" i="11" l="1"/>
  <c r="S95" i="17"/>
  <c r="T86" i="11"/>
  <c r="T18" i="17"/>
  <c r="S52" i="6"/>
  <c r="T70" i="6"/>
  <c r="T100" i="6"/>
  <c r="S99" i="11"/>
  <c r="T183" i="9"/>
  <c r="U182" i="9"/>
  <c r="V166" i="9" s="1"/>
  <c r="U85" i="11"/>
  <c r="U167" i="9"/>
  <c r="U23" i="6" s="1"/>
  <c r="U134" i="6" s="1"/>
  <c r="S109" i="11" l="1"/>
  <c r="S123" i="11" s="1"/>
  <c r="S130" i="11" s="1"/>
  <c r="S110" i="11"/>
  <c r="S124" i="11" s="1"/>
  <c r="S131" i="11" s="1"/>
  <c r="S112" i="11"/>
  <c r="S126" i="11" s="1"/>
  <c r="S133" i="11" s="1"/>
  <c r="S113" i="11"/>
  <c r="S127" i="11" s="1"/>
  <c r="S134" i="11" s="1"/>
  <c r="S111" i="11"/>
  <c r="S125" i="11" s="1"/>
  <c r="S132" i="11" s="1"/>
  <c r="T97" i="11"/>
  <c r="T95" i="17"/>
  <c r="U86" i="11"/>
  <c r="U18" i="17"/>
  <c r="T31" i="12"/>
  <c r="T52" i="6" s="1"/>
  <c r="U70" i="6"/>
  <c r="U100" i="6"/>
  <c r="S116" i="11"/>
  <c r="S117" i="11"/>
  <c r="S119" i="11"/>
  <c r="S120" i="11"/>
  <c r="S118" i="11"/>
  <c r="U183" i="9"/>
  <c r="V182" i="9"/>
  <c r="W166" i="9" s="1"/>
  <c r="T99" i="11"/>
  <c r="V167" i="9"/>
  <c r="V23" i="6" s="1"/>
  <c r="V134" i="6" s="1"/>
  <c r="V85" i="11"/>
  <c r="T109" i="11" l="1"/>
  <c r="T123" i="11" s="1"/>
  <c r="T130" i="11" s="1"/>
  <c r="T110" i="11"/>
  <c r="T124" i="11" s="1"/>
  <c r="T131" i="11" s="1"/>
  <c r="T113" i="11"/>
  <c r="T127" i="11" s="1"/>
  <c r="T134" i="11" s="1"/>
  <c r="T111" i="11"/>
  <c r="T125" i="11" s="1"/>
  <c r="T132" i="11" s="1"/>
  <c r="T112" i="11"/>
  <c r="T126" i="11" s="1"/>
  <c r="T133" i="11" s="1"/>
  <c r="U97" i="11"/>
  <c r="U95" i="17"/>
  <c r="V86" i="11"/>
  <c r="V18" i="17"/>
  <c r="V70" i="6"/>
  <c r="V100" i="6"/>
  <c r="V183" i="9"/>
  <c r="W182" i="9"/>
  <c r="X166" i="9" s="1"/>
  <c r="T116" i="11"/>
  <c r="T117" i="11"/>
  <c r="T120" i="11"/>
  <c r="T118" i="11"/>
  <c r="T119" i="11"/>
  <c r="U99" i="11"/>
  <c r="W167" i="9"/>
  <c r="W23" i="6" s="1"/>
  <c r="W134" i="6" s="1"/>
  <c r="W85" i="11"/>
  <c r="U31" i="12"/>
  <c r="U109" i="11" l="1"/>
  <c r="U123" i="11" s="1"/>
  <c r="U130" i="11" s="1"/>
  <c r="U112" i="11"/>
  <c r="U126" i="11" s="1"/>
  <c r="U133" i="11" s="1"/>
  <c r="U113" i="11"/>
  <c r="U127" i="11" s="1"/>
  <c r="U134" i="11" s="1"/>
  <c r="U111" i="11"/>
  <c r="U125" i="11" s="1"/>
  <c r="U132" i="11" s="1"/>
  <c r="U110" i="11"/>
  <c r="U124" i="11" s="1"/>
  <c r="U131" i="11" s="1"/>
  <c r="V97" i="11"/>
  <c r="V95" i="17"/>
  <c r="W86" i="11"/>
  <c r="W18" i="17"/>
  <c r="W70" i="6"/>
  <c r="W100" i="6"/>
  <c r="U52" i="6"/>
  <c r="X182" i="9"/>
  <c r="W183" i="9"/>
  <c r="U118" i="11"/>
  <c r="U117" i="11"/>
  <c r="U119" i="11"/>
  <c r="U120" i="11"/>
  <c r="U116" i="11"/>
  <c r="V99" i="11"/>
  <c r="X85" i="11"/>
  <c r="X167" i="9"/>
  <c r="X23" i="6" s="1"/>
  <c r="X134" i="6" s="1"/>
  <c r="V110" i="11" l="1"/>
  <c r="V124" i="11" s="1"/>
  <c r="V131" i="11" s="1"/>
  <c r="V112" i="11"/>
  <c r="V126" i="11" s="1"/>
  <c r="V133" i="11" s="1"/>
  <c r="V111" i="11"/>
  <c r="V125" i="11" s="1"/>
  <c r="V132" i="11" s="1"/>
  <c r="V113" i="11"/>
  <c r="V127" i="11" s="1"/>
  <c r="V134" i="11" s="1"/>
  <c r="V109" i="11"/>
  <c r="V123" i="11" s="1"/>
  <c r="V130" i="11" s="1"/>
  <c r="W97" i="11"/>
  <c r="W95" i="17"/>
  <c r="S19" i="17"/>
  <c r="S30" i="17"/>
  <c r="X86" i="11"/>
  <c r="X18" i="17"/>
  <c r="X70" i="6"/>
  <c r="X100" i="6"/>
  <c r="X183" i="9"/>
  <c r="V117" i="11"/>
  <c r="V119" i="11"/>
  <c r="V118" i="11"/>
  <c r="V120" i="11"/>
  <c r="V116" i="11"/>
  <c r="W99" i="11"/>
  <c r="V31" i="12"/>
  <c r="X97" i="11" l="1"/>
  <c r="W110" i="11"/>
  <c r="W124" i="11" s="1"/>
  <c r="W131" i="11" s="1"/>
  <c r="W111" i="11"/>
  <c r="W125" i="11" s="1"/>
  <c r="W132" i="11" s="1"/>
  <c r="W112" i="11"/>
  <c r="W126" i="11" s="1"/>
  <c r="W133" i="11" s="1"/>
  <c r="W109" i="11"/>
  <c r="W123" i="11" s="1"/>
  <c r="W130" i="11" s="1"/>
  <c r="W113" i="11"/>
  <c r="W127" i="11" s="1"/>
  <c r="W134" i="11" s="1"/>
  <c r="X95" i="17"/>
  <c r="S33" i="17"/>
  <c r="S61" i="17"/>
  <c r="S64" i="17" s="1"/>
  <c r="S60" i="17"/>
  <c r="S63" i="17" s="1"/>
  <c r="S59" i="17"/>
  <c r="S62" i="17" s="1"/>
  <c r="V52" i="6"/>
  <c r="W117" i="11"/>
  <c r="W118" i="11"/>
  <c r="W119" i="11"/>
  <c r="W116" i="11"/>
  <c r="W120" i="11"/>
  <c r="X99" i="11"/>
  <c r="X110" i="11" l="1"/>
  <c r="X124" i="11" s="1"/>
  <c r="X131" i="11" s="1"/>
  <c r="X111" i="11"/>
  <c r="X125" i="11" s="1"/>
  <c r="X132" i="11" s="1"/>
  <c r="X112" i="11"/>
  <c r="X126" i="11" s="1"/>
  <c r="X133" i="11" s="1"/>
  <c r="X113" i="11"/>
  <c r="X127" i="11" s="1"/>
  <c r="X134" i="11" s="1"/>
  <c r="X109" i="11"/>
  <c r="X123" i="11" s="1"/>
  <c r="X130" i="11" s="1"/>
  <c r="S65" i="17"/>
  <c r="S94" i="17"/>
  <c r="S96" i="17" s="1"/>
  <c r="X117" i="11"/>
  <c r="X118" i="11"/>
  <c r="X119" i="11"/>
  <c r="X120" i="11"/>
  <c r="X116" i="11"/>
  <c r="W31" i="12"/>
  <c r="S66" i="17" l="1"/>
  <c r="S99" i="17"/>
  <c r="W52" i="6"/>
  <c r="S67" i="17" l="1"/>
  <c r="S97" i="17"/>
  <c r="X31" i="12"/>
  <c r="S98" i="17" l="1"/>
  <c r="S88" i="11"/>
  <c r="X52" i="6"/>
  <c r="S87" i="11" l="1"/>
  <c r="S11" i="6" s="1"/>
  <c r="S12" i="6"/>
  <c r="T19" i="17"/>
  <c r="T30" i="17"/>
  <c r="S123" i="6" l="1"/>
  <c r="S168" i="6"/>
  <c r="S156" i="6"/>
  <c r="S13" i="6"/>
  <c r="T33" i="17"/>
  <c r="T61" i="17"/>
  <c r="T64" i="17" s="1"/>
  <c r="T60" i="17"/>
  <c r="T63" i="17" s="1"/>
  <c r="T59" i="17"/>
  <c r="T62" i="17" s="1"/>
  <c r="S124" i="6" l="1"/>
  <c r="S155" i="6"/>
  <c r="S178" i="6"/>
  <c r="S177" i="6"/>
  <c r="T65" i="17"/>
  <c r="T94" i="17"/>
  <c r="T96" i="17" s="1"/>
  <c r="T66" i="17" l="1"/>
  <c r="T99" i="17"/>
  <c r="T97" i="17" l="1"/>
  <c r="T67" i="17"/>
  <c r="T98" i="17" l="1"/>
  <c r="T88" i="11"/>
  <c r="U19" i="17"/>
  <c r="U30" i="17"/>
  <c r="T87" i="11" l="1"/>
  <c r="T11" i="6" s="1"/>
  <c r="T12" i="6"/>
  <c r="U33" i="17"/>
  <c r="U60" i="17"/>
  <c r="U63" i="17" s="1"/>
  <c r="U59" i="17"/>
  <c r="U62" i="17" s="1"/>
  <c r="U61" i="17"/>
  <c r="U64" i="17" s="1"/>
  <c r="T156" i="6" l="1"/>
  <c r="T168" i="6"/>
  <c r="T123" i="6"/>
  <c r="T13" i="6"/>
  <c r="U94" i="17"/>
  <c r="U96" i="17" s="1"/>
  <c r="U65" i="17"/>
  <c r="T177" i="6" l="1"/>
  <c r="T155" i="6"/>
  <c r="T124" i="6"/>
  <c r="T178" i="6"/>
  <c r="U99" i="17"/>
  <c r="U66" i="17"/>
  <c r="U97" i="17" l="1"/>
  <c r="U67" i="17"/>
  <c r="U98" i="17" l="1"/>
  <c r="U88" i="11"/>
  <c r="V19" i="17"/>
  <c r="V30" i="17"/>
  <c r="U87" i="11" l="1"/>
  <c r="U11" i="6" s="1"/>
  <c r="U12" i="6"/>
  <c r="V33" i="17"/>
  <c r="V60" i="17"/>
  <c r="V63" i="17" s="1"/>
  <c r="V61" i="17"/>
  <c r="V64" i="17" s="1"/>
  <c r="V59" i="17"/>
  <c r="V62" i="17" s="1"/>
  <c r="AE29" i="12"/>
  <c r="U156" i="6" l="1"/>
  <c r="U168" i="6"/>
  <c r="U123" i="6"/>
  <c r="U13" i="6"/>
  <c r="V65" i="17"/>
  <c r="V94" i="17"/>
  <c r="V96" i="17" s="1"/>
  <c r="AE78" i="6"/>
  <c r="U155" i="6" l="1"/>
  <c r="U124" i="6"/>
  <c r="U178" i="6"/>
  <c r="U177" i="6"/>
  <c r="V99" i="17"/>
  <c r="V66" i="17"/>
  <c r="AD10" i="13"/>
  <c r="AD20" i="13" s="1"/>
  <c r="V97" i="17" l="1"/>
  <c r="V67" i="17"/>
  <c r="AF29" i="12"/>
  <c r="AF78" i="6" s="1"/>
  <c r="AD27" i="13"/>
  <c r="AD21" i="13"/>
  <c r="V98" i="17" l="1"/>
  <c r="V88" i="11"/>
  <c r="AD37" i="13"/>
  <c r="AD61" i="6" s="1"/>
  <c r="AE19" i="13"/>
  <c r="AE21" i="13" s="1"/>
  <c r="V87" i="11" l="1"/>
  <c r="V11" i="6" s="1"/>
  <c r="V12" i="6"/>
  <c r="W19" i="17"/>
  <c r="W30" i="17"/>
  <c r="AE37" i="13"/>
  <c r="AE61" i="6" s="1"/>
  <c r="AF19" i="13"/>
  <c r="AF21" i="13" s="1"/>
  <c r="AG29" i="12"/>
  <c r="V156" i="6" l="1"/>
  <c r="V123" i="6"/>
  <c r="V168" i="6"/>
  <c r="V13" i="6"/>
  <c r="W33" i="17"/>
  <c r="W61" i="17"/>
  <c r="W64" i="17" s="1"/>
  <c r="W60" i="17"/>
  <c r="W63" i="17" s="1"/>
  <c r="W59" i="17"/>
  <c r="W62" i="17" s="1"/>
  <c r="AG19" i="13"/>
  <c r="AG21" i="13" s="1"/>
  <c r="AF37" i="13"/>
  <c r="AF61" i="6" s="1"/>
  <c r="AG78" i="6"/>
  <c r="V124" i="6" l="1"/>
  <c r="V178" i="6"/>
  <c r="V177" i="6"/>
  <c r="V155" i="6"/>
  <c r="W65" i="17"/>
  <c r="W66" i="17" s="1"/>
  <c r="W97" i="17" s="1"/>
  <c r="W94" i="17"/>
  <c r="W96" i="17" s="1"/>
  <c r="AH19" i="13"/>
  <c r="AH21" i="13" s="1"/>
  <c r="AG37" i="13"/>
  <c r="AG61" i="6" s="1"/>
  <c r="W98" i="17" l="1"/>
  <c r="W88" i="11"/>
  <c r="W99" i="17"/>
  <c r="W67" i="17"/>
  <c r="AH29" i="12"/>
  <c r="AH78" i="6" s="1"/>
  <c r="AH37" i="13"/>
  <c r="AH61" i="6" s="1"/>
  <c r="AI19" i="13"/>
  <c r="AI21" i="13" s="1"/>
  <c r="W87" i="11" l="1"/>
  <c r="W11" i="6" s="1"/>
  <c r="W12" i="6"/>
  <c r="Y166" i="9"/>
  <c r="AJ19" i="13"/>
  <c r="AI37" i="13"/>
  <c r="AI61" i="6" s="1"/>
  <c r="AI29" i="12"/>
  <c r="W168" i="6" l="1"/>
  <c r="W156" i="6"/>
  <c r="W123" i="6"/>
  <c r="W13" i="6"/>
  <c r="X19" i="17"/>
  <c r="X30" i="17"/>
  <c r="Y31" i="12"/>
  <c r="Y182" i="9"/>
  <c r="Y167" i="9"/>
  <c r="Y23" i="6" s="1"/>
  <c r="Y85" i="11"/>
  <c r="AI78" i="6"/>
  <c r="W124" i="6" l="1"/>
  <c r="W178" i="6"/>
  <c r="W177" i="6"/>
  <c r="W155" i="6"/>
  <c r="X33" i="17"/>
  <c r="X61" i="17"/>
  <c r="X64" i="17" s="1"/>
  <c r="X60" i="17"/>
  <c r="X63" i="17" s="1"/>
  <c r="X59" i="17"/>
  <c r="X62" i="17" s="1"/>
  <c r="Y86" i="11"/>
  <c r="Y18" i="17"/>
  <c r="Y183" i="9"/>
  <c r="Z166" i="9"/>
  <c r="Z182" i="9" s="1"/>
  <c r="Y100" i="6"/>
  <c r="Y70" i="6"/>
  <c r="Y134" i="6"/>
  <c r="Y52" i="6"/>
  <c r="Y97" i="11" l="1"/>
  <c r="Y95" i="17"/>
  <c r="X94" i="17"/>
  <c r="X96" i="17" s="1"/>
  <c r="X65" i="17"/>
  <c r="Y19" i="17"/>
  <c r="Y30" i="17"/>
  <c r="Z31" i="12"/>
  <c r="Z183" i="9"/>
  <c r="AA166" i="9"/>
  <c r="AA182" i="9" s="1"/>
  <c r="Z85" i="11"/>
  <c r="Z167" i="9"/>
  <c r="Z23" i="6" s="1"/>
  <c r="AJ29" i="12"/>
  <c r="Y111" i="11" l="1"/>
  <c r="Y112" i="11"/>
  <c r="Y109" i="11"/>
  <c r="Y99" i="11"/>
  <c r="Y110" i="11"/>
  <c r="Y124" i="11" s="1"/>
  <c r="Y131" i="11" s="1"/>
  <c r="Y113" i="11"/>
  <c r="Y127" i="11" s="1"/>
  <c r="Y134" i="11" s="1"/>
  <c r="X99" i="17"/>
  <c r="X66" i="17"/>
  <c r="Y33" i="17"/>
  <c r="Y59" i="17"/>
  <c r="Y61" i="17"/>
  <c r="Y60" i="17"/>
  <c r="Z86" i="11"/>
  <c r="Z18" i="17"/>
  <c r="Z52" i="6"/>
  <c r="AA183" i="9"/>
  <c r="AA167" i="9"/>
  <c r="AA23" i="6" s="1"/>
  <c r="AA85" i="11"/>
  <c r="Z100" i="6"/>
  <c r="Z70" i="6"/>
  <c r="Z134" i="6"/>
  <c r="Y117" i="11"/>
  <c r="Y120" i="11"/>
  <c r="AJ78" i="6"/>
  <c r="Y118" i="11" l="1"/>
  <c r="Y125" i="11"/>
  <c r="Y132" i="11" s="1"/>
  <c r="Y119" i="11"/>
  <c r="Y126" i="11"/>
  <c r="Y133" i="11" s="1"/>
  <c r="Y123" i="11"/>
  <c r="Y130" i="11" s="1"/>
  <c r="Y116" i="11"/>
  <c r="Z97" i="11"/>
  <c r="Z95" i="17"/>
  <c r="Y94" i="17"/>
  <c r="Y96" i="17" s="1"/>
  <c r="Y62" i="17"/>
  <c r="Y76" i="17"/>
  <c r="Y64" i="17"/>
  <c r="Y78" i="17"/>
  <c r="Y63" i="17"/>
  <c r="Y77" i="17"/>
  <c r="X97" i="17"/>
  <c r="X67" i="17"/>
  <c r="Z30" i="17"/>
  <c r="Z19" i="17"/>
  <c r="AA86" i="11"/>
  <c r="AA18" i="17"/>
  <c r="AA31" i="12"/>
  <c r="AA100" i="6"/>
  <c r="AA70" i="6"/>
  <c r="AA134" i="6"/>
  <c r="X98" i="17" l="1"/>
  <c r="X88" i="11"/>
  <c r="Z110" i="11"/>
  <c r="Z124" i="11" s="1"/>
  <c r="Z131" i="11" s="1"/>
  <c r="Z111" i="11"/>
  <c r="Z99" i="11"/>
  <c r="AA95" i="17"/>
  <c r="AA97" i="11"/>
  <c r="Z112" i="11"/>
  <c r="Z113" i="11"/>
  <c r="Z127" i="11" s="1"/>
  <c r="Z134" i="11" s="1"/>
  <c r="Z109" i="11"/>
  <c r="Y79" i="17"/>
  <c r="Y70" i="17"/>
  <c r="Y65" i="17"/>
  <c r="Y81" i="17"/>
  <c r="Y72" i="17"/>
  <c r="Y80" i="17"/>
  <c r="Y71" i="17"/>
  <c r="Y90" i="17" s="1"/>
  <c r="Y91" i="17" s="1"/>
  <c r="Z33" i="17"/>
  <c r="Z61" i="17"/>
  <c r="Z60" i="17"/>
  <c r="Z59" i="17"/>
  <c r="AA30" i="17"/>
  <c r="AA19" i="17"/>
  <c r="AA52" i="6"/>
  <c r="Z117" i="11"/>
  <c r="Z120" i="11"/>
  <c r="X87" i="11" l="1"/>
  <c r="X11" i="6" s="1"/>
  <c r="X12" i="6"/>
  <c r="AA111" i="11"/>
  <c r="AA99" i="11"/>
  <c r="AA112" i="11"/>
  <c r="Z119" i="11"/>
  <c r="Z126" i="11"/>
  <c r="Z133" i="11" s="1"/>
  <c r="Z116" i="11"/>
  <c r="Z123" i="11"/>
  <c r="Z130" i="11" s="1"/>
  <c r="Z125" i="11"/>
  <c r="Z132" i="11" s="1"/>
  <c r="Z118" i="11"/>
  <c r="AA113" i="11"/>
  <c r="AA127" i="11" s="1"/>
  <c r="AA134" i="11" s="1"/>
  <c r="AA110" i="11"/>
  <c r="AA124" i="11" s="1"/>
  <c r="AA131" i="11" s="1"/>
  <c r="AA109" i="11"/>
  <c r="Y66" i="17"/>
  <c r="Y99" i="17"/>
  <c r="Z94" i="17"/>
  <c r="Z96" i="17" s="1"/>
  <c r="Z64" i="17"/>
  <c r="Z78" i="17"/>
  <c r="Z63" i="17"/>
  <c r="Z77" i="17"/>
  <c r="Z62" i="17"/>
  <c r="Z76" i="17"/>
  <c r="AA33" i="17"/>
  <c r="AA61" i="17"/>
  <c r="AA60" i="17"/>
  <c r="AA59" i="17"/>
  <c r="AA120" i="11"/>
  <c r="AA117" i="11"/>
  <c r="X168" i="6" l="1"/>
  <c r="X123" i="6"/>
  <c r="X156" i="6"/>
  <c r="X13" i="6"/>
  <c r="AA125" i="11"/>
  <c r="AA132" i="11" s="1"/>
  <c r="AA118" i="11"/>
  <c r="AA119" i="11"/>
  <c r="AA126" i="11"/>
  <c r="AA133" i="11" s="1"/>
  <c r="AA116" i="11"/>
  <c r="AA123" i="11"/>
  <c r="AA130" i="11" s="1"/>
  <c r="Y97" i="17"/>
  <c r="Y67" i="17"/>
  <c r="Z81" i="17"/>
  <c r="Z72" i="17"/>
  <c r="Z80" i="17"/>
  <c r="Z71" i="17"/>
  <c r="Z90" i="17" s="1"/>
  <c r="Z91" i="17" s="1"/>
  <c r="Z65" i="17"/>
  <c r="Z79" i="17"/>
  <c r="Z70" i="17"/>
  <c r="AA94" i="17"/>
  <c r="AA96" i="17" s="1"/>
  <c r="AA64" i="17"/>
  <c r="AA78" i="17"/>
  <c r="AA63" i="17"/>
  <c r="AA77" i="17"/>
  <c r="AA62" i="17"/>
  <c r="AA76" i="17"/>
  <c r="AB117" i="11"/>
  <c r="AB120" i="11"/>
  <c r="X124" i="6" l="1"/>
  <c r="X177" i="6"/>
  <c r="X155" i="6"/>
  <c r="X178" i="6"/>
  <c r="Y98" i="17"/>
  <c r="Y88" i="11"/>
  <c r="Z66" i="17"/>
  <c r="Z99" i="17"/>
  <c r="AA81" i="17"/>
  <c r="AA72" i="17"/>
  <c r="AA80" i="17"/>
  <c r="AA71" i="17"/>
  <c r="AA90" i="17" s="1"/>
  <c r="AA91" i="17" s="1"/>
  <c r="AA79" i="17"/>
  <c r="AA70" i="17"/>
  <c r="AA65" i="17"/>
  <c r="AC120" i="11"/>
  <c r="AC117" i="11"/>
  <c r="Y87" i="11" l="1"/>
  <c r="Y11" i="6" s="1"/>
  <c r="Y12" i="6"/>
  <c r="Z97" i="17"/>
  <c r="Z67" i="17"/>
  <c r="AA66" i="17"/>
  <c r="AA99" i="17"/>
  <c r="AD117" i="11"/>
  <c r="AD120" i="11"/>
  <c r="Y156" i="6" l="1"/>
  <c r="Y168" i="6"/>
  <c r="Y123" i="6"/>
  <c r="Y13" i="6"/>
  <c r="Z98" i="17"/>
  <c r="Z88" i="11"/>
  <c r="AA97" i="17"/>
  <c r="AA67" i="17"/>
  <c r="AE117" i="11"/>
  <c r="AE120" i="11"/>
  <c r="Y178" i="6" l="1"/>
  <c r="Y124" i="6"/>
  <c r="Y155" i="6"/>
  <c r="Y177" i="6"/>
  <c r="Z87" i="11"/>
  <c r="Z11" i="6" s="1"/>
  <c r="Z12" i="6"/>
  <c r="AA98" i="17"/>
  <c r="AA88" i="11"/>
  <c r="AF120" i="11"/>
  <c r="AF117" i="11"/>
  <c r="Z168" i="6" l="1"/>
  <c r="Z123" i="6"/>
  <c r="Z156" i="6"/>
  <c r="Z13" i="6"/>
  <c r="AA87" i="11"/>
  <c r="AA11" i="6" s="1"/>
  <c r="AA12" i="6"/>
  <c r="AG120" i="11"/>
  <c r="AG117" i="11"/>
  <c r="Z177" i="6" l="1"/>
  <c r="Z155" i="6"/>
  <c r="Z178" i="6"/>
  <c r="Z124" i="6"/>
  <c r="AA168" i="6"/>
  <c r="AA123" i="6"/>
  <c r="AA156" i="6"/>
  <c r="AA13" i="6"/>
  <c r="AH117" i="11"/>
  <c r="AH120" i="11"/>
  <c r="AA155" i="6" l="1"/>
  <c r="AA177" i="6"/>
  <c r="AA178" i="6"/>
  <c r="AA124" i="6"/>
  <c r="AI117" i="11"/>
  <c r="AI120" i="11"/>
  <c r="AJ117" i="11" l="1"/>
  <c r="AJ120" i="11"/>
  <c r="AK117" i="11" l="1"/>
  <c r="AK120" i="11"/>
  <c r="AL117" i="11" l="1"/>
  <c r="AL120" i="11"/>
  <c r="AM120" i="11" l="1"/>
  <c r="AM117" i="11"/>
  <c r="AN117" i="11" l="1"/>
  <c r="AN120" i="11"/>
  <c r="AD32" i="13"/>
  <c r="AO120" i="11" l="1"/>
  <c r="AO117" i="11"/>
  <c r="AD80" i="6"/>
  <c r="AP120" i="11" l="1"/>
  <c r="AP117" i="11"/>
  <c r="AP10" i="13"/>
  <c r="AP20" i="13" s="1"/>
  <c r="AQ120" i="11" l="1"/>
  <c r="AQ117" i="11"/>
  <c r="AP27" i="13"/>
  <c r="AK29" i="12" l="1"/>
  <c r="AR117" i="11"/>
  <c r="AR120" i="11"/>
  <c r="AS117" i="11" l="1"/>
  <c r="AS120" i="11"/>
  <c r="AK78" i="6"/>
  <c r="AT120" i="11" l="1"/>
  <c r="AT117" i="11"/>
  <c r="AU117" i="11" l="1"/>
  <c r="AU120" i="11"/>
  <c r="AJ32" i="13"/>
  <c r="AL29" i="12"/>
  <c r="AV117" i="11" l="1"/>
  <c r="AV120" i="11"/>
  <c r="AJ80" i="6"/>
  <c r="AL78" i="6"/>
  <c r="AW120" i="11" l="1"/>
  <c r="AW117" i="11"/>
  <c r="AJ10" i="13" l="1"/>
  <c r="AJ20" i="13" s="1"/>
  <c r="AX117" i="11"/>
  <c r="AX120" i="11"/>
  <c r="AM29" i="12"/>
  <c r="AJ21" i="13" l="1"/>
  <c r="AJ27" i="13"/>
  <c r="AY117" i="11"/>
  <c r="AY120" i="11"/>
  <c r="AM78" i="6"/>
  <c r="AJ37" i="13" l="1"/>
  <c r="AK19" i="13"/>
  <c r="AK21" i="13" s="1"/>
  <c r="AZ120" i="11"/>
  <c r="AZ117" i="11"/>
  <c r="AJ61" i="6" l="1"/>
  <c r="AL19" i="13"/>
  <c r="AL21" i="13" s="1"/>
  <c r="AK37" i="13"/>
  <c r="BA120" i="11"/>
  <c r="BA117" i="11"/>
  <c r="AM19" i="13" l="1"/>
  <c r="AL37" i="13"/>
  <c r="AL61" i="6" s="1"/>
  <c r="AK61" i="6"/>
  <c r="BB120" i="11"/>
  <c r="BB117" i="11"/>
  <c r="BC120" i="11" l="1"/>
  <c r="BC117" i="11"/>
  <c r="BD117" i="11" l="1"/>
  <c r="BD120" i="11"/>
  <c r="AP32" i="13"/>
  <c r="BE120" i="11" l="1"/>
  <c r="BE117" i="11"/>
  <c r="AP80" i="6"/>
  <c r="BF117" i="11" l="1"/>
  <c r="BF120" i="11"/>
  <c r="BG117" i="11" l="1"/>
  <c r="BG120" i="11"/>
  <c r="BH120" i="11" l="1"/>
  <c r="BH117" i="11"/>
  <c r="BI117" i="11" l="1"/>
  <c r="BI120" i="11"/>
  <c r="BJ120" i="11"/>
  <c r="BJ117" i="11"/>
  <c r="BK117" i="11" l="1"/>
  <c r="BK120" i="11"/>
  <c r="BL117" i="11" l="1"/>
  <c r="BL120" i="11"/>
  <c r="BM120" i="11" l="1"/>
  <c r="BM117" i="11"/>
  <c r="BN117" i="11" l="1"/>
  <c r="BN120" i="11"/>
  <c r="BO117" i="11" l="1"/>
  <c r="BO120" i="11"/>
  <c r="BB10" i="13" l="1"/>
  <c r="BB20" i="13" s="1"/>
  <c r="BB27" i="13" l="1"/>
  <c r="BC10" i="13" l="1"/>
  <c r="BC20" i="13" l="1"/>
  <c r="BC27" i="13" l="1"/>
  <c r="BD10" i="13" l="1"/>
  <c r="BD20" i="13" l="1"/>
  <c r="BD27" i="13" l="1"/>
  <c r="BE10" i="13" l="1"/>
  <c r="BE20" i="13" s="1"/>
  <c r="AV10" i="13" l="1"/>
  <c r="AV20" i="13" s="1"/>
  <c r="BE27" i="13"/>
  <c r="AV27" i="13" l="1"/>
  <c r="BF10" i="13" l="1"/>
  <c r="BF20" i="13" s="1"/>
  <c r="BF27" i="13" l="1"/>
  <c r="BG10" i="13" l="1"/>
  <c r="BG20" i="13" s="1"/>
  <c r="BB32" i="13" l="1"/>
  <c r="BG27" i="13"/>
  <c r="BB80" i="6" l="1"/>
  <c r="BC32" i="13" l="1"/>
  <c r="BC80" i="6" l="1"/>
  <c r="BD32" i="13" l="1"/>
  <c r="BD80" i="6" l="1"/>
  <c r="BE32" i="13" l="1"/>
  <c r="BE80" i="6" l="1"/>
  <c r="BF32" i="13" l="1"/>
  <c r="BF80" i="6" l="1"/>
  <c r="BH32" i="13" l="1"/>
  <c r="BH80" i="6" l="1"/>
  <c r="BH10" i="13" l="1"/>
  <c r="BH20" i="13" s="1"/>
  <c r="BH27" i="13" l="1"/>
  <c r="S78" i="11" l="1"/>
  <c r="S81" i="11" s="1"/>
  <c r="S90" i="11" s="1"/>
  <c r="T78" i="11"/>
  <c r="T81" i="11" s="1"/>
  <c r="T90" i="11" s="1"/>
  <c r="U78" i="11"/>
  <c r="U81" i="11" s="1"/>
  <c r="U90" i="11" s="1"/>
  <c r="V78" i="11"/>
  <c r="V81" i="11" s="1"/>
  <c r="V90" i="11" s="1"/>
  <c r="W78" i="11"/>
  <c r="W81" i="11" s="1"/>
  <c r="W90" i="11" s="1"/>
  <c r="X78" i="11"/>
  <c r="X81" i="11" s="1"/>
  <c r="X90" i="11" s="1"/>
  <c r="Y78" i="11"/>
  <c r="Y81" i="11" s="1"/>
  <c r="Y90" i="11" s="1"/>
  <c r="Z78" i="11"/>
  <c r="Z81" i="11" s="1"/>
  <c r="Z90" i="11" s="1"/>
  <c r="AA78" i="11"/>
  <c r="AA81" i="11" s="1"/>
  <c r="AA90" i="11" s="1"/>
  <c r="AB134" i="11"/>
  <c r="AB131" i="11"/>
  <c r="AC131" i="11"/>
  <c r="AC134" i="11"/>
  <c r="AD131" i="11"/>
  <c r="AD134" i="11"/>
  <c r="AE134" i="11"/>
  <c r="AE131" i="11"/>
  <c r="AF131" i="11"/>
  <c r="AF134" i="11"/>
  <c r="AG134" i="11"/>
  <c r="AG131" i="11"/>
  <c r="AH131" i="11"/>
  <c r="AH134" i="11"/>
  <c r="AI134" i="11"/>
  <c r="AI131" i="11"/>
  <c r="AJ134" i="11"/>
  <c r="AJ131" i="11"/>
  <c r="AK134" i="11"/>
  <c r="AK131" i="11"/>
  <c r="AL134" i="11"/>
  <c r="AL131" i="11"/>
  <c r="AM131" i="11"/>
  <c r="AM134" i="11"/>
  <c r="AN134" i="11"/>
  <c r="AN131" i="11"/>
  <c r="AO131" i="11"/>
  <c r="AO134" i="11"/>
  <c r="AP131" i="11"/>
  <c r="AP134" i="11"/>
  <c r="AQ131" i="11"/>
  <c r="AQ134" i="11"/>
  <c r="AR134" i="11"/>
  <c r="AR131" i="11"/>
  <c r="AS134" i="11"/>
  <c r="AS131" i="11"/>
  <c r="AT131" i="11"/>
  <c r="AT134" i="11"/>
  <c r="AU131" i="11"/>
  <c r="AU134" i="11"/>
  <c r="AV134" i="11"/>
  <c r="AV131" i="11"/>
  <c r="AK42" i="12"/>
  <c r="AW131" i="11"/>
  <c r="AW134" i="11"/>
  <c r="AL42" i="12"/>
  <c r="AX134" i="11"/>
  <c r="AX131" i="11"/>
  <c r="AY134" i="11"/>
  <c r="AY131" i="11"/>
  <c r="AM42" i="12"/>
  <c r="AZ131" i="11"/>
  <c r="AZ134" i="11"/>
  <c r="BA131" i="11"/>
  <c r="BA134" i="11"/>
  <c r="BB131" i="11"/>
  <c r="BB134" i="11"/>
  <c r="BC134" i="11"/>
  <c r="BC131" i="11"/>
  <c r="BD134" i="11"/>
  <c r="BD131" i="11"/>
  <c r="BE131" i="11"/>
  <c r="BE134" i="11"/>
  <c r="BF134" i="11"/>
  <c r="BF131" i="11"/>
  <c r="BG134" i="11"/>
  <c r="BG131" i="11"/>
  <c r="BH134" i="11"/>
  <c r="BH131" i="11"/>
  <c r="BI134" i="11"/>
  <c r="BI131" i="11"/>
  <c r="BJ131" i="11"/>
  <c r="BJ134" i="11"/>
  <c r="BK134" i="11"/>
  <c r="BK131" i="11"/>
  <c r="BL134" i="11"/>
  <c r="BL131" i="11"/>
  <c r="BM131" i="11"/>
  <c r="BM134" i="11"/>
  <c r="AV32" i="13"/>
  <c r="BN134" i="11"/>
  <c r="BN131" i="11"/>
  <c r="BO134" i="11"/>
  <c r="BO131" i="11"/>
  <c r="BG32" i="13"/>
  <c r="G30" i="12"/>
  <c r="AI11" i="12"/>
  <c r="AI77" i="6" s="1"/>
  <c r="AU11" i="12"/>
  <c r="AU77" i="6" s="1"/>
  <c r="BA11" i="12"/>
  <c r="BA77" i="6" s="1"/>
  <c r="BF11" i="12"/>
  <c r="BF77" i="6" s="1"/>
  <c r="AJ11" i="12"/>
  <c r="AJ77" i="6" s="1"/>
  <c r="AO11" i="12"/>
  <c r="AO77" i="6" s="1"/>
  <c r="AV11" i="12"/>
  <c r="AV77" i="6" s="1"/>
  <c r="BD11" i="12"/>
  <c r="BD77" i="6" s="1"/>
  <c r="BI11" i="12"/>
  <c r="BI77" i="6" s="1"/>
  <c r="BN11" i="12"/>
  <c r="BN77" i="6" s="1"/>
  <c r="AC11" i="12"/>
  <c r="AC77" i="6" s="1"/>
  <c r="AF11" i="12"/>
  <c r="AF77" i="6" s="1"/>
  <c r="AH11" i="12"/>
  <c r="AH77" i="6" s="1"/>
  <c r="AN11" i="12"/>
  <c r="AN77" i="6" s="1"/>
  <c r="AY11" i="12"/>
  <c r="AY77" i="6" s="1"/>
  <c r="BE11" i="12"/>
  <c r="BE77" i="6" s="1"/>
  <c r="AB11" i="12"/>
  <c r="AB77" i="6" s="1"/>
  <c r="AT11" i="12"/>
  <c r="AT77" i="6" s="1"/>
  <c r="AX11" i="12"/>
  <c r="AX77" i="6" s="1"/>
  <c r="BC11" i="12"/>
  <c r="BC77" i="6" s="1"/>
  <c r="AE111" i="6"/>
  <c r="BO11" i="12"/>
  <c r="BO77" i="6" s="1"/>
  <c r="AD11" i="12"/>
  <c r="AD77" i="6" s="1"/>
  <c r="AK11" i="12"/>
  <c r="AK77" i="6" s="1"/>
  <c r="AQ11" i="12"/>
  <c r="AQ77" i="6" s="1"/>
  <c r="AR11" i="12"/>
  <c r="AR77" i="6" s="1"/>
  <c r="AW11" i="12"/>
  <c r="AW77" i="6" s="1"/>
  <c r="AZ11" i="12"/>
  <c r="AZ77" i="6" s="1"/>
  <c r="BG11" i="12"/>
  <c r="BG77" i="6" s="1"/>
  <c r="BH11" i="12"/>
  <c r="BH77" i="6" s="1"/>
  <c r="BK11" i="12"/>
  <c r="BK77" i="6" s="1"/>
  <c r="BL11" i="12"/>
  <c r="BL77" i="6" s="1"/>
  <c r="BM11" i="12"/>
  <c r="BM77" i="6" s="1"/>
  <c r="AE11" i="12"/>
  <c r="AE77" i="6" s="1"/>
  <c r="AG11" i="12"/>
  <c r="AG77" i="6" s="1"/>
  <c r="AM11" i="12"/>
  <c r="AM77" i="6" s="1"/>
  <c r="AS11" i="12"/>
  <c r="AS77" i="6" s="1"/>
  <c r="BJ11" i="12"/>
  <c r="BJ77" i="6" s="1"/>
  <c r="AL11" i="12"/>
  <c r="AL77" i="6" s="1"/>
  <c r="AP11" i="12"/>
  <c r="AP77" i="6" s="1"/>
  <c r="BB11" i="12"/>
  <c r="BB77" i="6" s="1"/>
  <c r="BH79" i="6"/>
  <c r="AI79" i="6"/>
  <c r="AU13" i="13"/>
  <c r="BA13" i="13"/>
  <c r="BF79" i="6"/>
  <c r="AJ79" i="6"/>
  <c r="AO13" i="13"/>
  <c r="AV79" i="6"/>
  <c r="BD13" i="13"/>
  <c r="BI79" i="6"/>
  <c r="BN79" i="6"/>
  <c r="AC111" i="6"/>
  <c r="AC79" i="6"/>
  <c r="AH79" i="6"/>
  <c r="AN79" i="6"/>
  <c r="AY13" i="13"/>
  <c r="BE13" i="13"/>
  <c r="AB13" i="13"/>
  <c r="AL79" i="6"/>
  <c r="AT13" i="13"/>
  <c r="AX79" i="6"/>
  <c r="BC79" i="6"/>
  <c r="AE13" i="13"/>
  <c r="AG13" i="13"/>
  <c r="AM13" i="13"/>
  <c r="AP79" i="6"/>
  <c r="AP13" i="13"/>
  <c r="AS13" i="13"/>
  <c r="BB79" i="6"/>
  <c r="BJ79" i="6"/>
  <c r="BO13" i="13"/>
  <c r="AK79" i="6"/>
  <c r="AQ79" i="6"/>
  <c r="AR79" i="6"/>
  <c r="AW13" i="13"/>
  <c r="BG79" i="6"/>
  <c r="BK13" i="13"/>
  <c r="BL13" i="13"/>
  <c r="BM79" i="6"/>
  <c r="AZ79" i="6"/>
  <c r="BK79" i="6"/>
  <c r="BL79" i="6"/>
  <c r="AI13" i="13"/>
  <c r="AU79" i="6"/>
  <c r="BA79" i="6"/>
  <c r="BF13" i="13"/>
  <c r="AJ13" i="13"/>
  <c r="AO79" i="6"/>
  <c r="AV13" i="13"/>
  <c r="BD79" i="6"/>
  <c r="BI13" i="13"/>
  <c r="BN13" i="13"/>
  <c r="AC13" i="13"/>
  <c r="AF13" i="13"/>
  <c r="AF79" i="6"/>
  <c r="AH13" i="13"/>
  <c r="AN13" i="13"/>
  <c r="AY79" i="6"/>
  <c r="BE79" i="6"/>
  <c r="AB79" i="6"/>
  <c r="AB111" i="6"/>
  <c r="AL13" i="13"/>
  <c r="AT79" i="6"/>
  <c r="AX13" i="13"/>
  <c r="BC13" i="13"/>
  <c r="AE79" i="6"/>
  <c r="AG79" i="6"/>
  <c r="AM79" i="6"/>
  <c r="AS79" i="6"/>
  <c r="BB13" i="13"/>
  <c r="BJ13" i="13"/>
  <c r="BO79" i="6"/>
  <c r="AD79" i="6"/>
  <c r="AD13" i="13"/>
  <c r="AK13" i="13"/>
  <c r="AQ13" i="13"/>
  <c r="AR13" i="13"/>
  <c r="AW79" i="6"/>
  <c r="AZ13" i="13"/>
  <c r="BH13" i="13"/>
  <c r="BM13" i="13"/>
  <c r="BG13" i="13"/>
  <c r="AF111" i="6"/>
  <c r="AG111" i="6"/>
  <c r="AH111" i="6"/>
  <c r="AI111" i="6"/>
  <c r="AK111" i="6"/>
  <c r="AL111" i="6"/>
  <c r="AN111" i="6"/>
  <c r="AO111" i="6"/>
  <c r="AQ111" i="6"/>
  <c r="AR111" i="6"/>
  <c r="AS111" i="6"/>
  <c r="AT111" i="6"/>
  <c r="AU111" i="6"/>
  <c r="AW111" i="6"/>
  <c r="AX111" i="6"/>
  <c r="AZ111" i="6"/>
  <c r="BA111" i="6"/>
  <c r="G11" i="12"/>
  <c r="AD111" i="6"/>
  <c r="AJ111" i="6"/>
  <c r="AP111" i="6"/>
  <c r="BB111" i="6"/>
  <c r="BC111" i="6"/>
  <c r="BD111" i="6"/>
  <c r="BE111" i="6"/>
  <c r="BF111" i="6"/>
  <c r="BH111" i="6"/>
  <c r="AV80" i="6" l="1"/>
  <c r="AV111" i="6"/>
  <c r="BG80" i="6"/>
  <c r="BG111" i="6"/>
  <c r="G13" i="12"/>
  <c r="G77" i="6"/>
  <c r="G12" i="12" s="1"/>
  <c r="T16" i="6"/>
  <c r="T92" i="11"/>
  <c r="T93" i="11" s="1"/>
  <c r="T94" i="11" s="1"/>
  <c r="H18" i="12"/>
  <c r="G152" i="6"/>
  <c r="G88" i="6"/>
  <c r="G32" i="12"/>
  <c r="G56" i="6" s="1"/>
  <c r="G57" i="6" s="1"/>
  <c r="S16" i="6"/>
  <c r="S92" i="11"/>
  <c r="S93" i="11" s="1"/>
  <c r="S94" i="11" s="1"/>
  <c r="U92" i="11"/>
  <c r="U93" i="11" s="1"/>
  <c r="U94" i="11" s="1"/>
  <c r="U16" i="6"/>
  <c r="W16" i="6"/>
  <c r="W92" i="11"/>
  <c r="W93" i="11" s="1"/>
  <c r="W94" i="11" s="1"/>
  <c r="X16" i="6"/>
  <c r="X92" i="11"/>
  <c r="X93" i="11" s="1"/>
  <c r="X94" i="11" s="1"/>
  <c r="Y92" i="11"/>
  <c r="Y93" i="11" s="1"/>
  <c r="Y94" i="11" s="1"/>
  <c r="Y16" i="6"/>
  <c r="V92" i="11"/>
  <c r="V93" i="11" s="1"/>
  <c r="V94" i="11" s="1"/>
  <c r="V16" i="6"/>
  <c r="Z16" i="6"/>
  <c r="Z92" i="11"/>
  <c r="Z93" i="11" s="1"/>
  <c r="Z94" i="11" s="1"/>
  <c r="AA16" i="6"/>
  <c r="AA92" i="11"/>
  <c r="AA93" i="11" s="1"/>
  <c r="AA94" i="11" s="1"/>
  <c r="G111" i="6" l="1"/>
  <c r="G14" i="12"/>
  <c r="G13" i="13"/>
  <c r="G15" i="13" s="1"/>
  <c r="G79" i="6"/>
  <c r="T52" i="12"/>
  <c r="T50" i="6" s="1"/>
  <c r="T47" i="12"/>
  <c r="H22" i="12"/>
  <c r="H23" i="12" s="1"/>
  <c r="H106" i="9"/>
  <c r="T127" i="6"/>
  <c r="T14" i="6"/>
  <c r="T158" i="6"/>
  <c r="X14" i="6"/>
  <c r="X127" i="6"/>
  <c r="X158" i="6"/>
  <c r="S14" i="6"/>
  <c r="S158" i="6"/>
  <c r="S127" i="6"/>
  <c r="S52" i="12"/>
  <c r="S50" i="6" s="1"/>
  <c r="S47" i="12"/>
  <c r="U47" i="12"/>
  <c r="U52" i="12"/>
  <c r="U50" i="6" s="1"/>
  <c r="U127" i="6"/>
  <c r="U14" i="6"/>
  <c r="U158" i="6"/>
  <c r="X52" i="12"/>
  <c r="X47" i="12"/>
  <c r="X49" i="6" s="1"/>
  <c r="W158" i="6"/>
  <c r="W14" i="6"/>
  <c r="W127" i="6"/>
  <c r="W52" i="12"/>
  <c r="W50" i="6" s="1"/>
  <c r="W47" i="12"/>
  <c r="Y47" i="12"/>
  <c r="Y52" i="12"/>
  <c r="Y50" i="6" s="1"/>
  <c r="Y127" i="6"/>
  <c r="Y158" i="6"/>
  <c r="Y14" i="6"/>
  <c r="V52" i="12"/>
  <c r="V50" i="6" s="1"/>
  <c r="V47" i="12"/>
  <c r="V14" i="6"/>
  <c r="V127" i="6"/>
  <c r="V158" i="6"/>
  <c r="Z158" i="6"/>
  <c r="Z127" i="6"/>
  <c r="Z14" i="6"/>
  <c r="Z47" i="12"/>
  <c r="Z52" i="12"/>
  <c r="Z50" i="6" s="1"/>
  <c r="AA127" i="6"/>
  <c r="AA158" i="6"/>
  <c r="AA14" i="6"/>
  <c r="AA52" i="12"/>
  <c r="AA50" i="6" s="1"/>
  <c r="AA47" i="12"/>
  <c r="X169" i="6" l="1"/>
  <c r="G58" i="12"/>
  <c r="G36" i="13"/>
  <c r="G60" i="6" s="1"/>
  <c r="G18" i="13"/>
  <c r="G22" i="13" s="1"/>
  <c r="G29" i="13" s="1"/>
  <c r="H14" i="13"/>
  <c r="T53" i="12"/>
  <c r="T49" i="6"/>
  <c r="X125" i="6"/>
  <c r="X18" i="6"/>
  <c r="T18" i="6"/>
  <c r="T125" i="6"/>
  <c r="X50" i="6"/>
  <c r="X53" i="12"/>
  <c r="S18" i="6"/>
  <c r="S125" i="6"/>
  <c r="S53" i="12"/>
  <c r="S49" i="6"/>
  <c r="U49" i="6"/>
  <c r="U53" i="12"/>
  <c r="U125" i="6"/>
  <c r="U18" i="6"/>
  <c r="W18" i="6"/>
  <c r="W125" i="6"/>
  <c r="W53" i="12"/>
  <c r="W49" i="6"/>
  <c r="Y49" i="6"/>
  <c r="Y53" i="12"/>
  <c r="Y125" i="6"/>
  <c r="Y18" i="6"/>
  <c r="V53" i="12"/>
  <c r="V49" i="6"/>
  <c r="V125" i="6"/>
  <c r="V18" i="6"/>
  <c r="Z125" i="6"/>
  <c r="Z18" i="6"/>
  <c r="Z53" i="12"/>
  <c r="Z49" i="6"/>
  <c r="H105" i="9"/>
  <c r="H24" i="12"/>
  <c r="AA125" i="6"/>
  <c r="AA18" i="6"/>
  <c r="AA53" i="12"/>
  <c r="AA49" i="6"/>
  <c r="T169" i="6" l="1"/>
  <c r="S169" i="6"/>
  <c r="U169" i="6"/>
  <c r="W169" i="6"/>
  <c r="Y169" i="6"/>
  <c r="V169" i="6"/>
  <c r="Z169" i="6"/>
  <c r="AA169" i="6"/>
  <c r="G30" i="13"/>
  <c r="G33" i="13"/>
  <c r="H116" i="9"/>
  <c r="H117" i="9" s="1"/>
  <c r="H133" i="9"/>
  <c r="U24" i="6"/>
  <c r="U129" i="6"/>
  <c r="U54" i="12"/>
  <c r="X24" i="6"/>
  <c r="X129" i="6"/>
  <c r="T129" i="6"/>
  <c r="T24" i="6"/>
  <c r="X54" i="12"/>
  <c r="Y54" i="12"/>
  <c r="S24" i="6"/>
  <c r="S129" i="6"/>
  <c r="T54" i="12"/>
  <c r="S54" i="12"/>
  <c r="W129" i="6"/>
  <c r="W24" i="6"/>
  <c r="Y129" i="6"/>
  <c r="Y24" i="6"/>
  <c r="Z54" i="12"/>
  <c r="W54" i="12"/>
  <c r="V54" i="12"/>
  <c r="V24" i="6"/>
  <c r="V129" i="6"/>
  <c r="Z24" i="6"/>
  <c r="Z129" i="6"/>
  <c r="H20" i="12"/>
  <c r="H40" i="12"/>
  <c r="H41" i="12" s="1"/>
  <c r="H101" i="6"/>
  <c r="H172" i="6"/>
  <c r="AA54" i="12"/>
  <c r="AA129" i="6"/>
  <c r="AA24" i="6"/>
  <c r="G61" i="12" l="1"/>
  <c r="G81" i="6"/>
  <c r="G82" i="6" s="1"/>
  <c r="G83" i="6" s="1"/>
  <c r="G85" i="6" s="1"/>
  <c r="G38" i="13"/>
  <c r="H25" i="13"/>
  <c r="G51" i="6"/>
  <c r="H31" i="13"/>
  <c r="U179" i="6"/>
  <c r="U135" i="6"/>
  <c r="U180" i="6"/>
  <c r="U35" i="12"/>
  <c r="U71" i="6"/>
  <c r="U37" i="12"/>
  <c r="U103" i="6"/>
  <c r="X35" i="12"/>
  <c r="X179" i="6"/>
  <c r="X135" i="6"/>
  <c r="X180" i="6"/>
  <c r="T180" i="6"/>
  <c r="T135" i="6"/>
  <c r="T35" i="12"/>
  <c r="T179" i="6"/>
  <c r="X37" i="12"/>
  <c r="X71" i="6"/>
  <c r="X103" i="6"/>
  <c r="Y37" i="12"/>
  <c r="Y71" i="6"/>
  <c r="Y103" i="6"/>
  <c r="S180" i="6"/>
  <c r="S135" i="6"/>
  <c r="S179" i="6"/>
  <c r="S35" i="12"/>
  <c r="T103" i="6"/>
  <c r="T71" i="6"/>
  <c r="T37" i="12"/>
  <c r="S37" i="12"/>
  <c r="S71" i="6"/>
  <c r="S103" i="6"/>
  <c r="Z71" i="6"/>
  <c r="Z103" i="6"/>
  <c r="Z37" i="12"/>
  <c r="W35" i="12"/>
  <c r="W135" i="6"/>
  <c r="W180" i="6"/>
  <c r="W179" i="6"/>
  <c r="Y135" i="6"/>
  <c r="Y179" i="6"/>
  <c r="Y180" i="6"/>
  <c r="Y35" i="12"/>
  <c r="AA71" i="6"/>
  <c r="AA103" i="6"/>
  <c r="AA37" i="12"/>
  <c r="W37" i="12"/>
  <c r="W103" i="6"/>
  <c r="W71" i="6"/>
  <c r="V37" i="12"/>
  <c r="V71" i="6"/>
  <c r="V103" i="6"/>
  <c r="V35" i="12"/>
  <c r="V179" i="6"/>
  <c r="V135" i="6"/>
  <c r="V180" i="6"/>
  <c r="Z35" i="12"/>
  <c r="Z135" i="6"/>
  <c r="Z179" i="6"/>
  <c r="Z180" i="6"/>
  <c r="H30" i="12"/>
  <c r="H11" i="12"/>
  <c r="H8" i="12"/>
  <c r="H102" i="6"/>
  <c r="H74" i="6"/>
  <c r="H75" i="6" s="1"/>
  <c r="H150" i="9"/>
  <c r="H134" i="9"/>
  <c r="H135" i="9" s="1"/>
  <c r="AA179" i="6"/>
  <c r="AA180" i="6"/>
  <c r="AA35" i="12"/>
  <c r="AA135" i="6"/>
  <c r="H57" i="12" l="1"/>
  <c r="H62" i="12" s="1"/>
  <c r="H19" i="6" s="1"/>
  <c r="G53" i="6"/>
  <c r="G54" i="6" s="1"/>
  <c r="G58" i="6" s="1"/>
  <c r="H84" i="6"/>
  <c r="G38" i="6"/>
  <c r="G39" i="13"/>
  <c r="G62" i="6"/>
  <c r="G63" i="6" s="1"/>
  <c r="H88" i="6"/>
  <c r="H152" i="6"/>
  <c r="I18" i="12"/>
  <c r="H32" i="12"/>
  <c r="H56" i="6" s="1"/>
  <c r="H57" i="6" s="1"/>
  <c r="H13" i="12"/>
  <c r="H77" i="6"/>
  <c r="H151" i="9"/>
  <c r="H198" i="9"/>
  <c r="H199" i="9" s="1"/>
  <c r="H44" i="6" s="1"/>
  <c r="H20" i="6" l="1"/>
  <c r="H130" i="6"/>
  <c r="G142" i="6"/>
  <c r="G139" i="6"/>
  <c r="G188" i="6"/>
  <c r="G42" i="6"/>
  <c r="G189" i="6"/>
  <c r="G144" i="6"/>
  <c r="G162" i="6"/>
  <c r="G89" i="6"/>
  <c r="G186" i="6"/>
  <c r="G161" i="6"/>
  <c r="G148" i="6"/>
  <c r="G187" i="6"/>
  <c r="G64" i="6"/>
  <c r="G151" i="6"/>
  <c r="G185" i="6"/>
  <c r="I22" i="12"/>
  <c r="I106" i="9"/>
  <c r="H167" i="6"/>
  <c r="H45" i="6"/>
  <c r="H131" i="6" l="1"/>
  <c r="H28" i="6"/>
  <c r="H30" i="6" s="1"/>
  <c r="G141" i="6"/>
  <c r="G46" i="6"/>
  <c r="G90" i="6"/>
  <c r="G91" i="6"/>
  <c r="G94" i="6"/>
  <c r="G95" i="6" s="1"/>
  <c r="I23" i="12"/>
  <c r="H32" i="6" l="1"/>
  <c r="I29" i="6" s="1"/>
  <c r="H31" i="6"/>
  <c r="H33" i="6" s="1"/>
  <c r="G96" i="6"/>
  <c r="G109" i="6" s="1"/>
  <c r="G110" i="6" s="1"/>
  <c r="G65" i="6"/>
  <c r="G149" i="6"/>
  <c r="G150" i="6"/>
  <c r="G147" i="6"/>
  <c r="G160" i="6"/>
  <c r="G184" i="6"/>
  <c r="G183" i="6"/>
  <c r="G166" i="6"/>
  <c r="I105" i="9"/>
  <c r="I24" i="12"/>
  <c r="H21" i="6" l="1"/>
  <c r="H173" i="6"/>
  <c r="H190" i="6" s="1"/>
  <c r="H36" i="12"/>
  <c r="H39" i="12" s="1"/>
  <c r="I116" i="9"/>
  <c r="I117" i="9" s="1"/>
  <c r="I133" i="9"/>
  <c r="I20" i="12"/>
  <c r="I101" i="6"/>
  <c r="I40" i="12"/>
  <c r="I41" i="12" s="1"/>
  <c r="I172" i="6"/>
  <c r="H132" i="6" l="1"/>
  <c r="H22" i="6"/>
  <c r="I150" i="9"/>
  <c r="I134" i="9"/>
  <c r="I135" i="9" s="1"/>
  <c r="I11" i="12"/>
  <c r="I30" i="12"/>
  <c r="I74" i="6"/>
  <c r="I75" i="6" s="1"/>
  <c r="I102" i="6"/>
  <c r="I8" i="12"/>
  <c r="H182" i="6" l="1"/>
  <c r="H99" i="6"/>
  <c r="H104" i="6" s="1"/>
  <c r="H106" i="6" s="1"/>
  <c r="H107" i="6" s="1"/>
  <c r="H181" i="6"/>
  <c r="H159" i="6"/>
  <c r="H9" i="13"/>
  <c r="H26" i="13" s="1"/>
  <c r="H28" i="13" s="1"/>
  <c r="H69" i="6"/>
  <c r="H72" i="6" s="1"/>
  <c r="H133" i="6"/>
  <c r="I151" i="9"/>
  <c r="I198" i="9"/>
  <c r="I199" i="9" s="1"/>
  <c r="I44" i="6" s="1"/>
  <c r="I13" i="12"/>
  <c r="I77" i="6"/>
  <c r="I88" i="6"/>
  <c r="J18" i="12"/>
  <c r="I32" i="12"/>
  <c r="I56" i="6" s="1"/>
  <c r="I57" i="6" s="1"/>
  <c r="I152" i="6"/>
  <c r="H12" i="12" l="1"/>
  <c r="H140" i="6"/>
  <c r="I167" i="6"/>
  <c r="I45" i="6"/>
  <c r="J106" i="9"/>
  <c r="J22" i="12"/>
  <c r="H14" i="12" l="1"/>
  <c r="H79" i="6"/>
  <c r="H58" i="12" s="1"/>
  <c r="H111" i="6"/>
  <c r="H13" i="13"/>
  <c r="H15" i="13" s="1"/>
  <c r="J23" i="12"/>
  <c r="I14" i="13" l="1"/>
  <c r="H18" i="13"/>
  <c r="H22" i="13" s="1"/>
  <c r="H29" i="13" s="1"/>
  <c r="H36" i="13"/>
  <c r="H60" i="6" s="1"/>
  <c r="J105" i="9"/>
  <c r="J24" i="12"/>
  <c r="H30" i="13" l="1"/>
  <c r="H33" i="13"/>
  <c r="H61" i="12"/>
  <c r="H81" i="6"/>
  <c r="H82" i="6" s="1"/>
  <c r="H83" i="6" s="1"/>
  <c r="H85" i="6" s="1"/>
  <c r="J116" i="9"/>
  <c r="J117" i="9" s="1"/>
  <c r="J133" i="9"/>
  <c r="J20" i="12"/>
  <c r="J101" i="6"/>
  <c r="J172" i="6"/>
  <c r="J40" i="12"/>
  <c r="J41" i="12" s="1"/>
  <c r="H38" i="13" l="1"/>
  <c r="I25" i="13"/>
  <c r="H51" i="6"/>
  <c r="I31" i="13"/>
  <c r="I57" i="12"/>
  <c r="I62" i="12" s="1"/>
  <c r="I19" i="6" s="1"/>
  <c r="H53" i="6"/>
  <c r="I84" i="6"/>
  <c r="H38" i="6"/>
  <c r="J30" i="12"/>
  <c r="J11" i="12"/>
  <c r="J134" i="9"/>
  <c r="J135" i="9" s="1"/>
  <c r="J150" i="9"/>
  <c r="J74" i="6"/>
  <c r="J75" i="6" s="1"/>
  <c r="J102" i="6"/>
  <c r="J8" i="12"/>
  <c r="H54" i="6" l="1"/>
  <c r="H39" i="13"/>
  <c r="H62" i="6"/>
  <c r="H63" i="6" s="1"/>
  <c r="I20" i="6"/>
  <c r="I130" i="6"/>
  <c r="H189" i="6"/>
  <c r="H144" i="6"/>
  <c r="H42" i="6"/>
  <c r="H188" i="6"/>
  <c r="J88" i="6"/>
  <c r="K18" i="12"/>
  <c r="J32" i="12"/>
  <c r="J56" i="6" s="1"/>
  <c r="J57" i="6" s="1"/>
  <c r="J152" i="6"/>
  <c r="J13" i="12"/>
  <c r="J77" i="6"/>
  <c r="J198" i="9"/>
  <c r="J199" i="9" s="1"/>
  <c r="J44" i="6" s="1"/>
  <c r="J151" i="9"/>
  <c r="H58" i="6" l="1"/>
  <c r="H139" i="6"/>
  <c r="H142" i="6"/>
  <c r="H162" i="6"/>
  <c r="H161" i="6"/>
  <c r="H186" i="6"/>
  <c r="H89" i="6"/>
  <c r="H148" i="6"/>
  <c r="I28" i="6"/>
  <c r="I131" i="6"/>
  <c r="H141" i="6"/>
  <c r="H46" i="6"/>
  <c r="K22" i="12"/>
  <c r="K106" i="9"/>
  <c r="J45" i="6"/>
  <c r="J167" i="6"/>
  <c r="H64" i="6" l="1"/>
  <c r="H65" i="6" s="1"/>
  <c r="H151" i="6"/>
  <c r="H185" i="6"/>
  <c r="H187" i="6"/>
  <c r="H94" i="6"/>
  <c r="H95" i="6" s="1"/>
  <c r="H90" i="6"/>
  <c r="H91" i="6"/>
  <c r="I30" i="6"/>
  <c r="H149" i="6"/>
  <c r="H150" i="6"/>
  <c r="H147" i="6"/>
  <c r="H184" i="6"/>
  <c r="H160" i="6"/>
  <c r="H183" i="6"/>
  <c r="H166" i="6"/>
  <c r="K23" i="12"/>
  <c r="H96" i="6" l="1"/>
  <c r="H109" i="6" s="1"/>
  <c r="H110" i="6" s="1"/>
  <c r="I32" i="6"/>
  <c r="J29" i="6" s="1"/>
  <c r="I31" i="6"/>
  <c r="I33" i="6" s="1"/>
  <c r="K105" i="9"/>
  <c r="K24" i="12"/>
  <c r="I21" i="6" l="1"/>
  <c r="I36" i="12"/>
  <c r="I39" i="12" s="1"/>
  <c r="I173" i="6"/>
  <c r="I190" i="6" s="1"/>
  <c r="I61" i="12"/>
  <c r="I81" i="6"/>
  <c r="K116" i="9"/>
  <c r="K117" i="9" s="1"/>
  <c r="K133" i="9"/>
  <c r="K20" i="12"/>
  <c r="K172" i="6"/>
  <c r="K40" i="12"/>
  <c r="K41" i="12" s="1"/>
  <c r="K101" i="6"/>
  <c r="I22" i="6" l="1"/>
  <c r="I132" i="6"/>
  <c r="J57" i="12"/>
  <c r="J62" i="12" s="1"/>
  <c r="J19" i="6" s="1"/>
  <c r="I53" i="6"/>
  <c r="K11" i="12"/>
  <c r="K30" i="12"/>
  <c r="K134" i="9"/>
  <c r="K135" i="9" s="1"/>
  <c r="K150" i="9"/>
  <c r="K8" i="12"/>
  <c r="K102" i="6"/>
  <c r="K74" i="6"/>
  <c r="K75" i="6" s="1"/>
  <c r="I69" i="6" l="1"/>
  <c r="I72" i="6" s="1"/>
  <c r="I182" i="6"/>
  <c r="I133" i="6"/>
  <c r="I99" i="6"/>
  <c r="I104" i="6" s="1"/>
  <c r="I106" i="6" s="1"/>
  <c r="I107" i="6" s="1"/>
  <c r="I159" i="6"/>
  <c r="I181" i="6"/>
  <c r="I9" i="13"/>
  <c r="I26" i="13" s="1"/>
  <c r="I28" i="13" s="1"/>
  <c r="J130" i="6"/>
  <c r="J20" i="6"/>
  <c r="K77" i="6"/>
  <c r="K13" i="12"/>
  <c r="K88" i="6"/>
  <c r="K152" i="6"/>
  <c r="K32" i="12"/>
  <c r="K56" i="6" s="1"/>
  <c r="K57" i="6" s="1"/>
  <c r="L18" i="12"/>
  <c r="L26" i="12" s="1"/>
  <c r="K151" i="9"/>
  <c r="K198" i="9"/>
  <c r="K199" i="9" s="1"/>
  <c r="K44" i="6" s="1"/>
  <c r="I140" i="6" l="1"/>
  <c r="I12" i="12"/>
  <c r="J131" i="6"/>
  <c r="J28" i="6"/>
  <c r="L106" i="9"/>
  <c r="L22" i="12"/>
  <c r="K45" i="6"/>
  <c r="K167" i="6"/>
  <c r="I14" i="12" l="1"/>
  <c r="I79" i="6"/>
  <c r="I111" i="6"/>
  <c r="I13" i="13"/>
  <c r="I15" i="13" s="1"/>
  <c r="J30" i="6"/>
  <c r="L23" i="12"/>
  <c r="I58" i="12" l="1"/>
  <c r="I82" i="6"/>
  <c r="I83" i="6" s="1"/>
  <c r="I85" i="6" s="1"/>
  <c r="I18" i="13"/>
  <c r="I22" i="13" s="1"/>
  <c r="I29" i="13" s="1"/>
  <c r="J14" i="13"/>
  <c r="I36" i="13"/>
  <c r="J32" i="6"/>
  <c r="K29" i="6" s="1"/>
  <c r="J31" i="6"/>
  <c r="J33" i="6" s="1"/>
  <c r="L105" i="9"/>
  <c r="L24" i="12"/>
  <c r="I38" i="6" l="1"/>
  <c r="J84" i="6"/>
  <c r="I30" i="13"/>
  <c r="I33" i="13"/>
  <c r="I60" i="6"/>
  <c r="J36" i="12"/>
  <c r="J39" i="12" s="1"/>
  <c r="J173" i="6"/>
  <c r="J190" i="6" s="1"/>
  <c r="J21" i="6"/>
  <c r="J61" i="12"/>
  <c r="J81" i="6"/>
  <c r="L116" i="9"/>
  <c r="L117" i="9" s="1"/>
  <c r="L133" i="9"/>
  <c r="L20" i="12"/>
  <c r="L172" i="6"/>
  <c r="L40" i="12"/>
  <c r="L41" i="12" s="1"/>
  <c r="L101" i="6"/>
  <c r="I188" i="6" l="1"/>
  <c r="I144" i="6"/>
  <c r="I42" i="6"/>
  <c r="I189" i="6"/>
  <c r="I38" i="13"/>
  <c r="J25" i="13"/>
  <c r="J31" i="13"/>
  <c r="I51" i="6"/>
  <c r="I54" i="6" s="1"/>
  <c r="J22" i="6"/>
  <c r="J132" i="6"/>
  <c r="K57" i="12"/>
  <c r="K62" i="12" s="1"/>
  <c r="K19" i="6" s="1"/>
  <c r="J53" i="6"/>
  <c r="L150" i="9"/>
  <c r="L134" i="9"/>
  <c r="L135" i="9" s="1"/>
  <c r="L8" i="12"/>
  <c r="L74" i="6"/>
  <c r="L75" i="6" s="1"/>
  <c r="L102" i="6"/>
  <c r="L11" i="12"/>
  <c r="L30" i="12"/>
  <c r="I58" i="6" l="1"/>
  <c r="I139" i="6"/>
  <c r="I142" i="6"/>
  <c r="I46" i="6"/>
  <c r="I141" i="6"/>
  <c r="I39" i="13"/>
  <c r="I62" i="6"/>
  <c r="I63" i="6" s="1"/>
  <c r="J99" i="6"/>
  <c r="J104" i="6" s="1"/>
  <c r="J106" i="6" s="1"/>
  <c r="J107" i="6" s="1"/>
  <c r="J182" i="6"/>
  <c r="J181" i="6"/>
  <c r="J159" i="6"/>
  <c r="J133" i="6"/>
  <c r="J9" i="13"/>
  <c r="J26" i="13" s="1"/>
  <c r="J28" i="13" s="1"/>
  <c r="J69" i="6"/>
  <c r="J72" i="6" s="1"/>
  <c r="K20" i="6"/>
  <c r="K130" i="6"/>
  <c r="L151" i="9"/>
  <c r="L198" i="9"/>
  <c r="L199" i="9" s="1"/>
  <c r="L44" i="6" s="1"/>
  <c r="L77" i="6"/>
  <c r="L13" i="12"/>
  <c r="L88" i="6"/>
  <c r="M18" i="12"/>
  <c r="M26" i="12" s="1"/>
  <c r="L32" i="12"/>
  <c r="L56" i="6" s="1"/>
  <c r="L57" i="6" s="1"/>
  <c r="L152" i="6"/>
  <c r="I187" i="6" l="1"/>
  <c r="I149" i="6"/>
  <c r="I185" i="6"/>
  <c r="I166" i="6"/>
  <c r="I184" i="6"/>
  <c r="I183" i="6"/>
  <c r="I147" i="6"/>
  <c r="I160" i="6"/>
  <c r="I150" i="6"/>
  <c r="I162" i="6"/>
  <c r="I186" i="6"/>
  <c r="I148" i="6"/>
  <c r="I161" i="6"/>
  <c r="I89" i="6"/>
  <c r="J140" i="6"/>
  <c r="J12" i="12"/>
  <c r="K28" i="6"/>
  <c r="K131" i="6"/>
  <c r="I151" i="6"/>
  <c r="I64" i="6"/>
  <c r="I65" i="6" s="1"/>
  <c r="L45" i="6"/>
  <c r="L167" i="6"/>
  <c r="M106" i="9"/>
  <c r="M22" i="12"/>
  <c r="I91" i="6" l="1"/>
  <c r="I90" i="6"/>
  <c r="I94" i="6"/>
  <c r="I95" i="6" s="1"/>
  <c r="J14" i="12"/>
  <c r="J13" i="13"/>
  <c r="J15" i="13" s="1"/>
  <c r="J79" i="6"/>
  <c r="J111" i="6"/>
  <c r="K30" i="6"/>
  <c r="M23" i="12"/>
  <c r="K32" i="6" l="1"/>
  <c r="L29" i="6" s="1"/>
  <c r="K31" i="6"/>
  <c r="K33" i="6" s="1"/>
  <c r="K14" i="13"/>
  <c r="J36" i="13"/>
  <c r="J18" i="13"/>
  <c r="J22" i="13" s="1"/>
  <c r="J29" i="13" s="1"/>
  <c r="J58" i="12"/>
  <c r="J82" i="6"/>
  <c r="J83" i="6" s="1"/>
  <c r="J85" i="6" s="1"/>
  <c r="I96" i="6"/>
  <c r="I109" i="6" s="1"/>
  <c r="I110" i="6" s="1"/>
  <c r="M105" i="9"/>
  <c r="M24" i="12"/>
  <c r="K36" i="12" l="1"/>
  <c r="K39" i="12" s="1"/>
  <c r="K173" i="6"/>
  <c r="K190" i="6" s="1"/>
  <c r="K21" i="6"/>
  <c r="J60" i="6"/>
  <c r="J30" i="13"/>
  <c r="J33" i="13"/>
  <c r="J38" i="6"/>
  <c r="K84" i="6"/>
  <c r="K61" i="12"/>
  <c r="K81" i="6"/>
  <c r="M116" i="9"/>
  <c r="M117" i="9" s="1"/>
  <c r="M133" i="9"/>
  <c r="M20" i="12"/>
  <c r="M172" i="6"/>
  <c r="M101" i="6"/>
  <c r="M40" i="12"/>
  <c r="M41" i="12" s="1"/>
  <c r="K22" i="6" l="1"/>
  <c r="K132" i="6"/>
  <c r="K25" i="13"/>
  <c r="J38" i="13"/>
  <c r="J51" i="6"/>
  <c r="J54" i="6" s="1"/>
  <c r="K31" i="13"/>
  <c r="J188" i="6"/>
  <c r="J144" i="6"/>
  <c r="J189" i="6"/>
  <c r="J42" i="6"/>
  <c r="L57" i="12"/>
  <c r="L62" i="12" s="1"/>
  <c r="L19" i="6" s="1"/>
  <c r="K53" i="6"/>
  <c r="M150" i="9"/>
  <c r="M134" i="9"/>
  <c r="M135" i="9" s="1"/>
  <c r="M11" i="12"/>
  <c r="M30" i="12"/>
  <c r="M8" i="12"/>
  <c r="M74" i="6"/>
  <c r="M75" i="6" s="1"/>
  <c r="M102" i="6"/>
  <c r="K9" i="13" l="1"/>
  <c r="K26" i="13" s="1"/>
  <c r="K28" i="13" s="1"/>
  <c r="K99" i="6"/>
  <c r="K104" i="6" s="1"/>
  <c r="K106" i="6" s="1"/>
  <c r="K107" i="6" s="1"/>
  <c r="K182" i="6"/>
  <c r="K181" i="6"/>
  <c r="K159" i="6"/>
  <c r="K133" i="6"/>
  <c r="K69" i="6"/>
  <c r="K72" i="6" s="1"/>
  <c r="J58" i="6"/>
  <c r="J185" i="6" s="1"/>
  <c r="J142" i="6"/>
  <c r="J139" i="6"/>
  <c r="J39" i="13"/>
  <c r="J62" i="6"/>
  <c r="J63" i="6" s="1"/>
  <c r="J46" i="6"/>
  <c r="J141" i="6"/>
  <c r="L130" i="6"/>
  <c r="L20" i="6"/>
  <c r="M151" i="9"/>
  <c r="M198" i="9"/>
  <c r="M199" i="9" s="1"/>
  <c r="M44" i="6" s="1"/>
  <c r="M77" i="6"/>
  <c r="M13" i="12"/>
  <c r="M88" i="6"/>
  <c r="M152" i="6"/>
  <c r="M32" i="12"/>
  <c r="M56" i="6" s="1"/>
  <c r="M57" i="6" s="1"/>
  <c r="N18" i="12"/>
  <c r="N26" i="12" s="1"/>
  <c r="K140" i="6" l="1"/>
  <c r="K12" i="12"/>
  <c r="J149" i="6"/>
  <c r="J151" i="6"/>
  <c r="J187" i="6"/>
  <c r="J64" i="6"/>
  <c r="J65" i="6" s="1"/>
  <c r="J150" i="6"/>
  <c r="J161" i="6"/>
  <c r="J162" i="6"/>
  <c r="J186" i="6"/>
  <c r="J89" i="6"/>
  <c r="J148" i="6"/>
  <c r="J184" i="6"/>
  <c r="J166" i="6"/>
  <c r="J147" i="6"/>
  <c r="J160" i="6"/>
  <c r="J183" i="6"/>
  <c r="L28" i="6"/>
  <c r="L131" i="6"/>
  <c r="M45" i="6"/>
  <c r="M167" i="6"/>
  <c r="N106" i="9"/>
  <c r="N22" i="12"/>
  <c r="K14" i="12" l="1"/>
  <c r="K111" i="6"/>
  <c r="K13" i="13"/>
  <c r="K15" i="13" s="1"/>
  <c r="K79" i="6"/>
  <c r="J90" i="6"/>
  <c r="J91" i="6"/>
  <c r="J94" i="6"/>
  <c r="J95" i="6" s="1"/>
  <c r="L30" i="6"/>
  <c r="N23" i="12"/>
  <c r="K36" i="13" l="1"/>
  <c r="K60" i="6" s="1"/>
  <c r="L14" i="13"/>
  <c r="K18" i="13"/>
  <c r="K22" i="13" s="1"/>
  <c r="K29" i="13" s="1"/>
  <c r="K82" i="6"/>
  <c r="K83" i="6" s="1"/>
  <c r="K85" i="6" s="1"/>
  <c r="K58" i="12"/>
  <c r="J96" i="6"/>
  <c r="J109" i="6" s="1"/>
  <c r="J110" i="6" s="1"/>
  <c r="L32" i="6"/>
  <c r="M29" i="6" s="1"/>
  <c r="L31" i="6"/>
  <c r="L33" i="6" s="1"/>
  <c r="N105" i="9"/>
  <c r="N24" i="12"/>
  <c r="K33" i="13" l="1"/>
  <c r="K30" i="13"/>
  <c r="L84" i="6"/>
  <c r="K38" i="6"/>
  <c r="K144" i="6" s="1"/>
  <c r="L21" i="6"/>
  <c r="L36" i="12"/>
  <c r="L39" i="12" s="1"/>
  <c r="L173" i="6"/>
  <c r="L190" i="6" s="1"/>
  <c r="L61" i="12"/>
  <c r="L81" i="6"/>
  <c r="N116" i="9"/>
  <c r="N117" i="9" s="1"/>
  <c r="N133" i="9"/>
  <c r="N20" i="12"/>
  <c r="N172" i="6"/>
  <c r="N40" i="12"/>
  <c r="N41" i="12" s="1"/>
  <c r="N101" i="6"/>
  <c r="K38" i="13" l="1"/>
  <c r="L25" i="13"/>
  <c r="K51" i="6"/>
  <c r="K54" i="6" s="1"/>
  <c r="K58" i="6" s="1"/>
  <c r="K185" i="6" s="1"/>
  <c r="L31" i="13"/>
  <c r="K42" i="6"/>
  <c r="K188" i="6"/>
  <c r="K189" i="6"/>
  <c r="L22" i="6"/>
  <c r="L132" i="6"/>
  <c r="M57" i="12"/>
  <c r="M62" i="12" s="1"/>
  <c r="M19" i="6" s="1"/>
  <c r="L53" i="6"/>
  <c r="N102" i="6"/>
  <c r="N74" i="6"/>
  <c r="N75" i="6" s="1"/>
  <c r="N8" i="12"/>
  <c r="N134" i="9"/>
  <c r="N135" i="9" s="1"/>
  <c r="N150" i="9"/>
  <c r="N30" i="12"/>
  <c r="N11" i="12"/>
  <c r="K39" i="13" l="1"/>
  <c r="K62" i="6"/>
  <c r="K63" i="6" s="1"/>
  <c r="K139" i="6"/>
  <c r="K142" i="6"/>
  <c r="K46" i="6"/>
  <c r="K149" i="6" s="1"/>
  <c r="K141" i="6"/>
  <c r="L9" i="13"/>
  <c r="L26" i="13" s="1"/>
  <c r="L28" i="13" s="1"/>
  <c r="L159" i="6"/>
  <c r="L69" i="6"/>
  <c r="L72" i="6" s="1"/>
  <c r="L99" i="6"/>
  <c r="L104" i="6" s="1"/>
  <c r="L106" i="6" s="1"/>
  <c r="L107" i="6" s="1"/>
  <c r="L181" i="6"/>
  <c r="L133" i="6"/>
  <c r="L182" i="6"/>
  <c r="M20" i="6"/>
  <c r="M130" i="6"/>
  <c r="N198" i="9"/>
  <c r="N199" i="9" s="1"/>
  <c r="N44" i="6" s="1"/>
  <c r="N151" i="9"/>
  <c r="N88" i="6"/>
  <c r="N152" i="6"/>
  <c r="O18" i="12"/>
  <c r="O26" i="12" s="1"/>
  <c r="N32" i="12"/>
  <c r="N56" i="6" s="1"/>
  <c r="N57" i="6" s="1"/>
  <c r="N77" i="6"/>
  <c r="N13" i="12"/>
  <c r="K150" i="6" l="1"/>
  <c r="K89" i="6"/>
  <c r="K148" i="6"/>
  <c r="K186" i="6"/>
  <c r="K162" i="6"/>
  <c r="K161" i="6"/>
  <c r="K187" i="6"/>
  <c r="K151" i="6"/>
  <c r="K64" i="6"/>
  <c r="K65" i="6" s="1"/>
  <c r="K160" i="6"/>
  <c r="K147" i="6"/>
  <c r="K184" i="6"/>
  <c r="K183" i="6"/>
  <c r="K166" i="6"/>
  <c r="L140" i="6"/>
  <c r="L12" i="12"/>
  <c r="M28" i="6"/>
  <c r="M131" i="6"/>
  <c r="N45" i="6"/>
  <c r="N167" i="6"/>
  <c r="O22" i="12"/>
  <c r="O106" i="9"/>
  <c r="K90" i="6" l="1"/>
  <c r="K94" i="6"/>
  <c r="K95" i="6" s="1"/>
  <c r="K91" i="6"/>
  <c r="L14" i="12"/>
  <c r="L111" i="6"/>
  <c r="L79" i="6"/>
  <c r="L13" i="13"/>
  <c r="L15" i="13" s="1"/>
  <c r="M30" i="6"/>
  <c r="O23" i="12"/>
  <c r="K96" i="6" l="1"/>
  <c r="K109" i="6" s="1"/>
  <c r="K110" i="6" s="1"/>
  <c r="L58" i="12"/>
  <c r="L82" i="6"/>
  <c r="L83" i="6" s="1"/>
  <c r="L85" i="6" s="1"/>
  <c r="L36" i="13"/>
  <c r="M14" i="13"/>
  <c r="L18" i="13"/>
  <c r="L22" i="13" s="1"/>
  <c r="L29" i="13" s="1"/>
  <c r="M32" i="6"/>
  <c r="N29" i="6" s="1"/>
  <c r="M31" i="6"/>
  <c r="M33" i="6" s="1"/>
  <c r="O105" i="9"/>
  <c r="O24" i="12"/>
  <c r="L38" i="6" l="1"/>
  <c r="M84" i="6"/>
  <c r="L60" i="6"/>
  <c r="L30" i="13"/>
  <c r="L33" i="13"/>
  <c r="M36" i="12"/>
  <c r="M39" i="12" s="1"/>
  <c r="M21" i="6"/>
  <c r="M173" i="6"/>
  <c r="M190" i="6" s="1"/>
  <c r="M61" i="12"/>
  <c r="M81" i="6"/>
  <c r="O116" i="9"/>
  <c r="O117" i="9" s="1"/>
  <c r="O133" i="9"/>
  <c r="O20" i="12"/>
  <c r="O101" i="6"/>
  <c r="O172" i="6"/>
  <c r="O40" i="12"/>
  <c r="O41" i="12" s="1"/>
  <c r="L189" i="6" l="1"/>
  <c r="L42" i="6"/>
  <c r="L144" i="6"/>
  <c r="L188" i="6"/>
  <c r="M25" i="13"/>
  <c r="L38" i="13"/>
  <c r="M31" i="13"/>
  <c r="L51" i="6"/>
  <c r="L54" i="6" s="1"/>
  <c r="M22" i="6"/>
  <c r="M132" i="6"/>
  <c r="N57" i="12"/>
  <c r="N62" i="12" s="1"/>
  <c r="N19" i="6" s="1"/>
  <c r="M53" i="6"/>
  <c r="O8" i="12"/>
  <c r="O74" i="6"/>
  <c r="O75" i="6" s="1"/>
  <c r="O102" i="6"/>
  <c r="O11" i="12"/>
  <c r="O30" i="12"/>
  <c r="O134" i="9"/>
  <c r="O135" i="9" s="1"/>
  <c r="O150" i="9"/>
  <c r="L141" i="6" l="1"/>
  <c r="L46" i="6"/>
  <c r="L39" i="13"/>
  <c r="L62" i="6"/>
  <c r="L63" i="6" s="1"/>
  <c r="M182" i="6"/>
  <c r="M99" i="6"/>
  <c r="M104" i="6" s="1"/>
  <c r="M106" i="6" s="1"/>
  <c r="M107" i="6" s="1"/>
  <c r="M133" i="6"/>
  <c r="M181" i="6"/>
  <c r="M69" i="6"/>
  <c r="M72" i="6" s="1"/>
  <c r="M9" i="13"/>
  <c r="M26" i="13" s="1"/>
  <c r="M28" i="13" s="1"/>
  <c r="M159" i="6"/>
  <c r="L58" i="6"/>
  <c r="L139" i="6"/>
  <c r="L142" i="6"/>
  <c r="N130" i="6"/>
  <c r="N20" i="6"/>
  <c r="O77" i="6"/>
  <c r="O13" i="12"/>
  <c r="O88" i="6"/>
  <c r="P18" i="12"/>
  <c r="P26" i="12" s="1"/>
  <c r="O152" i="6"/>
  <c r="O32" i="12"/>
  <c r="O56" i="6" s="1"/>
  <c r="O57" i="6" s="1"/>
  <c r="O151" i="9"/>
  <c r="O198" i="9"/>
  <c r="O199" i="9" s="1"/>
  <c r="O44" i="6" s="1"/>
  <c r="L166" i="6" l="1"/>
  <c r="L184" i="6"/>
  <c r="L160" i="6"/>
  <c r="L147" i="6"/>
  <c r="L183" i="6"/>
  <c r="L150" i="6"/>
  <c r="L162" i="6"/>
  <c r="L148" i="6"/>
  <c r="L186" i="6"/>
  <c r="L161" i="6"/>
  <c r="L89" i="6"/>
  <c r="M140" i="6"/>
  <c r="M12" i="12"/>
  <c r="L151" i="6"/>
  <c r="L187" i="6"/>
  <c r="L64" i="6"/>
  <c r="L65" i="6" s="1"/>
  <c r="L185" i="6"/>
  <c r="L149" i="6"/>
  <c r="N131" i="6"/>
  <c r="N28" i="6"/>
  <c r="P106" i="9"/>
  <c r="P22" i="12"/>
  <c r="O167" i="6"/>
  <c r="O45" i="6"/>
  <c r="L91" i="6" l="1"/>
  <c r="L90" i="6"/>
  <c r="L94" i="6"/>
  <c r="L95" i="6" s="1"/>
  <c r="M14" i="12"/>
  <c r="M111" i="6"/>
  <c r="M13" i="13"/>
  <c r="M15" i="13" s="1"/>
  <c r="M79" i="6"/>
  <c r="N30" i="6"/>
  <c r="P23" i="12"/>
  <c r="N14" i="13" l="1"/>
  <c r="M36" i="13"/>
  <c r="M18" i="13"/>
  <c r="M22" i="13" s="1"/>
  <c r="M29" i="13" s="1"/>
  <c r="M58" i="12"/>
  <c r="M82" i="6"/>
  <c r="M83" i="6" s="1"/>
  <c r="M85" i="6" s="1"/>
  <c r="L96" i="6"/>
  <c r="L109" i="6" s="1"/>
  <c r="L110" i="6" s="1"/>
  <c r="N32" i="6"/>
  <c r="O29" i="6" s="1"/>
  <c r="N31" i="6"/>
  <c r="N33" i="6" s="1"/>
  <c r="P105" i="9"/>
  <c r="P24" i="12"/>
  <c r="M60" i="6" l="1"/>
  <c r="M30" i="13"/>
  <c r="M33" i="13"/>
  <c r="M38" i="6"/>
  <c r="N84" i="6"/>
  <c r="N36" i="12"/>
  <c r="N39" i="12" s="1"/>
  <c r="N173" i="6"/>
  <c r="N190" i="6" s="1"/>
  <c r="N21" i="6"/>
  <c r="N61" i="12"/>
  <c r="N81" i="6"/>
  <c r="P116" i="9"/>
  <c r="P117" i="9" s="1"/>
  <c r="P133" i="9"/>
  <c r="P20" i="12"/>
  <c r="P172" i="6"/>
  <c r="P40" i="12"/>
  <c r="P41" i="12" s="1"/>
  <c r="P101" i="6"/>
  <c r="M38" i="13" l="1"/>
  <c r="N25" i="13"/>
  <c r="M51" i="6"/>
  <c r="M54" i="6" s="1"/>
  <c r="M142" i="6" s="1"/>
  <c r="N31" i="13"/>
  <c r="M42" i="6"/>
  <c r="M144" i="6"/>
  <c r="M189" i="6"/>
  <c r="M188" i="6"/>
  <c r="N22" i="6"/>
  <c r="N132" i="6"/>
  <c r="O57" i="12"/>
  <c r="O62" i="12" s="1"/>
  <c r="O19" i="6" s="1"/>
  <c r="N53" i="6"/>
  <c r="P11" i="12"/>
  <c r="P30" i="12"/>
  <c r="P134" i="9"/>
  <c r="P135" i="9" s="1"/>
  <c r="P150" i="9"/>
  <c r="P8" i="12"/>
  <c r="P102" i="6"/>
  <c r="P74" i="6"/>
  <c r="P75" i="6" s="1"/>
  <c r="M39" i="13" l="1"/>
  <c r="M62" i="6"/>
  <c r="M63" i="6" s="1"/>
  <c r="M46" i="6"/>
  <c r="M141" i="6"/>
  <c r="N182" i="6"/>
  <c r="N99" i="6"/>
  <c r="N104" i="6" s="1"/>
  <c r="N106" i="6" s="1"/>
  <c r="N107" i="6" s="1"/>
  <c r="N159" i="6"/>
  <c r="N133" i="6"/>
  <c r="N69" i="6"/>
  <c r="N72" i="6" s="1"/>
  <c r="N181" i="6"/>
  <c r="N9" i="13"/>
  <c r="N26" i="13" s="1"/>
  <c r="N28" i="13" s="1"/>
  <c r="M58" i="6"/>
  <c r="M139" i="6"/>
  <c r="O130" i="6"/>
  <c r="O20" i="6"/>
  <c r="P77" i="6"/>
  <c r="P13" i="12"/>
  <c r="P88" i="6"/>
  <c r="P152" i="6"/>
  <c r="Q18" i="12"/>
  <c r="Q26" i="12" s="1"/>
  <c r="P32" i="12"/>
  <c r="P56" i="6" s="1"/>
  <c r="P57" i="6" s="1"/>
  <c r="P151" i="9"/>
  <c r="P198" i="9"/>
  <c r="P199" i="9" s="1"/>
  <c r="P44" i="6" s="1"/>
  <c r="M150" i="6" l="1"/>
  <c r="M89" i="6"/>
  <c r="M162" i="6"/>
  <c r="M148" i="6"/>
  <c r="M186" i="6"/>
  <c r="M161" i="6"/>
  <c r="M184" i="6"/>
  <c r="M166" i="6"/>
  <c r="M160" i="6"/>
  <c r="M147" i="6"/>
  <c r="M183" i="6"/>
  <c r="N140" i="6"/>
  <c r="N12" i="12"/>
  <c r="M64" i="6"/>
  <c r="M65" i="6" s="1"/>
  <c r="M187" i="6"/>
  <c r="M185" i="6"/>
  <c r="M151" i="6"/>
  <c r="M149" i="6"/>
  <c r="O28" i="6"/>
  <c r="O131" i="6"/>
  <c r="Q22" i="12"/>
  <c r="Q106" i="9"/>
  <c r="P167" i="6"/>
  <c r="P45" i="6"/>
  <c r="M91" i="6" l="1"/>
  <c r="M90" i="6"/>
  <c r="M94" i="6"/>
  <c r="M95" i="6" s="1"/>
  <c r="N14" i="12"/>
  <c r="N111" i="6"/>
  <c r="N13" i="13"/>
  <c r="N15" i="13" s="1"/>
  <c r="N79" i="6"/>
  <c r="O30" i="6"/>
  <c r="Q23" i="12"/>
  <c r="M96" i="6" l="1"/>
  <c r="M109" i="6" s="1"/>
  <c r="M110" i="6" s="1"/>
  <c r="O14" i="13"/>
  <c r="N36" i="13"/>
  <c r="N18" i="13"/>
  <c r="N22" i="13" s="1"/>
  <c r="N29" i="13" s="1"/>
  <c r="N58" i="12"/>
  <c r="N82" i="6"/>
  <c r="N83" i="6" s="1"/>
  <c r="N85" i="6" s="1"/>
  <c r="O32" i="6"/>
  <c r="P29" i="6" s="1"/>
  <c r="O31" i="6"/>
  <c r="O33" i="6" s="1"/>
  <c r="Q105" i="9"/>
  <c r="Q24" i="12"/>
  <c r="N60" i="6" l="1"/>
  <c r="N30" i="13"/>
  <c r="N33" i="13"/>
  <c r="N38" i="6"/>
  <c r="O84" i="6"/>
  <c r="O21" i="6"/>
  <c r="O173" i="6"/>
  <c r="O190" i="6" s="1"/>
  <c r="O36" i="12"/>
  <c r="O39" i="12" s="1"/>
  <c r="O61" i="12"/>
  <c r="O81" i="6"/>
  <c r="Q116" i="9"/>
  <c r="Q117" i="9" s="1"/>
  <c r="Q133" i="9"/>
  <c r="Q20" i="12"/>
  <c r="Q172" i="6"/>
  <c r="Q40" i="12"/>
  <c r="Q41" i="12" s="1"/>
  <c r="Q101" i="6"/>
  <c r="O25" i="13" l="1"/>
  <c r="N38" i="13"/>
  <c r="O31" i="13"/>
  <c r="N51" i="6"/>
  <c r="N54" i="6" s="1"/>
  <c r="N189" i="6"/>
  <c r="N144" i="6"/>
  <c r="N42" i="6"/>
  <c r="N188" i="6"/>
  <c r="O22" i="6"/>
  <c r="O132" i="6"/>
  <c r="P57" i="12"/>
  <c r="P62" i="12" s="1"/>
  <c r="P19" i="6" s="1"/>
  <c r="O53" i="6"/>
  <c r="Q134" i="9"/>
  <c r="Q135" i="9" s="1"/>
  <c r="Q150" i="9"/>
  <c r="Q11" i="12"/>
  <c r="Q30" i="12"/>
  <c r="Q74" i="6"/>
  <c r="Q75" i="6" s="1"/>
  <c r="Q102" i="6"/>
  <c r="Q8" i="12"/>
  <c r="N58" i="6" l="1"/>
  <c r="N185" i="6" s="1"/>
  <c r="N142" i="6"/>
  <c r="N139" i="6"/>
  <c r="N39" i="13"/>
  <c r="N62" i="6"/>
  <c r="N63" i="6" s="1"/>
  <c r="N46" i="6"/>
  <c r="N141" i="6"/>
  <c r="O99" i="6"/>
  <c r="O104" i="6" s="1"/>
  <c r="O106" i="6" s="1"/>
  <c r="O107" i="6" s="1"/>
  <c r="O9" i="13"/>
  <c r="O26" i="13" s="1"/>
  <c r="O28" i="13" s="1"/>
  <c r="O69" i="6"/>
  <c r="O72" i="6" s="1"/>
  <c r="O133" i="6"/>
  <c r="O181" i="6"/>
  <c r="O159" i="6"/>
  <c r="O182" i="6"/>
  <c r="P130" i="6"/>
  <c r="P20" i="6"/>
  <c r="Q198" i="9"/>
  <c r="Q199" i="9" s="1"/>
  <c r="Q44" i="6" s="1"/>
  <c r="Q151" i="9"/>
  <c r="Q77" i="6"/>
  <c r="Q13" i="12"/>
  <c r="Q88" i="6"/>
  <c r="Q32" i="12"/>
  <c r="Q56" i="6" s="1"/>
  <c r="Q57" i="6" s="1"/>
  <c r="Q152" i="6"/>
  <c r="R18" i="12"/>
  <c r="R26" i="12" s="1"/>
  <c r="N149" i="6" l="1"/>
  <c r="N64" i="6"/>
  <c r="N65" i="6" s="1"/>
  <c r="N151" i="6"/>
  <c r="N187" i="6"/>
  <c r="N150" i="6"/>
  <c r="N89" i="6"/>
  <c r="N162" i="6"/>
  <c r="N148" i="6"/>
  <c r="N161" i="6"/>
  <c r="N186" i="6"/>
  <c r="N184" i="6"/>
  <c r="N183" i="6"/>
  <c r="N166" i="6"/>
  <c r="N147" i="6"/>
  <c r="N160" i="6"/>
  <c r="O140" i="6"/>
  <c r="O12" i="12"/>
  <c r="P131" i="6"/>
  <c r="P28" i="6"/>
  <c r="Q167" i="6"/>
  <c r="Q45" i="6"/>
  <c r="R106" i="9"/>
  <c r="R22" i="12"/>
  <c r="N94" i="6" l="1"/>
  <c r="N95" i="6" s="1"/>
  <c r="N91" i="6"/>
  <c r="N90" i="6"/>
  <c r="O14" i="12"/>
  <c r="O111" i="6"/>
  <c r="O79" i="6"/>
  <c r="O13" i="13"/>
  <c r="O15" i="13" s="1"/>
  <c r="P30" i="6"/>
  <c r="R23" i="12"/>
  <c r="P32" i="6" l="1"/>
  <c r="Q29" i="6" s="1"/>
  <c r="P31" i="6"/>
  <c r="P33" i="6" s="1"/>
  <c r="O58" i="12"/>
  <c r="O82" i="6"/>
  <c r="O83" i="6" s="1"/>
  <c r="O85" i="6" s="1"/>
  <c r="P14" i="13"/>
  <c r="O36" i="13"/>
  <c r="O18" i="13"/>
  <c r="O22" i="13" s="1"/>
  <c r="O29" i="13" s="1"/>
  <c r="N96" i="6"/>
  <c r="N109" i="6" s="1"/>
  <c r="N110" i="6" s="1"/>
  <c r="R105" i="9"/>
  <c r="R24" i="12"/>
  <c r="P21" i="6" l="1"/>
  <c r="P173" i="6"/>
  <c r="P190" i="6" s="1"/>
  <c r="P36" i="12"/>
  <c r="P39" i="12" s="1"/>
  <c r="O38" i="6"/>
  <c r="P84" i="6"/>
  <c r="O60" i="6"/>
  <c r="O30" i="13"/>
  <c r="O33" i="13"/>
  <c r="P61" i="12"/>
  <c r="P81" i="6"/>
  <c r="R116" i="9"/>
  <c r="R117" i="9" s="1"/>
  <c r="R133" i="9"/>
  <c r="R20" i="12"/>
  <c r="R40" i="12"/>
  <c r="R41" i="12" s="1"/>
  <c r="R172" i="6"/>
  <c r="R101" i="6"/>
  <c r="P132" i="6" l="1"/>
  <c r="P22" i="6"/>
  <c r="O189" i="6"/>
  <c r="O42" i="6"/>
  <c r="O144" i="6"/>
  <c r="O188" i="6"/>
  <c r="P25" i="13"/>
  <c r="O38" i="13"/>
  <c r="P31" i="13"/>
  <c r="O51" i="6"/>
  <c r="O54" i="6" s="1"/>
  <c r="O142" i="6" s="1"/>
  <c r="Q57" i="12"/>
  <c r="Q62" i="12" s="1"/>
  <c r="Q19" i="6" s="1"/>
  <c r="P53" i="6"/>
  <c r="R11" i="12"/>
  <c r="R30" i="12"/>
  <c r="R8" i="12"/>
  <c r="R102" i="6"/>
  <c r="R74" i="6"/>
  <c r="R75" i="6" s="1"/>
  <c r="R134" i="9"/>
  <c r="R135" i="9" s="1"/>
  <c r="R150" i="9"/>
  <c r="P181" i="6" l="1"/>
  <c r="P133" i="6"/>
  <c r="P159" i="6"/>
  <c r="P182" i="6"/>
  <c r="P99" i="6"/>
  <c r="P104" i="6" s="1"/>
  <c r="P106" i="6" s="1"/>
  <c r="P107" i="6" s="1"/>
  <c r="P9" i="13"/>
  <c r="P26" i="13" s="1"/>
  <c r="P28" i="13" s="1"/>
  <c r="P69" i="6"/>
  <c r="P72" i="6" s="1"/>
  <c r="O58" i="6"/>
  <c r="O185" i="6" s="1"/>
  <c r="O139" i="6"/>
  <c r="O141" i="6"/>
  <c r="O46" i="6"/>
  <c r="O39" i="13"/>
  <c r="O62" i="6"/>
  <c r="O63" i="6" s="1"/>
  <c r="Q20" i="6"/>
  <c r="Q130" i="6"/>
  <c r="R77" i="6"/>
  <c r="R13" i="12"/>
  <c r="R88" i="6"/>
  <c r="R32" i="12"/>
  <c r="R56" i="6" s="1"/>
  <c r="R57" i="6" s="1"/>
  <c r="R152" i="6"/>
  <c r="S18" i="12"/>
  <c r="S26" i="12" s="1"/>
  <c r="R198" i="9"/>
  <c r="R199" i="9" s="1"/>
  <c r="R44" i="6" s="1"/>
  <c r="R151" i="9"/>
  <c r="P140" i="6" l="1"/>
  <c r="P12" i="12"/>
  <c r="O149" i="6"/>
  <c r="O151" i="6"/>
  <c r="O64" i="6"/>
  <c r="O65" i="6" s="1"/>
  <c r="O183" i="6"/>
  <c r="O147" i="6"/>
  <c r="O166" i="6"/>
  <c r="O184" i="6"/>
  <c r="O160" i="6"/>
  <c r="O150" i="6"/>
  <c r="O161" i="6"/>
  <c r="O89" i="6"/>
  <c r="O148" i="6"/>
  <c r="O162" i="6"/>
  <c r="O186" i="6"/>
  <c r="Q131" i="6"/>
  <c r="Q28" i="6"/>
  <c r="O187" i="6"/>
  <c r="S22" i="12"/>
  <c r="S106" i="9"/>
  <c r="R45" i="6"/>
  <c r="R167" i="6"/>
  <c r="P14" i="12" l="1"/>
  <c r="P79" i="6"/>
  <c r="P111" i="6"/>
  <c r="P13" i="13"/>
  <c r="P15" i="13" s="1"/>
  <c r="O94" i="6"/>
  <c r="O95" i="6" s="1"/>
  <c r="O91" i="6"/>
  <c r="O90" i="6"/>
  <c r="Q30" i="6"/>
  <c r="S23" i="12"/>
  <c r="P58" i="12" l="1"/>
  <c r="P82" i="6"/>
  <c r="P83" i="6" s="1"/>
  <c r="P85" i="6" s="1"/>
  <c r="Q14" i="13"/>
  <c r="P36" i="13"/>
  <c r="P60" i="6" s="1"/>
  <c r="P18" i="13"/>
  <c r="P22" i="13" s="1"/>
  <c r="P29" i="13" s="1"/>
  <c r="O96" i="6"/>
  <c r="O109" i="6" s="1"/>
  <c r="O110" i="6" s="1"/>
  <c r="Q32" i="6"/>
  <c r="R29" i="6" s="1"/>
  <c r="Q31" i="6"/>
  <c r="Q33" i="6" s="1"/>
  <c r="S105" i="9"/>
  <c r="S24" i="12"/>
  <c r="Q84" i="6" l="1"/>
  <c r="P38" i="6"/>
  <c r="P30" i="13"/>
  <c r="P33" i="13"/>
  <c r="Q173" i="6"/>
  <c r="Q190" i="6" s="1"/>
  <c r="Q36" i="12"/>
  <c r="Q39" i="12" s="1"/>
  <c r="Q21" i="6"/>
  <c r="Q61" i="12"/>
  <c r="Q81" i="6"/>
  <c r="S116" i="9"/>
  <c r="S117" i="9" s="1"/>
  <c r="S133" i="9"/>
  <c r="S20" i="12"/>
  <c r="S101" i="6"/>
  <c r="S40" i="12"/>
  <c r="S41" i="12" s="1"/>
  <c r="S172" i="6"/>
  <c r="P189" i="6" l="1"/>
  <c r="P144" i="6"/>
  <c r="P188" i="6"/>
  <c r="P42" i="6"/>
  <c r="P38" i="13"/>
  <c r="Q25" i="13"/>
  <c r="P51" i="6"/>
  <c r="P54" i="6" s="1"/>
  <c r="Q31" i="13"/>
  <c r="Q22" i="6"/>
  <c r="Q132" i="6"/>
  <c r="R57" i="12"/>
  <c r="R62" i="12" s="1"/>
  <c r="R19" i="6" s="1"/>
  <c r="Q53" i="6"/>
  <c r="S11" i="12"/>
  <c r="S30" i="12"/>
  <c r="S134" i="9"/>
  <c r="S135" i="9" s="1"/>
  <c r="S150" i="9"/>
  <c r="S8" i="12"/>
  <c r="S102" i="6"/>
  <c r="S74" i="6"/>
  <c r="S75" i="6" s="1"/>
  <c r="P39" i="13" l="1"/>
  <c r="P62" i="6"/>
  <c r="P63" i="6" s="1"/>
  <c r="P89" i="6" s="1"/>
  <c r="P58" i="6"/>
  <c r="P142" i="6"/>
  <c r="P139" i="6"/>
  <c r="P141" i="6"/>
  <c r="P46" i="6"/>
  <c r="Q182" i="6"/>
  <c r="Q181" i="6"/>
  <c r="Q159" i="6"/>
  <c r="Q133" i="6"/>
  <c r="Q99" i="6"/>
  <c r="Q104" i="6" s="1"/>
  <c r="Q106" i="6" s="1"/>
  <c r="Q107" i="6" s="1"/>
  <c r="Q9" i="13"/>
  <c r="Q26" i="13" s="1"/>
  <c r="Q28" i="13" s="1"/>
  <c r="Q69" i="6"/>
  <c r="Q72" i="6" s="1"/>
  <c r="R20" i="6"/>
  <c r="R130" i="6"/>
  <c r="S77" i="6"/>
  <c r="S13" i="12"/>
  <c r="S88" i="6"/>
  <c r="S152" i="6"/>
  <c r="T18" i="12"/>
  <c r="T26" i="12" s="1"/>
  <c r="S32" i="12"/>
  <c r="S56" i="6" s="1"/>
  <c r="S57" i="6" s="1"/>
  <c r="S151" i="9"/>
  <c r="S198" i="9"/>
  <c r="S199" i="9" s="1"/>
  <c r="S44" i="6" s="1"/>
  <c r="P186" i="6" l="1"/>
  <c r="P161" i="6"/>
  <c r="P162" i="6"/>
  <c r="P148" i="6"/>
  <c r="P64" i="6"/>
  <c r="P65" i="6" s="1"/>
  <c r="P151" i="6"/>
  <c r="P187" i="6"/>
  <c r="P185" i="6"/>
  <c r="P160" i="6"/>
  <c r="P184" i="6"/>
  <c r="P147" i="6"/>
  <c r="P166" i="6"/>
  <c r="P183" i="6"/>
  <c r="P150" i="6"/>
  <c r="P149" i="6"/>
  <c r="P90" i="6"/>
  <c r="P91" i="6"/>
  <c r="P94" i="6"/>
  <c r="P95" i="6" s="1"/>
  <c r="Q140" i="6"/>
  <c r="Q12" i="12"/>
  <c r="R131" i="6"/>
  <c r="R28" i="6"/>
  <c r="T22" i="12"/>
  <c r="T106" i="9"/>
  <c r="S167" i="6"/>
  <c r="S45" i="6"/>
  <c r="Q14" i="12" l="1"/>
  <c r="Q79" i="6"/>
  <c r="Q13" i="13"/>
  <c r="Q15" i="13" s="1"/>
  <c r="Q111" i="6"/>
  <c r="R30" i="6"/>
  <c r="P96" i="6"/>
  <c r="P109" i="6" s="1"/>
  <c r="P110" i="6" s="1"/>
  <c r="T23" i="12"/>
  <c r="Q58" i="12" l="1"/>
  <c r="Q82" i="6"/>
  <c r="Q83" i="6" s="1"/>
  <c r="Q85" i="6" s="1"/>
  <c r="R14" i="13"/>
  <c r="Q36" i="13"/>
  <c r="Q18" i="13"/>
  <c r="Q22" i="13" s="1"/>
  <c r="Q29" i="13" s="1"/>
  <c r="R32" i="6"/>
  <c r="S29" i="6" s="1"/>
  <c r="R31" i="6"/>
  <c r="R33" i="6" s="1"/>
  <c r="T105" i="9"/>
  <c r="T24" i="12"/>
  <c r="R84" i="6" l="1"/>
  <c r="Q38" i="6"/>
  <c r="Q60" i="6"/>
  <c r="Q30" i="13"/>
  <c r="Q33" i="13"/>
  <c r="R21" i="6"/>
  <c r="R173" i="6"/>
  <c r="R190" i="6" s="1"/>
  <c r="R36" i="12"/>
  <c r="R39" i="12" s="1"/>
  <c r="R61" i="12"/>
  <c r="R81" i="6"/>
  <c r="T116" i="9"/>
  <c r="T117" i="9" s="1"/>
  <c r="T133" i="9"/>
  <c r="T20" i="12"/>
  <c r="T40" i="12"/>
  <c r="T41" i="12" s="1"/>
  <c r="T101" i="6"/>
  <c r="T172" i="6"/>
  <c r="Q42" i="6" l="1"/>
  <c r="Q144" i="6"/>
  <c r="Q189" i="6"/>
  <c r="Q188" i="6"/>
  <c r="Q38" i="13"/>
  <c r="R25" i="13"/>
  <c r="Q51" i="6"/>
  <c r="Q54" i="6" s="1"/>
  <c r="R31" i="13"/>
  <c r="R22" i="6"/>
  <c r="R132" i="6"/>
  <c r="S57" i="12"/>
  <c r="S62" i="12" s="1"/>
  <c r="S19" i="6" s="1"/>
  <c r="R53" i="6"/>
  <c r="T74" i="6"/>
  <c r="T75" i="6" s="1"/>
  <c r="T8" i="12"/>
  <c r="T102" i="6"/>
  <c r="T150" i="9"/>
  <c r="T134" i="9"/>
  <c r="T135" i="9" s="1"/>
  <c r="T11" i="12"/>
  <c r="T30" i="12"/>
  <c r="Q58" i="6" l="1"/>
  <c r="Q142" i="6"/>
  <c r="Q139" i="6"/>
  <c r="Q141" i="6"/>
  <c r="Q46" i="6"/>
  <c r="Q39" i="13"/>
  <c r="Q62" i="6"/>
  <c r="Q63" i="6" s="1"/>
  <c r="R182" i="6"/>
  <c r="R69" i="6"/>
  <c r="R72" i="6" s="1"/>
  <c r="R181" i="6"/>
  <c r="R9" i="13"/>
  <c r="R26" i="13" s="1"/>
  <c r="R28" i="13" s="1"/>
  <c r="R99" i="6"/>
  <c r="R104" i="6" s="1"/>
  <c r="R106" i="6" s="1"/>
  <c r="R107" i="6" s="1"/>
  <c r="R133" i="6"/>
  <c r="R159" i="6"/>
  <c r="S130" i="6"/>
  <c r="S20" i="6"/>
  <c r="T198" i="9"/>
  <c r="T199" i="9" s="1"/>
  <c r="T44" i="6" s="1"/>
  <c r="T151" i="9"/>
  <c r="T77" i="6"/>
  <c r="T13" i="12"/>
  <c r="T88" i="6"/>
  <c r="T152" i="6"/>
  <c r="U18" i="12"/>
  <c r="U26" i="12" s="1"/>
  <c r="T32" i="12"/>
  <c r="T56" i="6" s="1"/>
  <c r="T57" i="6" s="1"/>
  <c r="Q149" i="6" l="1"/>
  <c r="Q151" i="6"/>
  <c r="Q187" i="6"/>
  <c r="Q64" i="6"/>
  <c r="Q65" i="6" s="1"/>
  <c r="Q185" i="6"/>
  <c r="Q147" i="6"/>
  <c r="Q166" i="6"/>
  <c r="Q183" i="6"/>
  <c r="Q184" i="6"/>
  <c r="Q160" i="6"/>
  <c r="Q150" i="6"/>
  <c r="Q89" i="6"/>
  <c r="Q162" i="6"/>
  <c r="Q148" i="6"/>
  <c r="Q161" i="6"/>
  <c r="Q186" i="6"/>
  <c r="R140" i="6"/>
  <c r="R12" i="12"/>
  <c r="S131" i="6"/>
  <c r="S28" i="6"/>
  <c r="T45" i="6"/>
  <c r="T167" i="6"/>
  <c r="U22" i="12"/>
  <c r="U106" i="9"/>
  <c r="Q90" i="6" l="1"/>
  <c r="Q91" i="6"/>
  <c r="Q94" i="6"/>
  <c r="Q95" i="6" s="1"/>
  <c r="R14" i="12"/>
  <c r="R111" i="6"/>
  <c r="R79" i="6"/>
  <c r="R13" i="13"/>
  <c r="R15" i="13" s="1"/>
  <c r="S30" i="6"/>
  <c r="U23" i="12"/>
  <c r="R58" i="12" l="1"/>
  <c r="R82" i="6"/>
  <c r="R83" i="6" s="1"/>
  <c r="R85" i="6" s="1"/>
  <c r="S14" i="13"/>
  <c r="R18" i="13"/>
  <c r="R22" i="13" s="1"/>
  <c r="R29" i="13" s="1"/>
  <c r="R36" i="13"/>
  <c r="Q96" i="6"/>
  <c r="Q109" i="6" s="1"/>
  <c r="Q110" i="6" s="1"/>
  <c r="S32" i="6"/>
  <c r="T29" i="6" s="1"/>
  <c r="S31" i="6"/>
  <c r="S33" i="6" s="1"/>
  <c r="U105" i="9"/>
  <c r="U24" i="12"/>
  <c r="S84" i="6" l="1"/>
  <c r="R38" i="6"/>
  <c r="R30" i="13"/>
  <c r="R33" i="13"/>
  <c r="R60" i="6"/>
  <c r="S36" i="12"/>
  <c r="S39" i="12" s="1"/>
  <c r="S173" i="6"/>
  <c r="S190" i="6" s="1"/>
  <c r="S21" i="6"/>
  <c r="S61" i="12"/>
  <c r="S81" i="6"/>
  <c r="U116" i="9"/>
  <c r="U117" i="9" s="1"/>
  <c r="U133" i="9"/>
  <c r="U20" i="12"/>
  <c r="U172" i="6"/>
  <c r="U101" i="6"/>
  <c r="U40" i="12"/>
  <c r="U41" i="12" s="1"/>
  <c r="R42" i="6" l="1"/>
  <c r="R188" i="6"/>
  <c r="R189" i="6"/>
  <c r="R144" i="6"/>
  <c r="R38" i="13"/>
  <c r="S25" i="13"/>
  <c r="S31" i="13"/>
  <c r="R51" i="6"/>
  <c r="R54" i="6" s="1"/>
  <c r="S22" i="6"/>
  <c r="S132" i="6"/>
  <c r="T57" i="12"/>
  <c r="T62" i="12" s="1"/>
  <c r="T19" i="6" s="1"/>
  <c r="S53" i="6"/>
  <c r="U30" i="12"/>
  <c r="U11" i="12"/>
  <c r="U150" i="9"/>
  <c r="U134" i="9"/>
  <c r="U135" i="9" s="1"/>
  <c r="U8" i="12"/>
  <c r="U102" i="6"/>
  <c r="U74" i="6"/>
  <c r="U75" i="6" s="1"/>
  <c r="R46" i="6" l="1"/>
  <c r="R141" i="6"/>
  <c r="R39" i="13"/>
  <c r="R62" i="6"/>
  <c r="R63" i="6" s="1"/>
  <c r="S182" i="6"/>
  <c r="S181" i="6"/>
  <c r="S159" i="6"/>
  <c r="S69" i="6"/>
  <c r="S72" i="6" s="1"/>
  <c r="S99" i="6"/>
  <c r="S104" i="6" s="1"/>
  <c r="S106" i="6" s="1"/>
  <c r="S107" i="6" s="1"/>
  <c r="S133" i="6"/>
  <c r="S9" i="13"/>
  <c r="S26" i="13" s="1"/>
  <c r="S28" i="13" s="1"/>
  <c r="R58" i="6"/>
  <c r="R139" i="6"/>
  <c r="R142" i="6"/>
  <c r="T130" i="6"/>
  <c r="T20" i="6"/>
  <c r="U88" i="6"/>
  <c r="U152" i="6"/>
  <c r="V18" i="12"/>
  <c r="V26" i="12" s="1"/>
  <c r="U32" i="12"/>
  <c r="U56" i="6" s="1"/>
  <c r="U57" i="6" s="1"/>
  <c r="U77" i="6"/>
  <c r="U13" i="12"/>
  <c r="U198" i="9"/>
  <c r="U199" i="9" s="1"/>
  <c r="U44" i="6" s="1"/>
  <c r="U151" i="9"/>
  <c r="R147" i="6" l="1"/>
  <c r="R160" i="6"/>
  <c r="R183" i="6"/>
  <c r="R184" i="6"/>
  <c r="R166" i="6"/>
  <c r="R150" i="6"/>
  <c r="R186" i="6"/>
  <c r="R161" i="6"/>
  <c r="R89" i="6"/>
  <c r="R162" i="6"/>
  <c r="R148" i="6"/>
  <c r="S140" i="6"/>
  <c r="S12" i="12"/>
  <c r="R151" i="6"/>
  <c r="R64" i="6"/>
  <c r="R65" i="6" s="1"/>
  <c r="R185" i="6"/>
  <c r="R187" i="6"/>
  <c r="R149" i="6"/>
  <c r="T28" i="6"/>
  <c r="T131" i="6"/>
  <c r="V22" i="12"/>
  <c r="V106" i="9"/>
  <c r="U45" i="6"/>
  <c r="U167" i="6"/>
  <c r="R91" i="6" l="1"/>
  <c r="R94" i="6"/>
  <c r="R95" i="6" s="1"/>
  <c r="R90" i="6"/>
  <c r="S14" i="12"/>
  <c r="S111" i="6"/>
  <c r="S13" i="13"/>
  <c r="S15" i="13" s="1"/>
  <c r="S79" i="6"/>
  <c r="T30" i="6"/>
  <c r="V23" i="12"/>
  <c r="T14" i="13" l="1"/>
  <c r="S36" i="13"/>
  <c r="S18" i="13"/>
  <c r="S22" i="13" s="1"/>
  <c r="S29" i="13" s="1"/>
  <c r="S58" i="12"/>
  <c r="S82" i="6"/>
  <c r="S83" i="6" s="1"/>
  <c r="S85" i="6" s="1"/>
  <c r="R96" i="6"/>
  <c r="R109" i="6" s="1"/>
  <c r="R110" i="6" s="1"/>
  <c r="T32" i="6"/>
  <c r="U29" i="6" s="1"/>
  <c r="T31" i="6"/>
  <c r="T33" i="6" s="1"/>
  <c r="V105" i="9"/>
  <c r="V24" i="12"/>
  <c r="S60" i="6" l="1"/>
  <c r="S30" i="13"/>
  <c r="S33" i="13"/>
  <c r="T84" i="6"/>
  <c r="S38" i="6"/>
  <c r="T21" i="6"/>
  <c r="T36" i="12"/>
  <c r="T39" i="12" s="1"/>
  <c r="T173" i="6"/>
  <c r="T190" i="6" s="1"/>
  <c r="T61" i="12"/>
  <c r="T81" i="6"/>
  <c r="V116" i="9"/>
  <c r="V117" i="9" s="1"/>
  <c r="V133" i="9"/>
  <c r="V20" i="12"/>
  <c r="V172" i="6"/>
  <c r="V40" i="12"/>
  <c r="V41" i="12" s="1"/>
  <c r="V101" i="6"/>
  <c r="T25" i="13" l="1"/>
  <c r="S38" i="13"/>
  <c r="S51" i="6"/>
  <c r="S54" i="6" s="1"/>
  <c r="T31" i="13"/>
  <c r="S188" i="6"/>
  <c r="S144" i="6"/>
  <c r="S42" i="6"/>
  <c r="S189" i="6"/>
  <c r="T22" i="6"/>
  <c r="T132" i="6"/>
  <c r="U57" i="12"/>
  <c r="U62" i="12" s="1"/>
  <c r="U19" i="6" s="1"/>
  <c r="T53" i="6"/>
  <c r="V102" i="6"/>
  <c r="V8" i="12"/>
  <c r="V74" i="6"/>
  <c r="V75" i="6" s="1"/>
  <c r="V30" i="12"/>
  <c r="V11" i="12"/>
  <c r="V134" i="9"/>
  <c r="V135" i="9" s="1"/>
  <c r="V150" i="9"/>
  <c r="S39" i="13" l="1"/>
  <c r="S62" i="6"/>
  <c r="S63" i="6" s="1"/>
  <c r="S46" i="6"/>
  <c r="S141" i="6"/>
  <c r="T159" i="6"/>
  <c r="T9" i="13"/>
  <c r="T26" i="13" s="1"/>
  <c r="T28" i="13" s="1"/>
  <c r="T133" i="6"/>
  <c r="T99" i="6"/>
  <c r="T104" i="6" s="1"/>
  <c r="T106" i="6" s="1"/>
  <c r="T107" i="6" s="1"/>
  <c r="T182" i="6"/>
  <c r="T181" i="6"/>
  <c r="T69" i="6"/>
  <c r="T72" i="6" s="1"/>
  <c r="S58" i="6"/>
  <c r="S139" i="6"/>
  <c r="S142" i="6"/>
  <c r="U20" i="6"/>
  <c r="U130" i="6"/>
  <c r="V152" i="6"/>
  <c r="V32" i="12"/>
  <c r="V56" i="6" s="1"/>
  <c r="V57" i="6" s="1"/>
  <c r="W18" i="12"/>
  <c r="W26" i="12" s="1"/>
  <c r="V88" i="6"/>
  <c r="V77" i="6"/>
  <c r="V13" i="12"/>
  <c r="V198" i="9"/>
  <c r="V199" i="9" s="1"/>
  <c r="V44" i="6" s="1"/>
  <c r="V151" i="9"/>
  <c r="S150" i="6" l="1"/>
  <c r="S89" i="6"/>
  <c r="S162" i="6"/>
  <c r="S148" i="6"/>
  <c r="S186" i="6"/>
  <c r="S161" i="6"/>
  <c r="S166" i="6"/>
  <c r="S183" i="6"/>
  <c r="S184" i="6"/>
  <c r="S147" i="6"/>
  <c r="S160" i="6"/>
  <c r="T140" i="6"/>
  <c r="T12" i="12"/>
  <c r="S185" i="6"/>
  <c r="S151" i="6"/>
  <c r="S187" i="6"/>
  <c r="S64" i="6"/>
  <c r="S65" i="6" s="1"/>
  <c r="S149" i="6"/>
  <c r="U28" i="6"/>
  <c r="U131" i="6"/>
  <c r="W106" i="9"/>
  <c r="W22" i="12"/>
  <c r="W23" i="12" s="1"/>
  <c r="V45" i="6"/>
  <c r="V167" i="6"/>
  <c r="S91" i="6" l="1"/>
  <c r="S94" i="6"/>
  <c r="S95" i="6" s="1"/>
  <c r="S90" i="6"/>
  <c r="T14" i="12"/>
  <c r="T111" i="6"/>
  <c r="T79" i="6"/>
  <c r="T13" i="13"/>
  <c r="T15" i="13" s="1"/>
  <c r="U30" i="6"/>
  <c r="W105" i="9"/>
  <c r="W24" i="12"/>
  <c r="S96" i="6" l="1"/>
  <c r="S109" i="6" s="1"/>
  <c r="S110" i="6" s="1"/>
  <c r="T58" i="12"/>
  <c r="T82" i="6"/>
  <c r="T83" i="6" s="1"/>
  <c r="T85" i="6" s="1"/>
  <c r="T36" i="13"/>
  <c r="U14" i="13"/>
  <c r="T18" i="13"/>
  <c r="T22" i="13" s="1"/>
  <c r="T29" i="13" s="1"/>
  <c r="U32" i="6"/>
  <c r="V29" i="6" s="1"/>
  <c r="U31" i="6"/>
  <c r="U33" i="6" s="1"/>
  <c r="W116" i="9"/>
  <c r="W117" i="9" s="1"/>
  <c r="W133" i="9"/>
  <c r="W20" i="12"/>
  <c r="W40" i="12"/>
  <c r="W41" i="12" s="1"/>
  <c r="W101" i="6"/>
  <c r="W172" i="6"/>
  <c r="T38" i="6" l="1"/>
  <c r="U84" i="6"/>
  <c r="T60" i="6"/>
  <c r="T30" i="13"/>
  <c r="T33" i="13"/>
  <c r="U21" i="6"/>
  <c r="U36" i="12"/>
  <c r="U39" i="12" s="1"/>
  <c r="U173" i="6"/>
  <c r="U190" i="6" s="1"/>
  <c r="U61" i="12"/>
  <c r="U81" i="6"/>
  <c r="W102" i="6"/>
  <c r="W74" i="6"/>
  <c r="W75" i="6" s="1"/>
  <c r="W8" i="12"/>
  <c r="W134" i="9"/>
  <c r="W135" i="9" s="1"/>
  <c r="W150" i="9"/>
  <c r="W11" i="12"/>
  <c r="W30" i="12"/>
  <c r="T42" i="6" l="1"/>
  <c r="T144" i="6"/>
  <c r="T189" i="6"/>
  <c r="T188" i="6"/>
  <c r="T38" i="13"/>
  <c r="U25" i="13"/>
  <c r="T51" i="6"/>
  <c r="T54" i="6" s="1"/>
  <c r="U31" i="13"/>
  <c r="U22" i="6"/>
  <c r="U132" i="6"/>
  <c r="V57" i="12"/>
  <c r="V62" i="12" s="1"/>
  <c r="V19" i="6" s="1"/>
  <c r="U53" i="6"/>
  <c r="W151" i="9"/>
  <c r="W198" i="9"/>
  <c r="W199" i="9" s="1"/>
  <c r="W44" i="6" s="1"/>
  <c r="W77" i="6"/>
  <c r="W13" i="12"/>
  <c r="W88" i="6"/>
  <c r="W152" i="6"/>
  <c r="W32" i="12"/>
  <c r="W56" i="6" s="1"/>
  <c r="W57" i="6" s="1"/>
  <c r="X18" i="12"/>
  <c r="X26" i="12" s="1"/>
  <c r="T58" i="6" l="1"/>
  <c r="T185" i="6" s="1"/>
  <c r="T139" i="6"/>
  <c r="T142" i="6"/>
  <c r="T46" i="6"/>
  <c r="T141" i="6"/>
  <c r="T39" i="13"/>
  <c r="T62" i="6"/>
  <c r="T63" i="6" s="1"/>
  <c r="U133" i="6"/>
  <c r="U181" i="6"/>
  <c r="U9" i="13"/>
  <c r="U26" i="13" s="1"/>
  <c r="U28" i="13" s="1"/>
  <c r="U182" i="6"/>
  <c r="U159" i="6"/>
  <c r="U99" i="6"/>
  <c r="U104" i="6" s="1"/>
  <c r="U106" i="6" s="1"/>
  <c r="U107" i="6" s="1"/>
  <c r="U69" i="6"/>
  <c r="U72" i="6" s="1"/>
  <c r="V20" i="6"/>
  <c r="V130" i="6"/>
  <c r="W45" i="6"/>
  <c r="W167" i="6"/>
  <c r="X22" i="12"/>
  <c r="X106" i="9"/>
  <c r="T149" i="6" l="1"/>
  <c r="T147" i="6"/>
  <c r="T183" i="6"/>
  <c r="T160" i="6"/>
  <c r="T166" i="6"/>
  <c r="T184" i="6"/>
  <c r="T150" i="6"/>
  <c r="T161" i="6"/>
  <c r="T89" i="6"/>
  <c r="T162" i="6"/>
  <c r="T148" i="6"/>
  <c r="T186" i="6"/>
  <c r="U140" i="6"/>
  <c r="U12" i="12"/>
  <c r="V131" i="6"/>
  <c r="V28" i="6"/>
  <c r="T187" i="6"/>
  <c r="T151" i="6"/>
  <c r="T64" i="6"/>
  <c r="T65" i="6" s="1"/>
  <c r="X23" i="12"/>
  <c r="T90" i="6" l="1"/>
  <c r="T94" i="6"/>
  <c r="T95" i="6" s="1"/>
  <c r="T91" i="6"/>
  <c r="U14" i="12"/>
  <c r="U111" i="6"/>
  <c r="U79" i="6"/>
  <c r="U13" i="13"/>
  <c r="U15" i="13" s="1"/>
  <c r="V30" i="6"/>
  <c r="X105" i="9"/>
  <c r="X24" i="12"/>
  <c r="U58" i="12" l="1"/>
  <c r="U82" i="6"/>
  <c r="U83" i="6" s="1"/>
  <c r="U85" i="6" s="1"/>
  <c r="V14" i="13"/>
  <c r="U18" i="13"/>
  <c r="U22" i="13" s="1"/>
  <c r="U29" i="13" s="1"/>
  <c r="U36" i="13"/>
  <c r="T96" i="6"/>
  <c r="T109" i="6" s="1"/>
  <c r="T110" i="6" s="1"/>
  <c r="V32" i="6"/>
  <c r="W29" i="6" s="1"/>
  <c r="V31" i="6"/>
  <c r="V33" i="6" s="1"/>
  <c r="V61" i="12"/>
  <c r="V81" i="6"/>
  <c r="X116" i="9"/>
  <c r="X117" i="9" s="1"/>
  <c r="X133" i="9"/>
  <c r="X20" i="12"/>
  <c r="X40" i="12"/>
  <c r="X41" i="12" s="1"/>
  <c r="X101" i="6"/>
  <c r="X172" i="6"/>
  <c r="V84" i="6" l="1"/>
  <c r="U38" i="6"/>
  <c r="U30" i="13"/>
  <c r="U33" i="13"/>
  <c r="U60" i="6"/>
  <c r="V36" i="12"/>
  <c r="V39" i="12" s="1"/>
  <c r="V21" i="6"/>
  <c r="V173" i="6"/>
  <c r="V190" i="6" s="1"/>
  <c r="W57" i="12"/>
  <c r="W62" i="12" s="1"/>
  <c r="W19" i="6" s="1"/>
  <c r="V53" i="6"/>
  <c r="X11" i="12"/>
  <c r="X30" i="12"/>
  <c r="X134" i="9"/>
  <c r="X135" i="9" s="1"/>
  <c r="X150" i="9"/>
  <c r="X102" i="6"/>
  <c r="X74" i="6"/>
  <c r="X75" i="6" s="1"/>
  <c r="X8" i="12"/>
  <c r="U42" i="6" l="1"/>
  <c r="U144" i="6"/>
  <c r="U188" i="6"/>
  <c r="U189" i="6"/>
  <c r="V25" i="13"/>
  <c r="U38" i="13"/>
  <c r="V31" i="13"/>
  <c r="U51" i="6"/>
  <c r="U54" i="6" s="1"/>
  <c r="V22" i="6"/>
  <c r="V132" i="6"/>
  <c r="W130" i="6"/>
  <c r="W20" i="6"/>
  <c r="X77" i="6"/>
  <c r="X13" i="12"/>
  <c r="X88" i="6"/>
  <c r="X152" i="6"/>
  <c r="Y18" i="12"/>
  <c r="Y26" i="12" s="1"/>
  <c r="X32" i="12"/>
  <c r="X56" i="6" s="1"/>
  <c r="X57" i="6" s="1"/>
  <c r="X151" i="9"/>
  <c r="X198" i="9"/>
  <c r="X199" i="9" s="1"/>
  <c r="X44" i="6" s="1"/>
  <c r="U46" i="6" l="1"/>
  <c r="U141" i="6"/>
  <c r="U39" i="13"/>
  <c r="U62" i="6"/>
  <c r="U63" i="6" s="1"/>
  <c r="V69" i="6"/>
  <c r="V72" i="6" s="1"/>
  <c r="V9" i="13"/>
  <c r="V26" i="13" s="1"/>
  <c r="V28" i="13" s="1"/>
  <c r="V181" i="6"/>
  <c r="V133" i="6"/>
  <c r="V99" i="6"/>
  <c r="V104" i="6" s="1"/>
  <c r="V106" i="6" s="1"/>
  <c r="V107" i="6" s="1"/>
  <c r="V159" i="6"/>
  <c r="V182" i="6"/>
  <c r="W28" i="6"/>
  <c r="W131" i="6"/>
  <c r="U58" i="6"/>
  <c r="U142" i="6"/>
  <c r="U139" i="6"/>
  <c r="Y106" i="9"/>
  <c r="Y22" i="12"/>
  <c r="X167" i="6"/>
  <c r="X45" i="6"/>
  <c r="U184" i="6" l="1"/>
  <c r="U147" i="6"/>
  <c r="U183" i="6"/>
  <c r="U166" i="6"/>
  <c r="U160" i="6"/>
  <c r="U150" i="6"/>
  <c r="U89" i="6"/>
  <c r="U162" i="6"/>
  <c r="U148" i="6"/>
  <c r="U186" i="6"/>
  <c r="U161" i="6"/>
  <c r="V12" i="12"/>
  <c r="V140" i="6"/>
  <c r="W30" i="6"/>
  <c r="U64" i="6"/>
  <c r="U65" i="6" s="1"/>
  <c r="U185" i="6"/>
  <c r="U151" i="6"/>
  <c r="U187" i="6"/>
  <c r="U149" i="6"/>
  <c r="Y23" i="12"/>
  <c r="U90" i="6" l="1"/>
  <c r="U94" i="6"/>
  <c r="U95" i="6" s="1"/>
  <c r="U91" i="6"/>
  <c r="V13" i="13"/>
  <c r="V15" i="13" s="1"/>
  <c r="V111" i="6"/>
  <c r="V79" i="6"/>
  <c r="V14" i="12"/>
  <c r="W32" i="6"/>
  <c r="X29" i="6" s="1"/>
  <c r="W31" i="6"/>
  <c r="W33" i="6" s="1"/>
  <c r="Y105" i="9"/>
  <c r="Y24" i="12"/>
  <c r="V36" i="13" l="1"/>
  <c r="V18" i="13"/>
  <c r="V22" i="13" s="1"/>
  <c r="V29" i="13" s="1"/>
  <c r="W14" i="13"/>
  <c r="V58" i="12"/>
  <c r="V82" i="6"/>
  <c r="V83" i="6" s="1"/>
  <c r="V85" i="6" s="1"/>
  <c r="W21" i="6"/>
  <c r="W173" i="6"/>
  <c r="W190" i="6" s="1"/>
  <c r="W36" i="12"/>
  <c r="W39" i="12" s="1"/>
  <c r="U96" i="6"/>
  <c r="U109" i="6" s="1"/>
  <c r="U110" i="6" s="1"/>
  <c r="W61" i="12"/>
  <c r="W81" i="6"/>
  <c r="Y116" i="9"/>
  <c r="Y117" i="9" s="1"/>
  <c r="Y133" i="9"/>
  <c r="Y20" i="12"/>
  <c r="Y101" i="6"/>
  <c r="Y40" i="12"/>
  <c r="Y41" i="12" s="1"/>
  <c r="Y172" i="6"/>
  <c r="V60" i="6" l="1"/>
  <c r="V30" i="13"/>
  <c r="V33" i="13"/>
  <c r="W84" i="6"/>
  <c r="V38" i="6"/>
  <c r="W22" i="6"/>
  <c r="W132" i="6"/>
  <c r="X57" i="12"/>
  <c r="X62" i="12" s="1"/>
  <c r="X19" i="6" s="1"/>
  <c r="W53" i="6"/>
  <c r="Y11" i="12"/>
  <c r="Y30" i="12"/>
  <c r="Y8" i="12"/>
  <c r="Y102" i="6"/>
  <c r="Y74" i="6"/>
  <c r="Y75" i="6" s="1"/>
  <c r="Y134" i="9"/>
  <c r="Y135" i="9" s="1"/>
  <c r="Y150" i="9"/>
  <c r="W25" i="13" l="1"/>
  <c r="V38" i="13"/>
  <c r="V51" i="6"/>
  <c r="V54" i="6" s="1"/>
  <c r="W31" i="13"/>
  <c r="V188" i="6"/>
  <c r="V42" i="6"/>
  <c r="V189" i="6"/>
  <c r="V144" i="6"/>
  <c r="W9" i="13"/>
  <c r="W26" i="13" s="1"/>
  <c r="W133" i="6"/>
  <c r="W69" i="6"/>
  <c r="W72" i="6" s="1"/>
  <c r="W182" i="6"/>
  <c r="W159" i="6"/>
  <c r="W181" i="6"/>
  <c r="W99" i="6"/>
  <c r="W104" i="6" s="1"/>
  <c r="W106" i="6" s="1"/>
  <c r="W107" i="6" s="1"/>
  <c r="X20" i="6"/>
  <c r="X130" i="6"/>
  <c r="Y77" i="6"/>
  <c r="Y13" i="12"/>
  <c r="Y88" i="6"/>
  <c r="Y152" i="6"/>
  <c r="Y32" i="12"/>
  <c r="Y56" i="6" s="1"/>
  <c r="Y57" i="6" s="1"/>
  <c r="Z18" i="12"/>
  <c r="Z26" i="12" s="1"/>
  <c r="Y151" i="9"/>
  <c r="Y198" i="9"/>
  <c r="Y199" i="9" s="1"/>
  <c r="Y44" i="6" s="1"/>
  <c r="W28" i="13" l="1"/>
  <c r="V58" i="6"/>
  <c r="V185" i="6" s="1"/>
  <c r="V139" i="6"/>
  <c r="V142" i="6"/>
  <c r="V39" i="13"/>
  <c r="V62" i="6"/>
  <c r="V63" i="6" s="1"/>
  <c r="V46" i="6"/>
  <c r="V141" i="6"/>
  <c r="W140" i="6"/>
  <c r="W12" i="12"/>
  <c r="X131" i="6"/>
  <c r="X28" i="6"/>
  <c r="Z106" i="9"/>
  <c r="Z22" i="12"/>
  <c r="Y167" i="6"/>
  <c r="Y45" i="6"/>
  <c r="V149" i="6" l="1"/>
  <c r="V187" i="6"/>
  <c r="V151" i="6"/>
  <c r="V64" i="6"/>
  <c r="V65" i="6" s="1"/>
  <c r="V150" i="6"/>
  <c r="V89" i="6"/>
  <c r="V162" i="6"/>
  <c r="V148" i="6"/>
  <c r="V161" i="6"/>
  <c r="V186" i="6"/>
  <c r="V183" i="6"/>
  <c r="V184" i="6"/>
  <c r="V147" i="6"/>
  <c r="V160" i="6"/>
  <c r="V166" i="6"/>
  <c r="W14" i="12"/>
  <c r="W111" i="6"/>
  <c r="W13" i="13"/>
  <c r="W15" i="13" s="1"/>
  <c r="W79" i="6"/>
  <c r="X30" i="6"/>
  <c r="Z23" i="12"/>
  <c r="V91" i="6" l="1"/>
  <c r="V90" i="6"/>
  <c r="V94" i="6"/>
  <c r="V95" i="6" s="1"/>
  <c r="W36" i="13"/>
  <c r="W18" i="13"/>
  <c r="W22" i="13" s="1"/>
  <c r="W29" i="13" s="1"/>
  <c r="X14" i="13"/>
  <c r="W58" i="12"/>
  <c r="W82" i="6"/>
  <c r="W83" i="6" s="1"/>
  <c r="W85" i="6" s="1"/>
  <c r="X32" i="6"/>
  <c r="Y29" i="6" s="1"/>
  <c r="X31" i="6"/>
  <c r="X33" i="6" s="1"/>
  <c r="Z105" i="9"/>
  <c r="Z24" i="12"/>
  <c r="W60" i="6" l="1"/>
  <c r="W30" i="13"/>
  <c r="W33" i="13"/>
  <c r="X84" i="6"/>
  <c r="W38" i="6"/>
  <c r="X173" i="6"/>
  <c r="X190" i="6" s="1"/>
  <c r="X21" i="6"/>
  <c r="X36" i="12"/>
  <c r="X39" i="12" s="1"/>
  <c r="V96" i="6"/>
  <c r="V109" i="6" s="1"/>
  <c r="V110" i="6" s="1"/>
  <c r="X61" i="12"/>
  <c r="X81" i="6"/>
  <c r="Z116" i="9"/>
  <c r="Z117" i="9" s="1"/>
  <c r="Z133" i="9"/>
  <c r="Z20" i="12"/>
  <c r="Z40" i="12"/>
  <c r="Z41" i="12" s="1"/>
  <c r="Z101" i="6"/>
  <c r="Z172" i="6"/>
  <c r="X25" i="13" l="1"/>
  <c r="W38" i="13"/>
  <c r="X31" i="13"/>
  <c r="W51" i="6"/>
  <c r="W54" i="6" s="1"/>
  <c r="W42" i="6"/>
  <c r="W189" i="6"/>
  <c r="W144" i="6"/>
  <c r="W188" i="6"/>
  <c r="X22" i="6"/>
  <c r="X132" i="6"/>
  <c r="Y57" i="12"/>
  <c r="Y62" i="12" s="1"/>
  <c r="Y19" i="6" s="1"/>
  <c r="X53" i="6"/>
  <c r="Z102" i="6"/>
  <c r="Z74" i="6"/>
  <c r="Z75" i="6" s="1"/>
  <c r="Z8" i="12"/>
  <c r="Z30" i="12"/>
  <c r="Z11" i="12"/>
  <c r="Z150" i="9"/>
  <c r="Z134" i="9"/>
  <c r="Z135" i="9" s="1"/>
  <c r="W58" i="6" l="1"/>
  <c r="W139" i="6"/>
  <c r="W142" i="6"/>
  <c r="W39" i="13"/>
  <c r="W62" i="6"/>
  <c r="W63" i="6" s="1"/>
  <c r="W46" i="6"/>
  <c r="W141" i="6"/>
  <c r="X181" i="6"/>
  <c r="X99" i="6"/>
  <c r="X104" i="6" s="1"/>
  <c r="X106" i="6" s="1"/>
  <c r="X107" i="6" s="1"/>
  <c r="X159" i="6"/>
  <c r="X9" i="13"/>
  <c r="X26" i="13" s="1"/>
  <c r="X28" i="13" s="1"/>
  <c r="X133" i="6"/>
  <c r="X182" i="6"/>
  <c r="X69" i="6"/>
  <c r="X72" i="6" s="1"/>
  <c r="Y130" i="6"/>
  <c r="Y20" i="6"/>
  <c r="Z88" i="6"/>
  <c r="Z152" i="6"/>
  <c r="AA18" i="12"/>
  <c r="AA26" i="12" s="1"/>
  <c r="Z32" i="12"/>
  <c r="Z56" i="6" s="1"/>
  <c r="Z57" i="6" s="1"/>
  <c r="Z77" i="6"/>
  <c r="Z13" i="12"/>
  <c r="Z151" i="9"/>
  <c r="Z198" i="9"/>
  <c r="Z199" i="9" s="1"/>
  <c r="Z44" i="6" s="1"/>
  <c r="W187" i="6" l="1"/>
  <c r="W149" i="6"/>
  <c r="W64" i="6"/>
  <c r="W65" i="6" s="1"/>
  <c r="W185" i="6"/>
  <c r="W151" i="6"/>
  <c r="W150" i="6"/>
  <c r="W89" i="6"/>
  <c r="W186" i="6"/>
  <c r="W148" i="6"/>
  <c r="W161" i="6"/>
  <c r="W162" i="6"/>
  <c r="W166" i="6"/>
  <c r="W160" i="6"/>
  <c r="W184" i="6"/>
  <c r="W147" i="6"/>
  <c r="W183" i="6"/>
  <c r="X140" i="6"/>
  <c r="X12" i="12"/>
  <c r="Y28" i="6"/>
  <c r="Y131" i="6"/>
  <c r="AA106" i="9"/>
  <c r="F106" i="9" s="1"/>
  <c r="AA22" i="12"/>
  <c r="Z45" i="6"/>
  <c r="Z167" i="6"/>
  <c r="W91" i="6" l="1"/>
  <c r="W90" i="6"/>
  <c r="W94" i="6"/>
  <c r="W95" i="6" s="1"/>
  <c r="X14" i="12"/>
  <c r="X79" i="6"/>
  <c r="X13" i="13"/>
  <c r="X15" i="13" s="1"/>
  <c r="X111" i="6"/>
  <c r="Y30" i="6"/>
  <c r="AA23" i="12"/>
  <c r="X58" i="12" l="1"/>
  <c r="X82" i="6"/>
  <c r="X83" i="6" s="1"/>
  <c r="X85" i="6" s="1"/>
  <c r="Y14" i="13"/>
  <c r="X18" i="13"/>
  <c r="X22" i="13" s="1"/>
  <c r="X29" i="13" s="1"/>
  <c r="X36" i="13"/>
  <c r="W96" i="6"/>
  <c r="W109" i="6" s="1"/>
  <c r="W110" i="6" s="1"/>
  <c r="Y32" i="6"/>
  <c r="Z29" i="6" s="1"/>
  <c r="Y31" i="6"/>
  <c r="Y33" i="6" s="1"/>
  <c r="AA105" i="9"/>
  <c r="AA24" i="12"/>
  <c r="X38" i="6" l="1"/>
  <c r="Y84" i="6"/>
  <c r="X30" i="13"/>
  <c r="X33" i="13"/>
  <c r="X60" i="6"/>
  <c r="Y173" i="6"/>
  <c r="Y190" i="6" s="1"/>
  <c r="Y36" i="12"/>
  <c r="Y39" i="12" s="1"/>
  <c r="Y21" i="6"/>
  <c r="Y61" i="12"/>
  <c r="Y81" i="6"/>
  <c r="AA20" i="12"/>
  <c r="F105" i="9"/>
  <c r="AA101" i="6"/>
  <c r="AA40" i="12"/>
  <c r="AA41" i="12" s="1"/>
  <c r="AA172" i="6"/>
  <c r="X144" i="6" l="1"/>
  <c r="X42" i="6"/>
  <c r="X188" i="6"/>
  <c r="X189" i="6"/>
  <c r="Y25" i="13"/>
  <c r="X38" i="13"/>
  <c r="X51" i="6"/>
  <c r="X54" i="6" s="1"/>
  <c r="Y31" i="13"/>
  <c r="Y22" i="6"/>
  <c r="Y132" i="6"/>
  <c r="Z57" i="12"/>
  <c r="Z62" i="12" s="1"/>
  <c r="Z19" i="6" s="1"/>
  <c r="Y53" i="6"/>
  <c r="F107" i="9"/>
  <c r="AA11" i="12"/>
  <c r="D27" i="12"/>
  <c r="AA30" i="12"/>
  <c r="X46" i="6" l="1"/>
  <c r="X141" i="6"/>
  <c r="X39" i="13"/>
  <c r="X62" i="6"/>
  <c r="X63" i="6" s="1"/>
  <c r="Y133" i="6"/>
  <c r="Y181" i="6"/>
  <c r="Y69" i="6"/>
  <c r="Y72" i="6" s="1"/>
  <c r="Y159" i="6"/>
  <c r="Y99" i="6"/>
  <c r="Y104" i="6" s="1"/>
  <c r="Y106" i="6" s="1"/>
  <c r="Y107" i="6" s="1"/>
  <c r="Y9" i="13"/>
  <c r="Y26" i="13" s="1"/>
  <c r="Y28" i="13" s="1"/>
  <c r="Y182" i="6"/>
  <c r="X58" i="6"/>
  <c r="X139" i="6"/>
  <c r="X142" i="6"/>
  <c r="Z130" i="6"/>
  <c r="Z20" i="6"/>
  <c r="AA107" i="9"/>
  <c r="F116" i="9"/>
  <c r="F117" i="9" s="1"/>
  <c r="D6" i="15" s="1"/>
  <c r="AA13" i="12"/>
  <c r="AB13" i="12" s="1"/>
  <c r="AC13" i="12" s="1"/>
  <c r="AD13" i="12" s="1"/>
  <c r="AE13" i="12" s="1"/>
  <c r="AF13" i="12" s="1"/>
  <c r="AG13" i="12" s="1"/>
  <c r="AH13" i="12" s="1"/>
  <c r="AI13" i="12" s="1"/>
  <c r="AJ13" i="12" s="1"/>
  <c r="AK13" i="12" s="1"/>
  <c r="AL13" i="12" s="1"/>
  <c r="AM13" i="12" s="1"/>
  <c r="AN13" i="12" s="1"/>
  <c r="AO13" i="12" s="1"/>
  <c r="AP13" i="12" s="1"/>
  <c r="AQ13" i="12" s="1"/>
  <c r="AR13" i="12" s="1"/>
  <c r="AS13" i="12" s="1"/>
  <c r="AT13" i="12" s="1"/>
  <c r="AU13" i="12" s="1"/>
  <c r="AV13" i="12" s="1"/>
  <c r="AW13" i="12" s="1"/>
  <c r="AX13" i="12" s="1"/>
  <c r="AY13" i="12" s="1"/>
  <c r="AZ13" i="12" s="1"/>
  <c r="BA13" i="12" s="1"/>
  <c r="BB13" i="12" s="1"/>
  <c r="BC13" i="12" s="1"/>
  <c r="BD13" i="12" s="1"/>
  <c r="BE13" i="12" s="1"/>
  <c r="BF13" i="12" s="1"/>
  <c r="BG13" i="12" s="1"/>
  <c r="BH13" i="12" s="1"/>
  <c r="BI13" i="12" s="1"/>
  <c r="BJ13" i="12" s="1"/>
  <c r="BK13" i="12" s="1"/>
  <c r="BL13" i="12" s="1"/>
  <c r="BM13" i="12" s="1"/>
  <c r="BN13" i="12" s="1"/>
  <c r="BO13" i="12" s="1"/>
  <c r="AA77" i="6"/>
  <c r="AA88" i="6"/>
  <c r="AB18" i="12"/>
  <c r="AA152" i="6"/>
  <c r="AA32" i="12"/>
  <c r="AA56" i="6" s="1"/>
  <c r="AA57" i="6" s="1"/>
  <c r="X147" i="6" l="1"/>
  <c r="X184" i="6"/>
  <c r="X183" i="6"/>
  <c r="X166" i="6"/>
  <c r="X160" i="6"/>
  <c r="X150" i="6"/>
  <c r="X148" i="6"/>
  <c r="X89" i="6"/>
  <c r="X162" i="6"/>
  <c r="X186" i="6"/>
  <c r="X161" i="6"/>
  <c r="Y140" i="6"/>
  <c r="Y12" i="12"/>
  <c r="X185" i="6"/>
  <c r="X64" i="6"/>
  <c r="X65" i="6" s="1"/>
  <c r="X151" i="6"/>
  <c r="X187" i="6"/>
  <c r="X149" i="6"/>
  <c r="Z131" i="6"/>
  <c r="Z28" i="6"/>
  <c r="AA116" i="9"/>
  <c r="AA117" i="9" s="1"/>
  <c r="AA133" i="9"/>
  <c r="C6" i="15"/>
  <c r="D149" i="18"/>
  <c r="D150" i="18" s="1"/>
  <c r="AB30" i="12"/>
  <c r="AB22" i="12"/>
  <c r="AB24" i="12" s="1"/>
  <c r="X94" i="6" l="1"/>
  <c r="X95" i="6" s="1"/>
  <c r="X90" i="6"/>
  <c r="X91" i="6"/>
  <c r="Y14" i="12"/>
  <c r="Y13" i="13"/>
  <c r="Y15" i="13" s="1"/>
  <c r="Y79" i="6"/>
  <c r="Y111" i="6"/>
  <c r="Z30" i="6"/>
  <c r="AA74" i="6"/>
  <c r="AA75" i="6" s="1"/>
  <c r="AA8" i="12"/>
  <c r="AA102" i="6"/>
  <c r="F118" i="9"/>
  <c r="AA150" i="9"/>
  <c r="AA134" i="9"/>
  <c r="AA135" i="9" s="1"/>
  <c r="AB31" i="12"/>
  <c r="AC18" i="12"/>
  <c r="AB88" i="6"/>
  <c r="AB101" i="6"/>
  <c r="AB40" i="12"/>
  <c r="X96" i="6" l="1"/>
  <c r="X109" i="6" s="1"/>
  <c r="X110" i="6" s="1"/>
  <c r="Y18" i="13"/>
  <c r="Y22" i="13" s="1"/>
  <c r="Y29" i="13" s="1"/>
  <c r="Y36" i="13"/>
  <c r="Z14" i="13"/>
  <c r="Y58" i="12"/>
  <c r="Y82" i="6"/>
  <c r="Y83" i="6" s="1"/>
  <c r="Y85" i="6" s="1"/>
  <c r="Z32" i="6"/>
  <c r="AA29" i="6" s="1"/>
  <c r="Z31" i="6"/>
  <c r="Z33" i="6" s="1"/>
  <c r="AA151" i="9"/>
  <c r="AA198" i="9"/>
  <c r="AA199" i="9" s="1"/>
  <c r="AA44" i="6" s="1"/>
  <c r="AB150" i="9"/>
  <c r="AB52" i="6"/>
  <c r="AB32" i="12"/>
  <c r="AB56" i="6" s="1"/>
  <c r="AB57" i="6" s="1"/>
  <c r="AC30" i="12"/>
  <c r="AC88" i="6" s="1"/>
  <c r="AC22" i="12"/>
  <c r="AC24" i="12" s="1"/>
  <c r="Y30" i="13" l="1"/>
  <c r="Y33" i="13"/>
  <c r="Y60" i="6"/>
  <c r="Y38" i="6"/>
  <c r="Z84" i="6"/>
  <c r="Z173" i="6"/>
  <c r="Z190" i="6" s="1"/>
  <c r="Z21" i="6"/>
  <c r="Z36" i="12"/>
  <c r="Z39" i="12" s="1"/>
  <c r="Z61" i="12"/>
  <c r="Z81" i="6"/>
  <c r="AA167" i="6"/>
  <c r="AA45" i="6"/>
  <c r="AC150" i="9"/>
  <c r="AB151" i="9"/>
  <c r="AB78" i="11" s="1"/>
  <c r="AB81" i="11" s="1"/>
  <c r="AB90" i="11" s="1"/>
  <c r="AB166" i="9"/>
  <c r="AD18" i="12"/>
  <c r="AC31" i="12"/>
  <c r="AC101" i="6"/>
  <c r="AC40" i="12"/>
  <c r="Z25" i="13" l="1"/>
  <c r="Y38" i="13"/>
  <c r="Z31" i="13"/>
  <c r="Y51" i="6"/>
  <c r="Y54" i="6" s="1"/>
  <c r="Y189" i="6"/>
  <c r="Y144" i="6"/>
  <c r="Y42" i="6"/>
  <c r="Y188" i="6"/>
  <c r="Z22" i="6"/>
  <c r="Z132" i="6"/>
  <c r="AA57" i="12"/>
  <c r="AA62" i="12" s="1"/>
  <c r="AA19" i="6" s="1"/>
  <c r="Z53" i="6"/>
  <c r="AD150" i="9"/>
  <c r="AC151" i="9"/>
  <c r="AC78" i="11" s="1"/>
  <c r="AC81" i="11" s="1"/>
  <c r="AC90" i="11" s="1"/>
  <c r="AB16" i="6"/>
  <c r="AB92" i="11"/>
  <c r="AB85" i="11"/>
  <c r="AB167" i="9"/>
  <c r="AB23" i="6" s="1"/>
  <c r="AB182" i="9"/>
  <c r="AC166" i="9" s="1"/>
  <c r="AC52" i="6"/>
  <c r="AC32" i="12"/>
  <c r="AC56" i="6" s="1"/>
  <c r="AC57" i="6" s="1"/>
  <c r="AD30" i="12"/>
  <c r="AD22" i="12"/>
  <c r="AD24" i="12" s="1"/>
  <c r="Y58" i="6" l="1"/>
  <c r="Y185" i="6" s="1"/>
  <c r="Y139" i="6"/>
  <c r="Y142" i="6"/>
  <c r="Y39" i="13"/>
  <c r="Y62" i="6"/>
  <c r="Y63" i="6" s="1"/>
  <c r="Y46" i="6"/>
  <c r="Y141" i="6"/>
  <c r="Z159" i="6"/>
  <c r="Z182" i="6"/>
  <c r="Z133" i="6"/>
  <c r="Z99" i="6"/>
  <c r="Z104" i="6" s="1"/>
  <c r="Z106" i="6" s="1"/>
  <c r="Z107" i="6" s="1"/>
  <c r="Z69" i="6"/>
  <c r="Z72" i="6" s="1"/>
  <c r="Z181" i="6"/>
  <c r="Z9" i="13"/>
  <c r="Z26" i="13" s="1"/>
  <c r="Z28" i="13" s="1"/>
  <c r="AA130" i="6"/>
  <c r="AA20" i="6"/>
  <c r="AC167" i="9"/>
  <c r="AC23" i="6" s="1"/>
  <c r="AC85" i="11"/>
  <c r="AC182" i="9"/>
  <c r="AD166" i="9" s="1"/>
  <c r="AD151" i="9"/>
  <c r="AD78" i="11" s="1"/>
  <c r="AD81" i="11" s="1"/>
  <c r="AD90" i="11" s="1"/>
  <c r="AE150" i="9"/>
  <c r="AC16" i="6"/>
  <c r="AC92" i="11"/>
  <c r="AB158" i="6"/>
  <c r="AB14" i="6"/>
  <c r="AB125" i="6" s="1"/>
  <c r="AB127" i="6"/>
  <c r="AB86" i="11"/>
  <c r="AB18" i="17"/>
  <c r="AB134" i="6"/>
  <c r="AB70" i="6"/>
  <c r="AB100" i="6"/>
  <c r="AB198" i="9"/>
  <c r="AB199" i="9" s="1"/>
  <c r="AB44" i="6" s="1"/>
  <c r="AB183" i="9"/>
  <c r="AE18" i="12"/>
  <c r="AD31" i="12"/>
  <c r="AD88" i="6"/>
  <c r="AD101" i="6"/>
  <c r="AD40" i="12"/>
  <c r="Y149" i="6" l="1"/>
  <c r="Y64" i="6"/>
  <c r="Y65" i="6" s="1"/>
  <c r="Y187" i="6"/>
  <c r="Y151" i="6"/>
  <c r="Y150" i="6"/>
  <c r="Y161" i="6"/>
  <c r="Y162" i="6"/>
  <c r="Y186" i="6"/>
  <c r="Y148" i="6"/>
  <c r="Y89" i="6"/>
  <c r="Y184" i="6"/>
  <c r="Y166" i="6"/>
  <c r="Y147" i="6"/>
  <c r="Y160" i="6"/>
  <c r="Y183" i="6"/>
  <c r="Z140" i="6"/>
  <c r="Z12" i="12"/>
  <c r="AA28" i="6"/>
  <c r="AA131" i="6"/>
  <c r="AC100" i="6"/>
  <c r="AC70" i="6"/>
  <c r="AC134" i="6"/>
  <c r="AC18" i="17"/>
  <c r="AC86" i="11"/>
  <c r="AC198" i="9"/>
  <c r="AC199" i="9" s="1"/>
  <c r="AC44" i="6" s="1"/>
  <c r="AC183" i="9"/>
  <c r="AD85" i="11"/>
  <c r="AD167" i="9"/>
  <c r="AD23" i="6" s="1"/>
  <c r="AD182" i="9"/>
  <c r="AD16" i="6"/>
  <c r="AD92" i="11"/>
  <c r="AE151" i="9"/>
  <c r="AE78" i="11" s="1"/>
  <c r="AE81" i="11" s="1"/>
  <c r="AE90" i="11" s="1"/>
  <c r="AF150" i="9"/>
  <c r="AC14" i="6"/>
  <c r="AC125" i="6" s="1"/>
  <c r="AC127" i="6"/>
  <c r="AC158" i="6"/>
  <c r="AB97" i="11"/>
  <c r="AB93" i="11"/>
  <c r="AB94" i="11" s="1"/>
  <c r="AB95" i="17"/>
  <c r="AB19" i="17"/>
  <c r="AB30" i="17"/>
  <c r="AB167" i="6"/>
  <c r="AB45" i="6"/>
  <c r="AE22" i="12"/>
  <c r="AE24" i="12" s="1"/>
  <c r="AE30" i="12"/>
  <c r="AE88" i="6" s="1"/>
  <c r="AD52" i="6"/>
  <c r="AD32" i="12"/>
  <c r="AD56" i="6" s="1"/>
  <c r="AD57" i="6" s="1"/>
  <c r="Y94" i="6" l="1"/>
  <c r="Y95" i="6" s="1"/>
  <c r="Y90" i="6"/>
  <c r="Y91" i="6"/>
  <c r="Z14" i="12"/>
  <c r="Z79" i="6"/>
  <c r="Z111" i="6"/>
  <c r="Z13" i="13"/>
  <c r="Z15" i="13" s="1"/>
  <c r="AA30" i="6"/>
  <c r="AC19" i="17"/>
  <c r="AC30" i="17"/>
  <c r="AC95" i="17"/>
  <c r="AC93" i="11"/>
  <c r="AC94" i="11" s="1"/>
  <c r="AC97" i="11"/>
  <c r="AC167" i="6"/>
  <c r="AC45" i="6"/>
  <c r="AD18" i="17"/>
  <c r="AD86" i="11"/>
  <c r="AD70" i="6"/>
  <c r="AD100" i="6"/>
  <c r="AD134" i="6"/>
  <c r="AD183" i="9"/>
  <c r="AD198" i="9"/>
  <c r="AD199" i="9" s="1"/>
  <c r="AD44" i="6" s="1"/>
  <c r="AE166" i="9"/>
  <c r="AE182" i="9" s="1"/>
  <c r="AF166" i="9" s="1"/>
  <c r="AD14" i="6"/>
  <c r="AD125" i="6" s="1"/>
  <c r="AD127" i="6"/>
  <c r="AD158" i="6"/>
  <c r="AE92" i="11"/>
  <c r="AE16" i="6"/>
  <c r="AG150" i="9"/>
  <c r="AF151" i="9"/>
  <c r="AF78" i="11" s="1"/>
  <c r="AF81" i="11" s="1"/>
  <c r="AF90" i="11" s="1"/>
  <c r="AB99" i="11"/>
  <c r="AB112" i="11"/>
  <c r="AB111" i="11"/>
  <c r="AB109" i="11"/>
  <c r="AB113" i="11"/>
  <c r="AB127" i="11" s="1"/>
  <c r="AB110" i="11"/>
  <c r="AB124" i="11" s="1"/>
  <c r="AB52" i="12"/>
  <c r="AB50" i="6" s="1"/>
  <c r="AB47" i="12"/>
  <c r="AB60" i="17"/>
  <c r="AB33" i="17"/>
  <c r="AB94" i="17" s="1"/>
  <c r="AB96" i="17" s="1"/>
  <c r="AB59" i="17"/>
  <c r="AB61" i="17"/>
  <c r="AE40" i="12"/>
  <c r="AE101" i="6"/>
  <c r="AE31" i="12"/>
  <c r="AF18" i="12"/>
  <c r="Z58" i="12" l="1"/>
  <c r="Z82" i="6"/>
  <c r="Z83" i="6" s="1"/>
  <c r="Z85" i="6" s="1"/>
  <c r="Z18" i="13"/>
  <c r="Z22" i="13" s="1"/>
  <c r="Z29" i="13" s="1"/>
  <c r="Z36" i="13"/>
  <c r="AA14" i="13"/>
  <c r="Y96" i="6"/>
  <c r="Y109" i="6" s="1"/>
  <c r="Y110" i="6" s="1"/>
  <c r="AA32" i="6"/>
  <c r="AB29" i="6" s="1"/>
  <c r="AA31" i="6"/>
  <c r="AA33" i="6" s="1"/>
  <c r="AC33" i="17"/>
  <c r="AC94" i="17" s="1"/>
  <c r="AC96" i="17" s="1"/>
  <c r="AC61" i="17"/>
  <c r="AC60" i="17"/>
  <c r="AC59" i="17"/>
  <c r="AC47" i="12"/>
  <c r="AC52" i="12"/>
  <c r="AC50" i="6" s="1"/>
  <c r="AC111" i="11"/>
  <c r="AC113" i="11"/>
  <c r="AC127" i="11" s="1"/>
  <c r="AC110" i="11"/>
  <c r="AC124" i="11" s="1"/>
  <c r="AC112" i="11"/>
  <c r="AC99" i="11"/>
  <c r="AC109" i="11"/>
  <c r="AD30" i="17"/>
  <c r="AD19" i="17"/>
  <c r="AD97" i="11"/>
  <c r="AD95" i="17"/>
  <c r="AD93" i="11"/>
  <c r="AD94" i="11" s="1"/>
  <c r="AE198" i="9"/>
  <c r="AE199" i="9" s="1"/>
  <c r="AE44" i="6" s="1"/>
  <c r="AE183" i="9"/>
  <c r="AD45" i="6"/>
  <c r="AD167" i="6"/>
  <c r="AE167" i="9"/>
  <c r="AE23" i="6" s="1"/>
  <c r="AE85" i="11"/>
  <c r="AE158" i="6"/>
  <c r="AE14" i="6"/>
  <c r="AE125" i="6" s="1"/>
  <c r="AE127" i="6"/>
  <c r="AF167" i="9"/>
  <c r="AF23" i="6" s="1"/>
  <c r="AF85" i="11"/>
  <c r="AF182" i="9"/>
  <c r="AG151" i="9"/>
  <c r="AG78" i="11" s="1"/>
  <c r="AG81" i="11" s="1"/>
  <c r="AG90" i="11" s="1"/>
  <c r="AH150" i="9"/>
  <c r="AF92" i="11"/>
  <c r="AF16" i="6"/>
  <c r="AB126" i="11"/>
  <c r="AB133" i="11" s="1"/>
  <c r="AB119" i="11"/>
  <c r="AB125" i="11"/>
  <c r="AB132" i="11" s="1"/>
  <c r="AB118" i="11"/>
  <c r="AB116" i="11"/>
  <c r="AB123" i="11"/>
  <c r="AB130" i="11" s="1"/>
  <c r="AB49" i="6"/>
  <c r="AB53" i="12"/>
  <c r="AB54" i="12" s="1"/>
  <c r="AB77" i="17"/>
  <c r="AB63" i="17"/>
  <c r="AB76" i="17"/>
  <c r="AB62" i="17"/>
  <c r="AB78" i="17"/>
  <c r="AB64" i="17"/>
  <c r="AF22" i="12"/>
  <c r="AF24" i="12" s="1"/>
  <c r="AF30" i="12"/>
  <c r="AF88" i="6" s="1"/>
  <c r="AE52" i="6"/>
  <c r="AE32" i="12"/>
  <c r="AE56" i="6" s="1"/>
  <c r="AE57" i="6" s="1"/>
  <c r="Z38" i="6" l="1"/>
  <c r="AA84" i="6"/>
  <c r="Z30" i="13"/>
  <c r="Z33" i="13"/>
  <c r="Z60" i="6"/>
  <c r="AA173" i="6"/>
  <c r="AA190" i="6" s="1"/>
  <c r="AA36" i="12"/>
  <c r="AA39" i="12" s="1"/>
  <c r="AA21" i="6"/>
  <c r="AB169" i="6"/>
  <c r="AA61" i="12"/>
  <c r="AA81" i="6"/>
  <c r="AC64" i="17"/>
  <c r="AC78" i="17"/>
  <c r="AC77" i="17"/>
  <c r="AC63" i="17"/>
  <c r="AC62" i="17"/>
  <c r="AC76" i="17"/>
  <c r="AC53" i="12"/>
  <c r="AC54" i="12" s="1"/>
  <c r="AC49" i="6"/>
  <c r="AC118" i="11"/>
  <c r="AC125" i="11"/>
  <c r="AC132" i="11" s="1"/>
  <c r="AC119" i="11"/>
  <c r="AC126" i="11"/>
  <c r="AC133" i="11" s="1"/>
  <c r="AC116" i="11"/>
  <c r="AC123" i="11"/>
  <c r="AC130" i="11" s="1"/>
  <c r="AD61" i="17"/>
  <c r="AD33" i="17"/>
  <c r="AD94" i="17" s="1"/>
  <c r="AD96" i="17" s="1"/>
  <c r="AD60" i="17"/>
  <c r="AD59" i="17"/>
  <c r="AD109" i="11"/>
  <c r="AD112" i="11"/>
  <c r="AD110" i="11"/>
  <c r="AD124" i="11" s="1"/>
  <c r="AD99" i="11"/>
  <c r="AD111" i="11"/>
  <c r="AD113" i="11"/>
  <c r="AD127" i="11" s="1"/>
  <c r="AD52" i="12"/>
  <c r="AD50" i="6" s="1"/>
  <c r="AD47" i="12"/>
  <c r="AE167" i="6"/>
  <c r="AE45" i="6"/>
  <c r="AE70" i="6"/>
  <c r="AE134" i="6"/>
  <c r="AE100" i="6"/>
  <c r="AE86" i="11"/>
  <c r="AE18" i="17"/>
  <c r="AF70" i="6"/>
  <c r="AF134" i="6"/>
  <c r="AF100" i="6"/>
  <c r="AF86" i="11"/>
  <c r="AF18" i="17"/>
  <c r="AF198" i="9"/>
  <c r="AF199" i="9" s="1"/>
  <c r="AF44" i="6" s="1"/>
  <c r="AF183" i="9"/>
  <c r="AG166" i="9"/>
  <c r="AG182" i="9" s="1"/>
  <c r="AG92" i="11"/>
  <c r="AG16" i="6"/>
  <c r="AH151" i="9"/>
  <c r="AH78" i="11" s="1"/>
  <c r="AH81" i="11" s="1"/>
  <c r="AH90" i="11" s="1"/>
  <c r="AI150" i="9"/>
  <c r="AF127" i="6"/>
  <c r="AF14" i="6"/>
  <c r="AF125" i="6" s="1"/>
  <c r="AF158" i="6"/>
  <c r="AB71" i="6"/>
  <c r="AB37" i="12"/>
  <c r="AB103" i="6"/>
  <c r="AB71" i="17"/>
  <c r="AB90" i="17" s="1"/>
  <c r="AB91" i="17" s="1"/>
  <c r="AB80" i="17"/>
  <c r="AB65" i="17"/>
  <c r="AB79" i="17"/>
  <c r="AB70" i="17"/>
  <c r="AB81" i="17"/>
  <c r="AB72" i="17"/>
  <c r="AF101" i="6"/>
  <c r="AF40" i="12"/>
  <c r="AG18" i="12"/>
  <c r="AF31" i="12"/>
  <c r="Z144" i="6" l="1"/>
  <c r="Z42" i="6"/>
  <c r="Z189" i="6"/>
  <c r="Z188" i="6"/>
  <c r="AA25" i="13"/>
  <c r="Z38" i="13"/>
  <c r="Z51" i="6"/>
  <c r="Z54" i="6" s="1"/>
  <c r="AA31" i="13"/>
  <c r="AA22" i="6"/>
  <c r="AA132" i="6"/>
  <c r="AB57" i="12"/>
  <c r="AB62" i="12" s="1"/>
  <c r="AB19" i="6" s="1"/>
  <c r="AB130" i="6" s="1"/>
  <c r="AA53" i="6"/>
  <c r="AC169" i="6"/>
  <c r="AC72" i="17"/>
  <c r="AC81" i="17"/>
  <c r="AC80" i="17"/>
  <c r="AC71" i="17"/>
  <c r="AC90" i="17" s="1"/>
  <c r="AC91" i="17" s="1"/>
  <c r="AC79" i="17"/>
  <c r="AC70" i="17"/>
  <c r="AC65" i="17"/>
  <c r="AC71" i="6"/>
  <c r="AC103" i="6"/>
  <c r="AC37" i="12"/>
  <c r="AD64" i="17"/>
  <c r="AD78" i="17"/>
  <c r="AD63" i="17"/>
  <c r="AD77" i="17"/>
  <c r="AD76" i="17"/>
  <c r="AD62" i="17"/>
  <c r="AD116" i="11"/>
  <c r="AD123" i="11"/>
  <c r="AD130" i="11" s="1"/>
  <c r="AD126" i="11"/>
  <c r="AD133" i="11" s="1"/>
  <c r="AD119" i="11"/>
  <c r="AD118" i="11"/>
  <c r="AD125" i="11"/>
  <c r="AD132" i="11" s="1"/>
  <c r="AD49" i="6"/>
  <c r="AD53" i="12"/>
  <c r="AD54" i="12" s="1"/>
  <c r="AE93" i="11"/>
  <c r="AE94" i="11" s="1"/>
  <c r="AE97" i="11"/>
  <c r="AE95" i="17"/>
  <c r="AE19" i="17"/>
  <c r="AE30" i="17"/>
  <c r="AF97" i="11"/>
  <c r="AF93" i="11"/>
  <c r="AF94" i="11" s="1"/>
  <c r="AF95" i="17"/>
  <c r="AF30" i="17"/>
  <c r="AF19" i="17"/>
  <c r="AF167" i="6"/>
  <c r="AF45" i="6"/>
  <c r="AG183" i="9"/>
  <c r="AG198" i="9"/>
  <c r="AG199" i="9" s="1"/>
  <c r="AG44" i="6" s="1"/>
  <c r="AH166" i="9"/>
  <c r="AH182" i="9" s="1"/>
  <c r="AI166" i="9" s="1"/>
  <c r="AG85" i="11"/>
  <c r="AG167" i="9"/>
  <c r="AG23" i="6" s="1"/>
  <c r="AG158" i="6"/>
  <c r="AG127" i="6"/>
  <c r="AG14" i="6"/>
  <c r="AG125" i="6" s="1"/>
  <c r="AH16" i="6"/>
  <c r="AH92" i="11"/>
  <c r="AI151" i="9"/>
  <c r="AI78" i="11" s="1"/>
  <c r="AI81" i="11" s="1"/>
  <c r="AI90" i="11" s="1"/>
  <c r="AJ150" i="9"/>
  <c r="AB99" i="17"/>
  <c r="AB66" i="17"/>
  <c r="AG22" i="12"/>
  <c r="AG24" i="12" s="1"/>
  <c r="AG30" i="12"/>
  <c r="AG88" i="6" s="1"/>
  <c r="AF52" i="6"/>
  <c r="AF32" i="12"/>
  <c r="AF56" i="6" s="1"/>
  <c r="AF57" i="6" s="1"/>
  <c r="Z46" i="6" l="1"/>
  <c r="Z141" i="6"/>
  <c r="Z39" i="13"/>
  <c r="Z62" i="6"/>
  <c r="Z63" i="6" s="1"/>
  <c r="AA69" i="6"/>
  <c r="AA72" i="6" s="1"/>
  <c r="AA99" i="6"/>
  <c r="AA104" i="6" s="1"/>
  <c r="AA106" i="6" s="1"/>
  <c r="AA107" i="6" s="1"/>
  <c r="AA159" i="6"/>
  <c r="AA181" i="6"/>
  <c r="AA182" i="6"/>
  <c r="AA133" i="6"/>
  <c r="AA9" i="13"/>
  <c r="AA26" i="13" s="1"/>
  <c r="AA28" i="13" s="1"/>
  <c r="Z58" i="6"/>
  <c r="Z139" i="6"/>
  <c r="Z142" i="6"/>
  <c r="AD169" i="6"/>
  <c r="AC99" i="17"/>
  <c r="AC66" i="17"/>
  <c r="AD72" i="17"/>
  <c r="AD81" i="17"/>
  <c r="AD80" i="17"/>
  <c r="AD71" i="17"/>
  <c r="AD90" i="17" s="1"/>
  <c r="AD91" i="17" s="1"/>
  <c r="AD79" i="17"/>
  <c r="AD65" i="17"/>
  <c r="AD70" i="17"/>
  <c r="AD103" i="6"/>
  <c r="AD37" i="12"/>
  <c r="AD71" i="6"/>
  <c r="AE47" i="12"/>
  <c r="AE52" i="12"/>
  <c r="AE50" i="6" s="1"/>
  <c r="AE109" i="11"/>
  <c r="AE111" i="11"/>
  <c r="AE112" i="11"/>
  <c r="AE110" i="11"/>
  <c r="AE124" i="11" s="1"/>
  <c r="AE113" i="11"/>
  <c r="AE127" i="11" s="1"/>
  <c r="AE99" i="11"/>
  <c r="AE33" i="17"/>
  <c r="AE94" i="17" s="1"/>
  <c r="AE96" i="17" s="1"/>
  <c r="AE60" i="17"/>
  <c r="AE59" i="17"/>
  <c r="AE61" i="17"/>
  <c r="AF110" i="11"/>
  <c r="AF124" i="11" s="1"/>
  <c r="AF111" i="11"/>
  <c r="AF99" i="11"/>
  <c r="AF112" i="11"/>
  <c r="AF109" i="11"/>
  <c r="AF113" i="11"/>
  <c r="AF127" i="11" s="1"/>
  <c r="AF52" i="12"/>
  <c r="AF50" i="6" s="1"/>
  <c r="AF47" i="12"/>
  <c r="AF33" i="17"/>
  <c r="AF94" i="17" s="1"/>
  <c r="AF96" i="17" s="1"/>
  <c r="AF59" i="17"/>
  <c r="AF61" i="17"/>
  <c r="AF60" i="17"/>
  <c r="AH198" i="9"/>
  <c r="AH199" i="9" s="1"/>
  <c r="AH44" i="6" s="1"/>
  <c r="AH183" i="9"/>
  <c r="AG167" i="6"/>
  <c r="AG45" i="6"/>
  <c r="AH167" i="9"/>
  <c r="AH23" i="6" s="1"/>
  <c r="AH85" i="11"/>
  <c r="AG18" i="17"/>
  <c r="AG86" i="11"/>
  <c r="AG70" i="6"/>
  <c r="AG100" i="6"/>
  <c r="AG134" i="6"/>
  <c r="AH14" i="6"/>
  <c r="AH125" i="6" s="1"/>
  <c r="AH127" i="6"/>
  <c r="AH158" i="6"/>
  <c r="AI85" i="11"/>
  <c r="AI167" i="9"/>
  <c r="AI23" i="6" s="1"/>
  <c r="AI182" i="9"/>
  <c r="AJ166" i="9" s="1"/>
  <c r="AI16" i="6"/>
  <c r="AI92" i="11"/>
  <c r="AJ151" i="9"/>
  <c r="AJ78" i="11" s="1"/>
  <c r="AJ81" i="11" s="1"/>
  <c r="AJ90" i="11" s="1"/>
  <c r="AK150" i="9"/>
  <c r="AB30" i="6"/>
  <c r="AB97" i="17"/>
  <c r="AB67" i="17"/>
  <c r="AD30" i="6"/>
  <c r="AG101" i="6"/>
  <c r="AG40" i="12"/>
  <c r="AH18" i="12"/>
  <c r="AG31" i="12"/>
  <c r="Z147" i="6" l="1"/>
  <c r="Z160" i="6"/>
  <c r="Z184" i="6"/>
  <c r="Z166" i="6"/>
  <c r="Z183" i="6"/>
  <c r="Z150" i="6"/>
  <c r="Z89" i="6"/>
  <c r="Z162" i="6"/>
  <c r="Z148" i="6"/>
  <c r="Z186" i="6"/>
  <c r="Z161" i="6"/>
  <c r="AA140" i="6"/>
  <c r="AA12" i="12"/>
  <c r="Z185" i="6"/>
  <c r="Z187" i="6"/>
  <c r="Z151" i="6"/>
  <c r="Z64" i="6"/>
  <c r="Z65" i="6" s="1"/>
  <c r="Z149" i="6"/>
  <c r="AB98" i="17"/>
  <c r="AB88" i="11"/>
  <c r="AC67" i="17"/>
  <c r="AC97" i="17"/>
  <c r="AC30" i="6"/>
  <c r="AD99" i="17"/>
  <c r="AD66" i="17"/>
  <c r="AE53" i="12"/>
  <c r="AE54" i="12" s="1"/>
  <c r="AE49" i="6"/>
  <c r="AE123" i="11"/>
  <c r="AE130" i="11" s="1"/>
  <c r="AE116" i="11"/>
  <c r="AE125" i="11"/>
  <c r="AE132" i="11" s="1"/>
  <c r="AE118" i="11"/>
  <c r="AE119" i="11"/>
  <c r="AE126" i="11"/>
  <c r="AE133" i="11" s="1"/>
  <c r="AE63" i="17"/>
  <c r="AE77" i="17"/>
  <c r="AE62" i="17"/>
  <c r="AE76" i="17"/>
  <c r="AE64" i="17"/>
  <c r="AE78" i="17"/>
  <c r="AF125" i="11"/>
  <c r="AF132" i="11" s="1"/>
  <c r="AF118" i="11"/>
  <c r="AF119" i="11"/>
  <c r="AF126" i="11"/>
  <c r="AF133" i="11" s="1"/>
  <c r="AF116" i="11"/>
  <c r="AF123" i="11"/>
  <c r="AF130" i="11" s="1"/>
  <c r="AF49" i="6"/>
  <c r="AF53" i="12"/>
  <c r="AF62" i="17"/>
  <c r="AF76" i="17"/>
  <c r="AF64" i="17"/>
  <c r="AF78" i="17"/>
  <c r="AF77" i="17"/>
  <c r="AF63" i="17"/>
  <c r="AH45" i="6"/>
  <c r="AH167" i="6"/>
  <c r="AH100" i="6"/>
  <c r="AH134" i="6"/>
  <c r="AH70" i="6"/>
  <c r="AH18" i="17"/>
  <c r="AH86" i="11"/>
  <c r="AG30" i="17"/>
  <c r="AG19" i="17"/>
  <c r="AG93" i="11"/>
  <c r="AG94" i="11" s="1"/>
  <c r="AG97" i="11"/>
  <c r="AG95" i="17"/>
  <c r="AI86" i="11"/>
  <c r="AI18" i="17"/>
  <c r="AI100" i="6"/>
  <c r="AI70" i="6"/>
  <c r="AI134" i="6"/>
  <c r="AI198" i="9"/>
  <c r="AI199" i="9" s="1"/>
  <c r="AI44" i="6" s="1"/>
  <c r="AI183" i="9"/>
  <c r="AI14" i="6"/>
  <c r="AI125" i="6" s="1"/>
  <c r="AI158" i="6"/>
  <c r="AI127" i="6"/>
  <c r="AJ167" i="9"/>
  <c r="AJ23" i="6" s="1"/>
  <c r="AJ85" i="11"/>
  <c r="AJ182" i="9"/>
  <c r="AK166" i="9" s="1"/>
  <c r="AJ16" i="6"/>
  <c r="AJ92" i="11"/>
  <c r="AL150" i="9"/>
  <c r="AK151" i="9"/>
  <c r="AK78" i="11" s="1"/>
  <c r="AK81" i="11" s="1"/>
  <c r="AK90" i="11" s="1"/>
  <c r="AH30" i="12"/>
  <c r="AH88" i="6" s="1"/>
  <c r="AH22" i="12"/>
  <c r="AH24" i="12" s="1"/>
  <c r="AG52" i="6"/>
  <c r="AG32" i="12"/>
  <c r="AG56" i="6" s="1"/>
  <c r="AG57" i="6" s="1"/>
  <c r="Z94" i="6" l="1"/>
  <c r="Z95" i="6" s="1"/>
  <c r="Z90" i="6"/>
  <c r="Z91" i="6"/>
  <c r="AA14" i="12"/>
  <c r="AB14" i="12" s="1"/>
  <c r="AC14" i="12" s="1"/>
  <c r="AD14" i="12" s="1"/>
  <c r="AE14" i="12" s="1"/>
  <c r="AF14" i="12" s="1"/>
  <c r="AG14" i="12" s="1"/>
  <c r="AH14" i="12" s="1"/>
  <c r="AI14" i="12" s="1"/>
  <c r="AJ14" i="12" s="1"/>
  <c r="AK14" i="12" s="1"/>
  <c r="AL14" i="12" s="1"/>
  <c r="AM14" i="12" s="1"/>
  <c r="AN14" i="12" s="1"/>
  <c r="AO14" i="12" s="1"/>
  <c r="AP14" i="12" s="1"/>
  <c r="AQ14" i="12" s="1"/>
  <c r="AR14" i="12" s="1"/>
  <c r="AS14" i="12" s="1"/>
  <c r="AT14" i="12" s="1"/>
  <c r="AU14" i="12" s="1"/>
  <c r="AV14" i="12" s="1"/>
  <c r="AW14" i="12" s="1"/>
  <c r="AX14" i="12" s="1"/>
  <c r="AY14" i="12" s="1"/>
  <c r="AZ14" i="12" s="1"/>
  <c r="BA14" i="12" s="1"/>
  <c r="BB14" i="12" s="1"/>
  <c r="BC14" i="12" s="1"/>
  <c r="BD14" i="12" s="1"/>
  <c r="BE14" i="12" s="1"/>
  <c r="BF14" i="12" s="1"/>
  <c r="BG14" i="12" s="1"/>
  <c r="BH14" i="12" s="1"/>
  <c r="BI14" i="12" s="1"/>
  <c r="BJ14" i="12" s="1"/>
  <c r="BK14" i="12" s="1"/>
  <c r="BL14" i="12" s="1"/>
  <c r="BM14" i="12" s="1"/>
  <c r="BN14" i="12" s="1"/>
  <c r="BO14" i="12" s="1"/>
  <c r="AA111" i="6"/>
  <c r="AA79" i="6"/>
  <c r="AA13" i="13"/>
  <c r="AA15" i="13" s="1"/>
  <c r="AE169" i="6"/>
  <c r="AF169" i="6"/>
  <c r="AB87" i="11"/>
  <c r="AB11" i="6" s="1"/>
  <c r="AB12" i="6"/>
  <c r="AC98" i="17"/>
  <c r="AC88" i="11"/>
  <c r="AF54" i="12"/>
  <c r="AD67" i="17"/>
  <c r="AD97" i="17"/>
  <c r="AE37" i="12"/>
  <c r="AE71" i="6"/>
  <c r="AE103" i="6"/>
  <c r="AE71" i="17"/>
  <c r="AE90" i="17" s="1"/>
  <c r="AE91" i="17" s="1"/>
  <c r="AE80" i="17"/>
  <c r="AE65" i="17"/>
  <c r="AE70" i="17"/>
  <c r="AE79" i="17"/>
  <c r="AE72" i="17"/>
  <c r="AE81" i="17"/>
  <c r="AF65" i="17"/>
  <c r="AF79" i="17"/>
  <c r="AF70" i="17"/>
  <c r="AF81" i="17"/>
  <c r="AF72" i="17"/>
  <c r="AF71" i="17"/>
  <c r="AF90" i="17" s="1"/>
  <c r="AF91" i="17" s="1"/>
  <c r="AF80" i="17"/>
  <c r="AH30" i="17"/>
  <c r="AH19" i="17"/>
  <c r="AH93" i="11"/>
  <c r="AH94" i="11" s="1"/>
  <c r="AH97" i="11"/>
  <c r="AH95" i="17"/>
  <c r="AG59" i="17"/>
  <c r="AG60" i="17"/>
  <c r="AG33" i="17"/>
  <c r="AG94" i="17" s="1"/>
  <c r="AG96" i="17" s="1"/>
  <c r="AG61" i="17"/>
  <c r="AG52" i="12"/>
  <c r="AG50" i="6" s="1"/>
  <c r="AG47" i="12"/>
  <c r="AG113" i="11"/>
  <c r="AG127" i="11" s="1"/>
  <c r="AG110" i="11"/>
  <c r="AG124" i="11" s="1"/>
  <c r="AG111" i="11"/>
  <c r="AG109" i="11"/>
  <c r="AG112" i="11"/>
  <c r="AG99" i="11"/>
  <c r="AI97" i="11"/>
  <c r="AI95" i="17"/>
  <c r="AI93" i="11"/>
  <c r="AI94" i="11" s="1"/>
  <c r="AI30" i="17"/>
  <c r="AI19" i="17"/>
  <c r="AI167" i="6"/>
  <c r="AI45" i="6"/>
  <c r="AJ134" i="6"/>
  <c r="AJ100" i="6"/>
  <c r="AJ70" i="6"/>
  <c r="AJ18" i="17"/>
  <c r="AJ86" i="11"/>
  <c r="AJ198" i="9"/>
  <c r="AJ199" i="9" s="1"/>
  <c r="AJ44" i="6" s="1"/>
  <c r="AJ183" i="9"/>
  <c r="AJ14" i="6"/>
  <c r="AJ125" i="6" s="1"/>
  <c r="AJ158" i="6"/>
  <c r="AJ127" i="6"/>
  <c r="AK85" i="11"/>
  <c r="AK167" i="9"/>
  <c r="AK23" i="6" s="1"/>
  <c r="AK182" i="9"/>
  <c r="AM150" i="9"/>
  <c r="AL151" i="9"/>
  <c r="AL78" i="11" s="1"/>
  <c r="AL81" i="11" s="1"/>
  <c r="AL90" i="11" s="1"/>
  <c r="AK16" i="6"/>
  <c r="AK92" i="11"/>
  <c r="AE30" i="6"/>
  <c r="AI18" i="12"/>
  <c r="AH31" i="12"/>
  <c r="AH40" i="12"/>
  <c r="AH101" i="6"/>
  <c r="AA58" i="12" l="1"/>
  <c r="AA82" i="6"/>
  <c r="AA83" i="6" s="1"/>
  <c r="AA85" i="6" s="1"/>
  <c r="AA18" i="13"/>
  <c r="AA22" i="13" s="1"/>
  <c r="AA29" i="13" s="1"/>
  <c r="AB14" i="13"/>
  <c r="AB15" i="13" s="1"/>
  <c r="AA36" i="13"/>
  <c r="Z96" i="6"/>
  <c r="Z109" i="6" s="1"/>
  <c r="Z110" i="6" s="1"/>
  <c r="AB168" i="6"/>
  <c r="AB156" i="6"/>
  <c r="AB123" i="6"/>
  <c r="AB13" i="6"/>
  <c r="AC87" i="11"/>
  <c r="AC11" i="6" s="1"/>
  <c r="AC12" i="6"/>
  <c r="AD98" i="17"/>
  <c r="AD88" i="11"/>
  <c r="AF71" i="6"/>
  <c r="AF103" i="6"/>
  <c r="AF37" i="12"/>
  <c r="AE66" i="17"/>
  <c r="AE99" i="17"/>
  <c r="AF99" i="17"/>
  <c r="AF66" i="17"/>
  <c r="AH60" i="17"/>
  <c r="AH59" i="17"/>
  <c r="AH61" i="17"/>
  <c r="AH33" i="17"/>
  <c r="AH94" i="17" s="1"/>
  <c r="AH96" i="17" s="1"/>
  <c r="AH47" i="12"/>
  <c r="AH52" i="12"/>
  <c r="AH50" i="6" s="1"/>
  <c r="AH111" i="11"/>
  <c r="AH112" i="11"/>
  <c r="AH110" i="11"/>
  <c r="AH124" i="11" s="1"/>
  <c r="AH99" i="11"/>
  <c r="AH109" i="11"/>
  <c r="AH113" i="11"/>
  <c r="AH127" i="11" s="1"/>
  <c r="AG76" i="17"/>
  <c r="AG62" i="17"/>
  <c r="AG77" i="17"/>
  <c r="AG63" i="17"/>
  <c r="AG78" i="17"/>
  <c r="AG64" i="17"/>
  <c r="AG49" i="6"/>
  <c r="AG53" i="12"/>
  <c r="AG54" i="12" s="1"/>
  <c r="AG118" i="11"/>
  <c r="AG125" i="11"/>
  <c r="AG132" i="11" s="1"/>
  <c r="AG116" i="11"/>
  <c r="AG123" i="11"/>
  <c r="AG130" i="11" s="1"/>
  <c r="AG126" i="11"/>
  <c r="AG133" i="11" s="1"/>
  <c r="AG119" i="11"/>
  <c r="AI99" i="11"/>
  <c r="AI112" i="11"/>
  <c r="AI109" i="11"/>
  <c r="AI113" i="11"/>
  <c r="AI127" i="11" s="1"/>
  <c r="AI110" i="11"/>
  <c r="AI124" i="11" s="1"/>
  <c r="AI111" i="11"/>
  <c r="AI47" i="12"/>
  <c r="AI52" i="12"/>
  <c r="AI50" i="6" s="1"/>
  <c r="AI61" i="17"/>
  <c r="AI33" i="17"/>
  <c r="AI94" i="17" s="1"/>
  <c r="AI96" i="17" s="1"/>
  <c r="AI60" i="17"/>
  <c r="AI59" i="17"/>
  <c r="AJ19" i="17"/>
  <c r="AJ30" i="17"/>
  <c r="AJ93" i="11"/>
  <c r="AJ94" i="11" s="1"/>
  <c r="AJ97" i="11"/>
  <c r="AJ95" i="17"/>
  <c r="AJ45" i="6"/>
  <c r="AJ167" i="6"/>
  <c r="AK86" i="11"/>
  <c r="AK18" i="17"/>
  <c r="AK134" i="6"/>
  <c r="AK70" i="6"/>
  <c r="AK100" i="6"/>
  <c r="AK198" i="9"/>
  <c r="AK199" i="9" s="1"/>
  <c r="AK44" i="6" s="1"/>
  <c r="AK183" i="9"/>
  <c r="AL166" i="9"/>
  <c r="AL182" i="9" s="1"/>
  <c r="AM166" i="9" s="1"/>
  <c r="AN150" i="9"/>
  <c r="AM151" i="9"/>
  <c r="AM78" i="11" s="1"/>
  <c r="AM81" i="11" s="1"/>
  <c r="AM90" i="11" s="1"/>
  <c r="AL92" i="11"/>
  <c r="AL16" i="6"/>
  <c r="AK14" i="6"/>
  <c r="AK125" i="6" s="1"/>
  <c r="AK158" i="6"/>
  <c r="AK127" i="6"/>
  <c r="AF30" i="6"/>
  <c r="AI22" i="12"/>
  <c r="AI24" i="12" s="1"/>
  <c r="AI30" i="12"/>
  <c r="AI88" i="6" s="1"/>
  <c r="AH52" i="6"/>
  <c r="AH32" i="12"/>
  <c r="AH56" i="6" s="1"/>
  <c r="AH57" i="6" s="1"/>
  <c r="AB84" i="6" l="1"/>
  <c r="AA38" i="6"/>
  <c r="AA30" i="13"/>
  <c r="AA33" i="13"/>
  <c r="AB36" i="13"/>
  <c r="AB60" i="6" s="1"/>
  <c r="AB18" i="13"/>
  <c r="AB22" i="13" s="1"/>
  <c r="AB29" i="13" s="1"/>
  <c r="AC14" i="13"/>
  <c r="AC15" i="13" s="1"/>
  <c r="AA60" i="6"/>
  <c r="AG169" i="6"/>
  <c r="AB177" i="6"/>
  <c r="AB155" i="6"/>
  <c r="AB18" i="6"/>
  <c r="AB178" i="6"/>
  <c r="AB124" i="6"/>
  <c r="AC123" i="6"/>
  <c r="AC156" i="6"/>
  <c r="AC168" i="6"/>
  <c r="AC13" i="6"/>
  <c r="AD87" i="11"/>
  <c r="AD11" i="6" s="1"/>
  <c r="AD12" i="6"/>
  <c r="AF67" i="17"/>
  <c r="AF97" i="17"/>
  <c r="AH63" i="17"/>
  <c r="AH77" i="17"/>
  <c r="AH76" i="17"/>
  <c r="AH62" i="17"/>
  <c r="AH64" i="17"/>
  <c r="AH78" i="17"/>
  <c r="AH49" i="6"/>
  <c r="AH53" i="12"/>
  <c r="AH54" i="12" s="1"/>
  <c r="AH125" i="11"/>
  <c r="AH132" i="11" s="1"/>
  <c r="AH118" i="11"/>
  <c r="AH119" i="11"/>
  <c r="AH126" i="11"/>
  <c r="AH133" i="11" s="1"/>
  <c r="AH116" i="11"/>
  <c r="AH123" i="11"/>
  <c r="AH130" i="11" s="1"/>
  <c r="AG70" i="17"/>
  <c r="AG79" i="17"/>
  <c r="AG65" i="17"/>
  <c r="AG71" i="17"/>
  <c r="AG90" i="17" s="1"/>
  <c r="AG91" i="17" s="1"/>
  <c r="AG80" i="17"/>
  <c r="AG72" i="17"/>
  <c r="AG81" i="17"/>
  <c r="AG103" i="6"/>
  <c r="AG71" i="6"/>
  <c r="AG37" i="12"/>
  <c r="AI126" i="11"/>
  <c r="AI133" i="11" s="1"/>
  <c r="AI119" i="11"/>
  <c r="AI123" i="11"/>
  <c r="AI130" i="11" s="1"/>
  <c r="AI116" i="11"/>
  <c r="AI125" i="11"/>
  <c r="AI132" i="11" s="1"/>
  <c r="AI118" i="11"/>
  <c r="AI53" i="12"/>
  <c r="AI49" i="6"/>
  <c r="AI64" i="17"/>
  <c r="AI78" i="17"/>
  <c r="AI63" i="17"/>
  <c r="AI77" i="17"/>
  <c r="AI62" i="17"/>
  <c r="AI76" i="17"/>
  <c r="AJ33" i="17"/>
  <c r="AJ94" i="17" s="1"/>
  <c r="AJ96" i="17" s="1"/>
  <c r="AJ59" i="17"/>
  <c r="AJ61" i="17"/>
  <c r="AJ60" i="17"/>
  <c r="AJ47" i="12"/>
  <c r="AJ52" i="12"/>
  <c r="AJ50" i="6" s="1"/>
  <c r="AJ99" i="11"/>
  <c r="AJ110" i="11"/>
  <c r="AJ124" i="11" s="1"/>
  <c r="AJ111" i="11"/>
  <c r="AJ113" i="11"/>
  <c r="AJ127" i="11" s="1"/>
  <c r="AJ109" i="11"/>
  <c r="AJ112" i="11"/>
  <c r="AK97" i="11"/>
  <c r="AK93" i="11"/>
  <c r="AK94" i="11" s="1"/>
  <c r="AK95" i="17"/>
  <c r="AK19" i="17"/>
  <c r="AK30" i="17"/>
  <c r="AK45" i="6"/>
  <c r="AK167" i="6"/>
  <c r="AL183" i="9"/>
  <c r="AL198" i="9"/>
  <c r="AL199" i="9" s="1"/>
  <c r="AL44" i="6" s="1"/>
  <c r="AL85" i="11"/>
  <c r="AL167" i="9"/>
  <c r="AL23" i="6" s="1"/>
  <c r="AM85" i="11"/>
  <c r="AM167" i="9"/>
  <c r="AM23" i="6" s="1"/>
  <c r="AM182" i="9"/>
  <c r="AN166" i="9"/>
  <c r="AO150" i="9"/>
  <c r="AN151" i="9"/>
  <c r="AN78" i="11" s="1"/>
  <c r="AN81" i="11" s="1"/>
  <c r="AN90" i="11" s="1"/>
  <c r="AM92" i="11"/>
  <c r="AM16" i="6"/>
  <c r="AL14" i="6"/>
  <c r="AL125" i="6" s="1"/>
  <c r="AL158" i="6"/>
  <c r="AL127" i="6"/>
  <c r="AE97" i="17"/>
  <c r="AE67" i="17"/>
  <c r="AI101" i="6"/>
  <c r="AI40" i="12"/>
  <c r="AJ18" i="12"/>
  <c r="AI31" i="12"/>
  <c r="AA189" i="6" l="1"/>
  <c r="AA42" i="6"/>
  <c r="AA188" i="6"/>
  <c r="AA144" i="6"/>
  <c r="AA38" i="13"/>
  <c r="AB25" i="13"/>
  <c r="AB31" i="13"/>
  <c r="AB33" i="13" s="1"/>
  <c r="AA51" i="6"/>
  <c r="AA54" i="6" s="1"/>
  <c r="AC36" i="13"/>
  <c r="AC60" i="6" s="1"/>
  <c r="AC18" i="13"/>
  <c r="AC22" i="13" s="1"/>
  <c r="AC29" i="13" s="1"/>
  <c r="AD14" i="13"/>
  <c r="AD15" i="13" s="1"/>
  <c r="AH169" i="6"/>
  <c r="AI169" i="6"/>
  <c r="AB20" i="6"/>
  <c r="AB129" i="6"/>
  <c r="AB172" i="6"/>
  <c r="AB24" i="6"/>
  <c r="AC124" i="6"/>
  <c r="AC178" i="6"/>
  <c r="AC18" i="6"/>
  <c r="AC177" i="6"/>
  <c r="AC155" i="6"/>
  <c r="AD123" i="6"/>
  <c r="AD156" i="6"/>
  <c r="AD168" i="6"/>
  <c r="AD13" i="6"/>
  <c r="AF98" i="17"/>
  <c r="AF88" i="11"/>
  <c r="AE98" i="17"/>
  <c r="AE88" i="11"/>
  <c r="AH80" i="17"/>
  <c r="AH71" i="17"/>
  <c r="AH90" i="17" s="1"/>
  <c r="AH91" i="17" s="1"/>
  <c r="AH65" i="17"/>
  <c r="AH79" i="17"/>
  <c r="AH70" i="17"/>
  <c r="AH81" i="17"/>
  <c r="AH72" i="17"/>
  <c r="AH37" i="12"/>
  <c r="AH71" i="6"/>
  <c r="AH103" i="6"/>
  <c r="AG66" i="17"/>
  <c r="AG99" i="17"/>
  <c r="AI81" i="17"/>
  <c r="AI72" i="17"/>
  <c r="AI71" i="17"/>
  <c r="AI90" i="17" s="1"/>
  <c r="AI91" i="17" s="1"/>
  <c r="AI80" i="17"/>
  <c r="AI65" i="17"/>
  <c r="AI70" i="17"/>
  <c r="AI79" i="17"/>
  <c r="AJ62" i="17"/>
  <c r="AJ76" i="17"/>
  <c r="AJ78" i="17"/>
  <c r="AJ64" i="17"/>
  <c r="AJ63" i="17"/>
  <c r="AJ77" i="17"/>
  <c r="AJ49" i="6"/>
  <c r="AJ53" i="12"/>
  <c r="AJ54" i="12" s="1"/>
  <c r="AJ118" i="11"/>
  <c r="AJ125" i="11"/>
  <c r="AJ132" i="11" s="1"/>
  <c r="AJ123" i="11"/>
  <c r="AJ130" i="11" s="1"/>
  <c r="AJ116" i="11"/>
  <c r="AJ119" i="11"/>
  <c r="AJ126" i="11"/>
  <c r="AJ133" i="11" s="1"/>
  <c r="AK99" i="11"/>
  <c r="AK112" i="11"/>
  <c r="AK111" i="11"/>
  <c r="AK113" i="11"/>
  <c r="AK127" i="11" s="1"/>
  <c r="AK109" i="11"/>
  <c r="AK110" i="11"/>
  <c r="AK124" i="11" s="1"/>
  <c r="AK47" i="12"/>
  <c r="AK52" i="12"/>
  <c r="AK50" i="6" s="1"/>
  <c r="AK61" i="17"/>
  <c r="AK59" i="17"/>
  <c r="AK60" i="17"/>
  <c r="AK33" i="17"/>
  <c r="AK94" i="17" s="1"/>
  <c r="AK96" i="17" s="1"/>
  <c r="AL167" i="6"/>
  <c r="AL45" i="6"/>
  <c r="AL18" i="17"/>
  <c r="AL86" i="11"/>
  <c r="AL70" i="6"/>
  <c r="AL100" i="6"/>
  <c r="AL134" i="6"/>
  <c r="AM86" i="11"/>
  <c r="AM18" i="17"/>
  <c r="AM70" i="6"/>
  <c r="AM100" i="6"/>
  <c r="AM134" i="6"/>
  <c r="AM198" i="9"/>
  <c r="AM199" i="9" s="1"/>
  <c r="AM44" i="6" s="1"/>
  <c r="AM183" i="9"/>
  <c r="AN167" i="9"/>
  <c r="AN23" i="6" s="1"/>
  <c r="AN85" i="11"/>
  <c r="AN182" i="9"/>
  <c r="AO151" i="9"/>
  <c r="AO78" i="11" s="1"/>
  <c r="AO81" i="11" s="1"/>
  <c r="AO90" i="11" s="1"/>
  <c r="AP150" i="9"/>
  <c r="AN92" i="11"/>
  <c r="AN16" i="6"/>
  <c r="AM158" i="6"/>
  <c r="AM127" i="6"/>
  <c r="AM14" i="6"/>
  <c r="AM125" i="6" s="1"/>
  <c r="AI54" i="12"/>
  <c r="AJ22" i="12"/>
  <c r="AJ24" i="12" s="1"/>
  <c r="AJ30" i="12"/>
  <c r="AJ88" i="6" s="1"/>
  <c r="AI52" i="6"/>
  <c r="AI32" i="12"/>
  <c r="AI56" i="6" s="1"/>
  <c r="AI57" i="6" s="1"/>
  <c r="AA141" i="6" l="1"/>
  <c r="AA46" i="6"/>
  <c r="AA39" i="13"/>
  <c r="AA62" i="6"/>
  <c r="AA63" i="6" s="1"/>
  <c r="AC31" i="13"/>
  <c r="AC33" i="13" s="1"/>
  <c r="AB51" i="6"/>
  <c r="AD18" i="13"/>
  <c r="AD22" i="13" s="1"/>
  <c r="AD29" i="13" s="1"/>
  <c r="AE14" i="13"/>
  <c r="AE15" i="13" s="1"/>
  <c r="AD36" i="13"/>
  <c r="AD60" i="6" s="1"/>
  <c r="AA58" i="6"/>
  <c r="AA139" i="6"/>
  <c r="AA142" i="6"/>
  <c r="AJ169" i="6"/>
  <c r="AB131" i="6"/>
  <c r="AB28" i="6"/>
  <c r="AB152" i="6"/>
  <c r="AB135" i="6"/>
  <c r="AB180" i="6"/>
  <c r="AB179" i="6"/>
  <c r="AB35" i="12"/>
  <c r="AC129" i="6"/>
  <c r="AC24" i="6"/>
  <c r="AC172" i="6"/>
  <c r="AD178" i="6"/>
  <c r="AD177" i="6"/>
  <c r="AD124" i="6"/>
  <c r="AD155" i="6"/>
  <c r="AD18" i="6"/>
  <c r="AF87" i="11"/>
  <c r="AF11" i="6" s="1"/>
  <c r="AF12" i="6"/>
  <c r="AE87" i="11"/>
  <c r="AE11" i="6" s="1"/>
  <c r="AE12" i="6"/>
  <c r="AH99" i="17"/>
  <c r="AH66" i="17"/>
  <c r="AI66" i="17"/>
  <c r="AI99" i="17"/>
  <c r="AJ65" i="17"/>
  <c r="AJ79" i="17"/>
  <c r="AJ70" i="17"/>
  <c r="AJ81" i="17"/>
  <c r="AJ72" i="17"/>
  <c r="AJ71" i="17"/>
  <c r="AJ90" i="17" s="1"/>
  <c r="AJ91" i="17" s="1"/>
  <c r="AJ80" i="17"/>
  <c r="AJ103" i="6"/>
  <c r="AJ37" i="12"/>
  <c r="AJ71" i="6"/>
  <c r="AK119" i="11"/>
  <c r="AK126" i="11"/>
  <c r="AK133" i="11" s="1"/>
  <c r="AK118" i="11"/>
  <c r="AK125" i="11"/>
  <c r="AK132" i="11" s="1"/>
  <c r="AK116" i="11"/>
  <c r="AK123" i="11"/>
  <c r="AK130" i="11" s="1"/>
  <c r="AK49" i="6"/>
  <c r="AK53" i="12"/>
  <c r="AK54" i="12" s="1"/>
  <c r="AK78" i="17"/>
  <c r="AK64" i="17"/>
  <c r="AK62" i="17"/>
  <c r="AK76" i="17"/>
  <c r="AK63" i="17"/>
  <c r="AK77" i="17"/>
  <c r="AL19" i="17"/>
  <c r="AL30" i="17"/>
  <c r="AL93" i="11"/>
  <c r="AL94" i="11" s="1"/>
  <c r="AL97" i="11"/>
  <c r="AL95" i="17"/>
  <c r="AM97" i="11"/>
  <c r="AM93" i="11"/>
  <c r="AM94" i="11" s="1"/>
  <c r="AM95" i="17"/>
  <c r="AM30" i="17"/>
  <c r="AM19" i="17"/>
  <c r="AM167" i="6"/>
  <c r="AM45" i="6"/>
  <c r="AN70" i="6"/>
  <c r="AN100" i="6"/>
  <c r="AN134" i="6"/>
  <c r="AN86" i="11"/>
  <c r="AN18" i="17"/>
  <c r="AN198" i="9"/>
  <c r="AN199" i="9" s="1"/>
  <c r="AN44" i="6" s="1"/>
  <c r="AN183" i="9"/>
  <c r="AO166" i="9"/>
  <c r="AO182" i="9" s="1"/>
  <c r="AO92" i="11"/>
  <c r="AO16" i="6"/>
  <c r="AQ150" i="9"/>
  <c r="AP151" i="9"/>
  <c r="AP78" i="11" s="1"/>
  <c r="AP81" i="11" s="1"/>
  <c r="AP90" i="11" s="1"/>
  <c r="AN158" i="6"/>
  <c r="AN127" i="6"/>
  <c r="AN14" i="6"/>
  <c r="AN125" i="6" s="1"/>
  <c r="AI71" i="6"/>
  <c r="AI37" i="12"/>
  <c r="AI103" i="6"/>
  <c r="AG97" i="17"/>
  <c r="AG67" i="17"/>
  <c r="AH30" i="6"/>
  <c r="AJ40" i="12"/>
  <c r="AJ101" i="6"/>
  <c r="AJ31" i="12"/>
  <c r="AK18" i="12"/>
  <c r="AA184" i="6" l="1"/>
  <c r="AA147" i="6"/>
  <c r="AA183" i="6"/>
  <c r="AA166" i="6"/>
  <c r="AA160" i="6"/>
  <c r="AA150" i="6"/>
  <c r="AA89" i="6"/>
  <c r="AA162" i="6"/>
  <c r="AA161" i="6"/>
  <c r="AA186" i="6"/>
  <c r="AA148" i="6"/>
  <c r="AD31" i="13"/>
  <c r="AD33" i="13" s="1"/>
  <c r="AC51" i="6"/>
  <c r="AE36" i="13"/>
  <c r="AE60" i="6" s="1"/>
  <c r="AF14" i="13"/>
  <c r="AF15" i="13" s="1"/>
  <c r="AE18" i="13"/>
  <c r="AE22" i="13" s="1"/>
  <c r="AE29" i="13" s="1"/>
  <c r="AA151" i="6"/>
  <c r="AA64" i="6"/>
  <c r="AA65" i="6" s="1"/>
  <c r="AA185" i="6"/>
  <c r="AA187" i="6"/>
  <c r="AA149" i="6"/>
  <c r="AK169" i="6"/>
  <c r="AB31" i="6"/>
  <c r="AB33" i="6" s="1"/>
  <c r="AB32" i="6"/>
  <c r="AC29" i="6" s="1"/>
  <c r="AC179" i="6"/>
  <c r="AC135" i="6"/>
  <c r="AC180" i="6"/>
  <c r="AC35" i="12"/>
  <c r="AC152" i="6"/>
  <c r="AD172" i="6"/>
  <c r="AD129" i="6"/>
  <c r="AD24" i="6"/>
  <c r="AF123" i="6"/>
  <c r="AF168" i="6"/>
  <c r="AF156" i="6"/>
  <c r="AF13" i="6"/>
  <c r="AE156" i="6"/>
  <c r="AE123" i="6"/>
  <c r="AE168" i="6"/>
  <c r="AE13" i="6"/>
  <c r="AG98" i="17"/>
  <c r="AG88" i="11"/>
  <c r="AI67" i="17"/>
  <c r="AI97" i="17"/>
  <c r="AJ66" i="17"/>
  <c r="AJ99" i="17"/>
  <c r="AK37" i="12"/>
  <c r="AK71" i="6"/>
  <c r="AK103" i="6"/>
  <c r="AK81" i="17"/>
  <c r="AK72" i="17"/>
  <c r="AK79" i="17"/>
  <c r="AK65" i="17"/>
  <c r="AK70" i="17"/>
  <c r="AK71" i="17"/>
  <c r="AK90" i="17" s="1"/>
  <c r="AK91" i="17" s="1"/>
  <c r="AK80" i="17"/>
  <c r="AL33" i="17"/>
  <c r="AL94" i="17" s="1"/>
  <c r="AL96" i="17" s="1"/>
  <c r="AL61" i="17"/>
  <c r="AL60" i="17"/>
  <c r="AL59" i="17"/>
  <c r="AL52" i="12"/>
  <c r="AL50" i="6" s="1"/>
  <c r="AL47" i="12"/>
  <c r="AL113" i="11"/>
  <c r="AL127" i="11" s="1"/>
  <c r="AL110" i="11"/>
  <c r="AL124" i="11" s="1"/>
  <c r="AL109" i="11"/>
  <c r="AL111" i="11"/>
  <c r="AL112" i="11"/>
  <c r="AL99" i="11"/>
  <c r="AM110" i="11"/>
  <c r="AM124" i="11" s="1"/>
  <c r="AM99" i="11"/>
  <c r="AM113" i="11"/>
  <c r="AM127" i="11" s="1"/>
  <c r="AM112" i="11"/>
  <c r="AM111" i="11"/>
  <c r="AM109" i="11"/>
  <c r="AM47" i="12"/>
  <c r="AM52" i="12"/>
  <c r="AM50" i="6" s="1"/>
  <c r="AM59" i="17"/>
  <c r="AM61" i="17"/>
  <c r="AM33" i="17"/>
  <c r="AM94" i="17" s="1"/>
  <c r="AM96" i="17" s="1"/>
  <c r="AM60" i="17"/>
  <c r="AN95" i="17"/>
  <c r="AN97" i="11"/>
  <c r="AN93" i="11"/>
  <c r="AN94" i="11" s="1"/>
  <c r="AN19" i="17"/>
  <c r="AN30" i="17"/>
  <c r="AN167" i="6"/>
  <c r="AN45" i="6"/>
  <c r="AO183" i="9"/>
  <c r="AO198" i="9"/>
  <c r="AO199" i="9" s="1"/>
  <c r="AO44" i="6" s="1"/>
  <c r="AP166" i="9"/>
  <c r="AP182" i="9" s="1"/>
  <c r="AQ166" i="9" s="1"/>
  <c r="AO85" i="11"/>
  <c r="AO167" i="9"/>
  <c r="AO23" i="6" s="1"/>
  <c r="AO158" i="6"/>
  <c r="AO127" i="6"/>
  <c r="AO14" i="6"/>
  <c r="AO125" i="6" s="1"/>
  <c r="AQ151" i="9"/>
  <c r="AQ78" i="11" s="1"/>
  <c r="AQ81" i="11" s="1"/>
  <c r="AQ90" i="11" s="1"/>
  <c r="AR150" i="9"/>
  <c r="AP16" i="6"/>
  <c r="AP92" i="11"/>
  <c r="AH97" i="17"/>
  <c r="AH67" i="17"/>
  <c r="AK22" i="12"/>
  <c r="AK24" i="12" s="1"/>
  <c r="AK30" i="12"/>
  <c r="AK88" i="6" s="1"/>
  <c r="AJ52" i="6"/>
  <c r="AJ32" i="12"/>
  <c r="AJ56" i="6" s="1"/>
  <c r="AJ57" i="6" s="1"/>
  <c r="AA94" i="6" l="1"/>
  <c r="AA95" i="6" s="1"/>
  <c r="AA90" i="6"/>
  <c r="AA91" i="6"/>
  <c r="AD51" i="6"/>
  <c r="AE31" i="13"/>
  <c r="AE33" i="13" s="1"/>
  <c r="AG14" i="13"/>
  <c r="AG15" i="13" s="1"/>
  <c r="AF18" i="13"/>
  <c r="AF22" i="13" s="1"/>
  <c r="AF29" i="13" s="1"/>
  <c r="AF36" i="13"/>
  <c r="AF60" i="6" s="1"/>
  <c r="AB173" i="6"/>
  <c r="AB190" i="6" s="1"/>
  <c r="AB21" i="6"/>
  <c r="AB36" i="12"/>
  <c r="AB39" i="12" s="1"/>
  <c r="AB41" i="12" s="1"/>
  <c r="AD180" i="6"/>
  <c r="AD152" i="6"/>
  <c r="AD179" i="6"/>
  <c r="AD135" i="6"/>
  <c r="AD35" i="12"/>
  <c r="AF18" i="6"/>
  <c r="AF124" i="6"/>
  <c r="AF155" i="6"/>
  <c r="AF178" i="6"/>
  <c r="AF177" i="6"/>
  <c r="AE155" i="6"/>
  <c r="AE178" i="6"/>
  <c r="AE124" i="6"/>
  <c r="AE177" i="6"/>
  <c r="AE18" i="6"/>
  <c r="AG87" i="11"/>
  <c r="AG11" i="6" s="1"/>
  <c r="AG12" i="6"/>
  <c r="AI98" i="17"/>
  <c r="AI88" i="11"/>
  <c r="AH98" i="17"/>
  <c r="AH88" i="11"/>
  <c r="AJ67" i="17"/>
  <c r="AJ97" i="17"/>
  <c r="AK99" i="17"/>
  <c r="AK66" i="17"/>
  <c r="AL64" i="17"/>
  <c r="AL78" i="17"/>
  <c r="AL77" i="17"/>
  <c r="AL63" i="17"/>
  <c r="AL76" i="17"/>
  <c r="AL62" i="17"/>
  <c r="AL53" i="12"/>
  <c r="AL54" i="12" s="1"/>
  <c r="AL49" i="6"/>
  <c r="AL116" i="11"/>
  <c r="AL123" i="11"/>
  <c r="AL130" i="11" s="1"/>
  <c r="AL118" i="11"/>
  <c r="AL125" i="11"/>
  <c r="AL132" i="11" s="1"/>
  <c r="AL119" i="11"/>
  <c r="AL126" i="11"/>
  <c r="AL133" i="11" s="1"/>
  <c r="AM119" i="11"/>
  <c r="AM126" i="11"/>
  <c r="AM133" i="11" s="1"/>
  <c r="AM125" i="11"/>
  <c r="AM132" i="11" s="1"/>
  <c r="AM118" i="11"/>
  <c r="AM123" i="11"/>
  <c r="AM130" i="11" s="1"/>
  <c r="AM116" i="11"/>
  <c r="AM53" i="12"/>
  <c r="AM49" i="6"/>
  <c r="AM76" i="17"/>
  <c r="AM62" i="17"/>
  <c r="AM64" i="17"/>
  <c r="AM78" i="17"/>
  <c r="AM63" i="17"/>
  <c r="AM77" i="17"/>
  <c r="AN99" i="11"/>
  <c r="AN110" i="11"/>
  <c r="AN124" i="11" s="1"/>
  <c r="AN113" i="11"/>
  <c r="AN127" i="11" s="1"/>
  <c r="AN112" i="11"/>
  <c r="AN109" i="11"/>
  <c r="AN111" i="11"/>
  <c r="AN47" i="12"/>
  <c r="AN52" i="12"/>
  <c r="AN50" i="6" s="1"/>
  <c r="AN60" i="17"/>
  <c r="AN59" i="17"/>
  <c r="AN33" i="17"/>
  <c r="AN94" i="17" s="1"/>
  <c r="AN96" i="17" s="1"/>
  <c r="AN61" i="17"/>
  <c r="AP183" i="9"/>
  <c r="AP198" i="9"/>
  <c r="AP199" i="9" s="1"/>
  <c r="AP44" i="6" s="1"/>
  <c r="AO167" i="6"/>
  <c r="AO45" i="6"/>
  <c r="AP85" i="11"/>
  <c r="AP167" i="9"/>
  <c r="AP23" i="6" s="1"/>
  <c r="AO86" i="11"/>
  <c r="AO18" i="17"/>
  <c r="AO70" i="6"/>
  <c r="AO134" i="6"/>
  <c r="AO100" i="6"/>
  <c r="AQ167" i="9"/>
  <c r="AQ23" i="6" s="1"/>
  <c r="AQ85" i="11"/>
  <c r="AQ182" i="9"/>
  <c r="AR166" i="9" s="1"/>
  <c r="AQ16" i="6"/>
  <c r="AQ92" i="11"/>
  <c r="AS150" i="9"/>
  <c r="AR151" i="9"/>
  <c r="AR78" i="11" s="1"/>
  <c r="AR81" i="11" s="1"/>
  <c r="AR90" i="11" s="1"/>
  <c r="AP158" i="6"/>
  <c r="AP127" i="6"/>
  <c r="AP14" i="6"/>
  <c r="AP125" i="6" s="1"/>
  <c r="AK40" i="12"/>
  <c r="AK101" i="6"/>
  <c r="AL18" i="12"/>
  <c r="AK31" i="12"/>
  <c r="AF31" i="13" l="1"/>
  <c r="AF33" i="13" s="1"/>
  <c r="AE51" i="6"/>
  <c r="AG18" i="13"/>
  <c r="AG22" i="13" s="1"/>
  <c r="AG29" i="13" s="1"/>
  <c r="AG36" i="13"/>
  <c r="AG60" i="6" s="1"/>
  <c r="AH14" i="13"/>
  <c r="AH15" i="13" s="1"/>
  <c r="AA96" i="6"/>
  <c r="AA109" i="6" s="1"/>
  <c r="AA110" i="6" s="1"/>
  <c r="AL169" i="6"/>
  <c r="AM169" i="6"/>
  <c r="AB22" i="6"/>
  <c r="AB132" i="6"/>
  <c r="AF172" i="6"/>
  <c r="AF129" i="6"/>
  <c r="AF24" i="6"/>
  <c r="AE172" i="6"/>
  <c r="AE129" i="6"/>
  <c r="AE24" i="6"/>
  <c r="AG168" i="6"/>
  <c r="AG123" i="6"/>
  <c r="AG156" i="6"/>
  <c r="AG13" i="6"/>
  <c r="AI87" i="11"/>
  <c r="AI11" i="6" s="1"/>
  <c r="AI12" i="6"/>
  <c r="AH87" i="11"/>
  <c r="AH11" i="6" s="1"/>
  <c r="AH12" i="6"/>
  <c r="AJ98" i="17"/>
  <c r="AJ88" i="11"/>
  <c r="AM54" i="12"/>
  <c r="AK67" i="17"/>
  <c r="AK97" i="17"/>
  <c r="AL81" i="17"/>
  <c r="AL72" i="17"/>
  <c r="AL80" i="17"/>
  <c r="AL71" i="17"/>
  <c r="AL90" i="17" s="1"/>
  <c r="AL91" i="17" s="1"/>
  <c r="AL70" i="17"/>
  <c r="AL65" i="17"/>
  <c r="AL79" i="17"/>
  <c r="AL103" i="6"/>
  <c r="AL37" i="12"/>
  <c r="AL71" i="6"/>
  <c r="AM70" i="17"/>
  <c r="AM65" i="17"/>
  <c r="AM79" i="17"/>
  <c r="AM72" i="17"/>
  <c r="AM81" i="17"/>
  <c r="AM71" i="17"/>
  <c r="AM90" i="17" s="1"/>
  <c r="AM91" i="17" s="1"/>
  <c r="AM80" i="17"/>
  <c r="AN126" i="11"/>
  <c r="AN133" i="11" s="1"/>
  <c r="AN119" i="11"/>
  <c r="AN123" i="11"/>
  <c r="AN130" i="11" s="1"/>
  <c r="AN116" i="11"/>
  <c r="AN118" i="11"/>
  <c r="AN125" i="11"/>
  <c r="AN132" i="11" s="1"/>
  <c r="AN53" i="12"/>
  <c r="AN54" i="12" s="1"/>
  <c r="AN49" i="6"/>
  <c r="AN63" i="17"/>
  <c r="AN77" i="17"/>
  <c r="AN62" i="17"/>
  <c r="AN76" i="17"/>
  <c r="AN78" i="17"/>
  <c r="AN64" i="17"/>
  <c r="AP45" i="6"/>
  <c r="AP167" i="6"/>
  <c r="AP86" i="11"/>
  <c r="AP18" i="17"/>
  <c r="AP100" i="6"/>
  <c r="AP134" i="6"/>
  <c r="AP70" i="6"/>
  <c r="AO95" i="17"/>
  <c r="AO97" i="11"/>
  <c r="AO93" i="11"/>
  <c r="AO94" i="11" s="1"/>
  <c r="AO19" i="17"/>
  <c r="AO30" i="17"/>
  <c r="AQ70" i="6"/>
  <c r="AQ134" i="6"/>
  <c r="AQ100" i="6"/>
  <c r="AQ18" i="17"/>
  <c r="AQ86" i="11"/>
  <c r="AQ198" i="9"/>
  <c r="AQ199" i="9" s="1"/>
  <c r="AQ44" i="6" s="1"/>
  <c r="AQ183" i="9"/>
  <c r="AQ127" i="6"/>
  <c r="AQ14" i="6"/>
  <c r="AQ125" i="6" s="1"/>
  <c r="AQ158" i="6"/>
  <c r="AR85" i="11"/>
  <c r="AR167" i="9"/>
  <c r="AR23" i="6" s="1"/>
  <c r="AR182" i="9"/>
  <c r="AS151" i="9"/>
  <c r="AS78" i="11" s="1"/>
  <c r="AS81" i="11" s="1"/>
  <c r="AS90" i="11" s="1"/>
  <c r="AT150" i="9"/>
  <c r="AR92" i="11"/>
  <c r="AR16" i="6"/>
  <c r="AL22" i="12"/>
  <c r="AL24" i="12" s="1"/>
  <c r="AL30" i="12"/>
  <c r="AL88" i="6" s="1"/>
  <c r="AK52" i="6"/>
  <c r="AK32" i="12"/>
  <c r="AK56" i="6" s="1"/>
  <c r="AK57" i="6" s="1"/>
  <c r="AF51" i="6" l="1"/>
  <c r="AG31" i="13"/>
  <c r="AG33" i="13" s="1"/>
  <c r="AH36" i="13"/>
  <c r="AH60" i="6" s="1"/>
  <c r="AI14" i="13"/>
  <c r="AI15" i="13" s="1"/>
  <c r="AH18" i="13"/>
  <c r="AH22" i="13" s="1"/>
  <c r="AH29" i="13" s="1"/>
  <c r="AN169" i="6"/>
  <c r="AB133" i="6"/>
  <c r="AB9" i="13"/>
  <c r="AB26" i="13" s="1"/>
  <c r="AB28" i="13" s="1"/>
  <c r="AB30" i="13" s="1"/>
  <c r="AB99" i="6"/>
  <c r="AB104" i="6" s="1"/>
  <c r="AB106" i="6" s="1"/>
  <c r="AB107" i="6" s="1"/>
  <c r="AB159" i="6"/>
  <c r="AB181" i="6"/>
  <c r="AB69" i="6"/>
  <c r="AB72" i="6" s="1"/>
  <c r="AB182" i="6"/>
  <c r="AF152" i="6"/>
  <c r="AF179" i="6"/>
  <c r="AF35" i="12"/>
  <c r="AF135" i="6"/>
  <c r="AF180" i="6"/>
  <c r="AE135" i="6"/>
  <c r="AE179" i="6"/>
  <c r="AE180" i="6"/>
  <c r="AE35" i="12"/>
  <c r="AE152" i="6"/>
  <c r="AG18" i="6"/>
  <c r="AG124" i="6"/>
  <c r="AG178" i="6"/>
  <c r="AG155" i="6"/>
  <c r="AG177" i="6"/>
  <c r="AI123" i="6"/>
  <c r="AI156" i="6"/>
  <c r="AI168" i="6"/>
  <c r="AI13" i="6"/>
  <c r="AH168" i="6"/>
  <c r="AH123" i="6"/>
  <c r="AH156" i="6"/>
  <c r="AH13" i="6"/>
  <c r="AJ87" i="11"/>
  <c r="AJ11" i="6" s="1"/>
  <c r="AJ12" i="6"/>
  <c r="AK98" i="17"/>
  <c r="AK88" i="11"/>
  <c r="AM71" i="6"/>
  <c r="AM37" i="12"/>
  <c r="AM103" i="6"/>
  <c r="AL66" i="17"/>
  <c r="AL99" i="17"/>
  <c r="AM99" i="17"/>
  <c r="AM66" i="17"/>
  <c r="AN37" i="12"/>
  <c r="AN71" i="6"/>
  <c r="AN103" i="6"/>
  <c r="AN80" i="17"/>
  <c r="AN71" i="17"/>
  <c r="AN90" i="17" s="1"/>
  <c r="AN91" i="17" s="1"/>
  <c r="AN79" i="17"/>
  <c r="AN70" i="17"/>
  <c r="AN65" i="17"/>
  <c r="AN72" i="17"/>
  <c r="AN81" i="17"/>
  <c r="AP97" i="11"/>
  <c r="AP93" i="11"/>
  <c r="AP94" i="11" s="1"/>
  <c r="AP95" i="17"/>
  <c r="AP19" i="17"/>
  <c r="AP30" i="17"/>
  <c r="AO112" i="11"/>
  <c r="AO99" i="11"/>
  <c r="AO111" i="11"/>
  <c r="AO110" i="11"/>
  <c r="AO124" i="11" s="1"/>
  <c r="AO109" i="11"/>
  <c r="AO113" i="11"/>
  <c r="AO127" i="11" s="1"/>
  <c r="AO47" i="12"/>
  <c r="AO52" i="12"/>
  <c r="AO50" i="6" s="1"/>
  <c r="AO61" i="17"/>
  <c r="AO60" i="17"/>
  <c r="AO33" i="17"/>
  <c r="AO94" i="17" s="1"/>
  <c r="AO96" i="17" s="1"/>
  <c r="AO59" i="17"/>
  <c r="AQ19" i="17"/>
  <c r="AQ30" i="17"/>
  <c r="AQ95" i="17"/>
  <c r="AQ93" i="11"/>
  <c r="AQ94" i="11" s="1"/>
  <c r="AQ97" i="11"/>
  <c r="AQ45" i="6"/>
  <c r="AQ167" i="6"/>
  <c r="AR86" i="11"/>
  <c r="AR18" i="17"/>
  <c r="AR70" i="6"/>
  <c r="AR134" i="6"/>
  <c r="AR100" i="6"/>
  <c r="AR198" i="9"/>
  <c r="AR199" i="9" s="1"/>
  <c r="AR44" i="6" s="1"/>
  <c r="AR183" i="9"/>
  <c r="AS166" i="9"/>
  <c r="AS182" i="9" s="1"/>
  <c r="AS92" i="11"/>
  <c r="AS16" i="6"/>
  <c r="AT151" i="9"/>
  <c r="AT78" i="11" s="1"/>
  <c r="AT81" i="11" s="1"/>
  <c r="AT90" i="11" s="1"/>
  <c r="AU150" i="9"/>
  <c r="AR158" i="6"/>
  <c r="AR127" i="6"/>
  <c r="AR14" i="6"/>
  <c r="AR125" i="6" s="1"/>
  <c r="AL40" i="12"/>
  <c r="AL101" i="6"/>
  <c r="AM18" i="12"/>
  <c r="AL31" i="12"/>
  <c r="AG51" i="6" l="1"/>
  <c r="AH31" i="13"/>
  <c r="AH33" i="13" s="1"/>
  <c r="AI18" i="13"/>
  <c r="AI22" i="13" s="1"/>
  <c r="AI29" i="13" s="1"/>
  <c r="AJ14" i="13"/>
  <c r="AJ15" i="13" s="1"/>
  <c r="AI36" i="13"/>
  <c r="AI60" i="6" s="1"/>
  <c r="AC25" i="13"/>
  <c r="AB38" i="13"/>
  <c r="AB140" i="6"/>
  <c r="AB58" i="12"/>
  <c r="AG24" i="6"/>
  <c r="AG172" i="6"/>
  <c r="AG129" i="6"/>
  <c r="AI177" i="6"/>
  <c r="AI124" i="6"/>
  <c r="AI155" i="6"/>
  <c r="AI178" i="6"/>
  <c r="AI18" i="6"/>
  <c r="AH155" i="6"/>
  <c r="AH178" i="6"/>
  <c r="AH177" i="6"/>
  <c r="AH124" i="6"/>
  <c r="AH18" i="6"/>
  <c r="AJ168" i="6"/>
  <c r="AJ156" i="6"/>
  <c r="AJ123" i="6"/>
  <c r="AJ13" i="6"/>
  <c r="AK87" i="11"/>
  <c r="AK11" i="6" s="1"/>
  <c r="AK12" i="6"/>
  <c r="AM67" i="17"/>
  <c r="AM97" i="17"/>
  <c r="AN66" i="17"/>
  <c r="AN99" i="17"/>
  <c r="AP110" i="11"/>
  <c r="AP124" i="11" s="1"/>
  <c r="AP113" i="11"/>
  <c r="AP127" i="11" s="1"/>
  <c r="AP109" i="11"/>
  <c r="AP112" i="11"/>
  <c r="AP111" i="11"/>
  <c r="AP99" i="11"/>
  <c r="AP47" i="12"/>
  <c r="AP52" i="12"/>
  <c r="AP50" i="6" s="1"/>
  <c r="AP60" i="17"/>
  <c r="AP59" i="17"/>
  <c r="AP61" i="17"/>
  <c r="AP33" i="17"/>
  <c r="AP94" i="17" s="1"/>
  <c r="AP96" i="17" s="1"/>
  <c r="AO119" i="11"/>
  <c r="AO126" i="11"/>
  <c r="AO133" i="11" s="1"/>
  <c r="AO125" i="11"/>
  <c r="AO132" i="11" s="1"/>
  <c r="AO118" i="11"/>
  <c r="AO123" i="11"/>
  <c r="AO130" i="11" s="1"/>
  <c r="AO116" i="11"/>
  <c r="AO53" i="12"/>
  <c r="AO54" i="12" s="1"/>
  <c r="AO49" i="6"/>
  <c r="AO78" i="17"/>
  <c r="AO64" i="17"/>
  <c r="AO77" i="17"/>
  <c r="AO63" i="17"/>
  <c r="AO76" i="17"/>
  <c r="AO62" i="17"/>
  <c r="AQ33" i="17"/>
  <c r="AQ94" i="17" s="1"/>
  <c r="AQ96" i="17" s="1"/>
  <c r="AQ60" i="17"/>
  <c r="AQ59" i="17"/>
  <c r="AQ61" i="17"/>
  <c r="AQ52" i="12"/>
  <c r="AQ50" i="6" s="1"/>
  <c r="AQ47" i="12"/>
  <c r="AQ110" i="11"/>
  <c r="AQ124" i="11" s="1"/>
  <c r="AQ99" i="11"/>
  <c r="AQ109" i="11"/>
  <c r="AQ113" i="11"/>
  <c r="AQ127" i="11" s="1"/>
  <c r="AQ111" i="11"/>
  <c r="AQ112" i="11"/>
  <c r="AR93" i="11"/>
  <c r="AR94" i="11" s="1"/>
  <c r="AR95" i="17"/>
  <c r="AR97" i="11"/>
  <c r="AR30" i="17"/>
  <c r="AR19" i="17"/>
  <c r="AR45" i="6"/>
  <c r="AR167" i="6"/>
  <c r="AS198" i="9"/>
  <c r="AS199" i="9" s="1"/>
  <c r="AS44" i="6" s="1"/>
  <c r="AS183" i="9"/>
  <c r="AT166" i="9"/>
  <c r="AT182" i="9" s="1"/>
  <c r="AS167" i="9"/>
  <c r="AS23" i="6" s="1"/>
  <c r="AS85" i="11"/>
  <c r="AS127" i="6"/>
  <c r="AS14" i="6"/>
  <c r="AS125" i="6" s="1"/>
  <c r="AS158" i="6"/>
  <c r="AT16" i="6"/>
  <c r="AT92" i="11"/>
  <c r="AV150" i="9"/>
  <c r="AU151" i="9"/>
  <c r="AU78" i="11" s="1"/>
  <c r="AU81" i="11" s="1"/>
  <c r="AU90" i="11" s="1"/>
  <c r="AL97" i="17"/>
  <c r="AL67" i="17"/>
  <c r="AM22" i="12"/>
  <c r="AM24" i="12" s="1"/>
  <c r="AM30" i="12"/>
  <c r="AM88" i="6" s="1"/>
  <c r="AL52" i="6"/>
  <c r="AL32" i="12"/>
  <c r="AL56" i="6" s="1"/>
  <c r="AL57" i="6" s="1"/>
  <c r="AI31" i="13" l="1"/>
  <c r="AI33" i="13" s="1"/>
  <c r="AH51" i="6"/>
  <c r="AK14" i="13"/>
  <c r="AK15" i="13" s="1"/>
  <c r="AJ36" i="13"/>
  <c r="AJ60" i="6" s="1"/>
  <c r="AJ18" i="13"/>
  <c r="AJ22" i="13" s="1"/>
  <c r="AJ29" i="13" s="1"/>
  <c r="AO169" i="6"/>
  <c r="AB62" i="6"/>
  <c r="AB63" i="6" s="1"/>
  <c r="AB39" i="13"/>
  <c r="AB59" i="12"/>
  <c r="AB60" i="12"/>
  <c r="AG30" i="6"/>
  <c r="AG152" i="6"/>
  <c r="AG179" i="6"/>
  <c r="AG180" i="6"/>
  <c r="AG135" i="6"/>
  <c r="AG35" i="12"/>
  <c r="AI129" i="6"/>
  <c r="AI172" i="6"/>
  <c r="AI24" i="6"/>
  <c r="AH129" i="6"/>
  <c r="AH24" i="6"/>
  <c r="AH172" i="6"/>
  <c r="AJ178" i="6"/>
  <c r="AJ177" i="6"/>
  <c r="AJ18" i="6"/>
  <c r="AJ155" i="6"/>
  <c r="AJ124" i="6"/>
  <c r="AK123" i="6"/>
  <c r="AK156" i="6"/>
  <c r="AK168" i="6"/>
  <c r="AK13" i="6"/>
  <c r="AM98" i="17"/>
  <c r="AM88" i="11"/>
  <c r="AL98" i="17"/>
  <c r="AL88" i="11"/>
  <c r="AN67" i="17"/>
  <c r="AN97" i="17"/>
  <c r="AP123" i="11"/>
  <c r="AP130" i="11" s="1"/>
  <c r="AP116" i="11"/>
  <c r="AP126" i="11"/>
  <c r="AP133" i="11" s="1"/>
  <c r="AP119" i="11"/>
  <c r="AP125" i="11"/>
  <c r="AP132" i="11" s="1"/>
  <c r="AP118" i="11"/>
  <c r="AP49" i="6"/>
  <c r="AP53" i="12"/>
  <c r="AP54" i="12" s="1"/>
  <c r="AP63" i="17"/>
  <c r="AP77" i="17"/>
  <c r="AP76" i="17"/>
  <c r="AP62" i="17"/>
  <c r="AP64" i="17"/>
  <c r="AP78" i="17"/>
  <c r="AO71" i="6"/>
  <c r="AO37" i="12"/>
  <c r="AO103" i="6"/>
  <c r="AO72" i="17"/>
  <c r="AO81" i="17"/>
  <c r="AO71" i="17"/>
  <c r="AO90" i="17" s="1"/>
  <c r="AO91" i="17" s="1"/>
  <c r="AO80" i="17"/>
  <c r="AO65" i="17"/>
  <c r="AO70" i="17"/>
  <c r="AO79" i="17"/>
  <c r="AQ63" i="17"/>
  <c r="AQ77" i="17"/>
  <c r="AQ76" i="17"/>
  <c r="AQ62" i="17"/>
  <c r="AQ64" i="17"/>
  <c r="AQ78" i="17"/>
  <c r="AQ49" i="6"/>
  <c r="AQ53" i="12"/>
  <c r="AQ116" i="11"/>
  <c r="AQ123" i="11"/>
  <c r="AQ130" i="11" s="1"/>
  <c r="AQ118" i="11"/>
  <c r="AQ125" i="11"/>
  <c r="AQ132" i="11" s="1"/>
  <c r="AQ126" i="11"/>
  <c r="AQ133" i="11" s="1"/>
  <c r="AQ119" i="11"/>
  <c r="AR47" i="12"/>
  <c r="AR52" i="12"/>
  <c r="AR50" i="6" s="1"/>
  <c r="AR111" i="11"/>
  <c r="AR109" i="11"/>
  <c r="AR110" i="11"/>
  <c r="AR124" i="11" s="1"/>
  <c r="AR113" i="11"/>
  <c r="AR127" i="11" s="1"/>
  <c r="AR112" i="11"/>
  <c r="AR99" i="11"/>
  <c r="AR33" i="17"/>
  <c r="AR94" i="17" s="1"/>
  <c r="AR96" i="17" s="1"/>
  <c r="AR60" i="17"/>
  <c r="AR59" i="17"/>
  <c r="AR61" i="17"/>
  <c r="AS45" i="6"/>
  <c r="AS167" i="6"/>
  <c r="AT198" i="9"/>
  <c r="AT199" i="9" s="1"/>
  <c r="AT44" i="6" s="1"/>
  <c r="AT183" i="9"/>
  <c r="AU166" i="9"/>
  <c r="AU182" i="9" s="1"/>
  <c r="AV166" i="9" s="1"/>
  <c r="AT167" i="9"/>
  <c r="AT23" i="6" s="1"/>
  <c r="AT85" i="11"/>
  <c r="AS70" i="6"/>
  <c r="AS100" i="6"/>
  <c r="AS134" i="6"/>
  <c r="AS18" i="17"/>
  <c r="AS86" i="11"/>
  <c r="AT14" i="6"/>
  <c r="AT125" i="6" s="1"/>
  <c r="AT158" i="6"/>
  <c r="AT127" i="6"/>
  <c r="AV151" i="9"/>
  <c r="AV78" i="11" s="1"/>
  <c r="AV81" i="11" s="1"/>
  <c r="AV90" i="11" s="1"/>
  <c r="AW150" i="9"/>
  <c r="AU92" i="11"/>
  <c r="AU16" i="6"/>
  <c r="AM40" i="12"/>
  <c r="AM101" i="6"/>
  <c r="AN18" i="12"/>
  <c r="AM31" i="12"/>
  <c r="AJ31" i="13" l="1"/>
  <c r="AJ33" i="13" s="1"/>
  <c r="AI51" i="6"/>
  <c r="AK18" i="13"/>
  <c r="AK22" i="13" s="1"/>
  <c r="AK29" i="13" s="1"/>
  <c r="AK36" i="13"/>
  <c r="AK60" i="6" s="1"/>
  <c r="AL14" i="13"/>
  <c r="AL15" i="13" s="1"/>
  <c r="AP169" i="6"/>
  <c r="AQ169" i="6"/>
  <c r="AB162" i="6"/>
  <c r="AB161" i="6"/>
  <c r="AB148" i="6"/>
  <c r="AB186" i="6"/>
  <c r="AB89" i="6"/>
  <c r="AB81" i="6"/>
  <c r="AB82" i="6" s="1"/>
  <c r="AB83" i="6" s="1"/>
  <c r="AB85" i="6" s="1"/>
  <c r="AB61" i="12"/>
  <c r="AI135" i="6"/>
  <c r="AI179" i="6"/>
  <c r="AI180" i="6"/>
  <c r="AI35" i="12"/>
  <c r="AI152" i="6"/>
  <c r="AH135" i="6"/>
  <c r="AH180" i="6"/>
  <c r="AH152" i="6"/>
  <c r="AH179" i="6"/>
  <c r="AH35" i="12"/>
  <c r="AJ172" i="6"/>
  <c r="AJ129" i="6"/>
  <c r="AJ24" i="6"/>
  <c r="AK155" i="6"/>
  <c r="AK18" i="6"/>
  <c r="AK178" i="6"/>
  <c r="AK177" i="6"/>
  <c r="AK124" i="6"/>
  <c r="AM87" i="11"/>
  <c r="AM11" i="6" s="1"/>
  <c r="AM12" i="6"/>
  <c r="AL87" i="11"/>
  <c r="AL11" i="6" s="1"/>
  <c r="AL12" i="6"/>
  <c r="AN98" i="17"/>
  <c r="AN88" i="11"/>
  <c r="AP103" i="6"/>
  <c r="AP37" i="12"/>
  <c r="AP71" i="6"/>
  <c r="AP80" i="17"/>
  <c r="AP71" i="17"/>
  <c r="AP90" i="17" s="1"/>
  <c r="AP91" i="17" s="1"/>
  <c r="AP65" i="17"/>
  <c r="AP79" i="17"/>
  <c r="AP70" i="17"/>
  <c r="AP72" i="17"/>
  <c r="AP81" i="17"/>
  <c r="AO66" i="17"/>
  <c r="AO99" i="17"/>
  <c r="AQ80" i="17"/>
  <c r="AQ71" i="17"/>
  <c r="AQ90" i="17" s="1"/>
  <c r="AQ91" i="17" s="1"/>
  <c r="AQ65" i="17"/>
  <c r="AQ70" i="17"/>
  <c r="AQ79" i="17"/>
  <c r="AQ81" i="17"/>
  <c r="AQ72" i="17"/>
  <c r="AR49" i="6"/>
  <c r="AR53" i="12"/>
  <c r="AR54" i="12" s="1"/>
  <c r="AR125" i="11"/>
  <c r="AR132" i="11" s="1"/>
  <c r="AR118" i="11"/>
  <c r="AR116" i="11"/>
  <c r="AR123" i="11"/>
  <c r="AR130" i="11" s="1"/>
  <c r="AR126" i="11"/>
  <c r="AR133" i="11" s="1"/>
  <c r="AR119" i="11"/>
  <c r="AR63" i="17"/>
  <c r="AR77" i="17"/>
  <c r="AR76" i="17"/>
  <c r="AR62" i="17"/>
  <c r="AR78" i="17"/>
  <c r="AR64" i="17"/>
  <c r="AT167" i="6"/>
  <c r="AT45" i="6"/>
  <c r="AU198" i="9"/>
  <c r="AU199" i="9" s="1"/>
  <c r="AU44" i="6" s="1"/>
  <c r="AU183" i="9"/>
  <c r="AU167" i="9"/>
  <c r="AU23" i="6" s="1"/>
  <c r="AU85" i="11"/>
  <c r="AT70" i="6"/>
  <c r="AT134" i="6"/>
  <c r="AT100" i="6"/>
  <c r="AT18" i="17"/>
  <c r="AT86" i="11"/>
  <c r="AS30" i="17"/>
  <c r="AS19" i="17"/>
  <c r="AS95" i="17"/>
  <c r="AS93" i="11"/>
  <c r="AS94" i="11" s="1"/>
  <c r="AS97" i="11"/>
  <c r="AV85" i="11"/>
  <c r="AV167" i="9"/>
  <c r="AV23" i="6" s="1"/>
  <c r="AV182" i="9"/>
  <c r="AW166" i="9" s="1"/>
  <c r="AV16" i="6"/>
  <c r="AV92" i="11"/>
  <c r="AX150" i="9"/>
  <c r="AW151" i="9"/>
  <c r="AW78" i="11" s="1"/>
  <c r="AW81" i="11" s="1"/>
  <c r="AW90" i="11" s="1"/>
  <c r="AU127" i="6"/>
  <c r="AU158" i="6"/>
  <c r="AU14" i="6"/>
  <c r="AU125" i="6" s="1"/>
  <c r="AQ54" i="12"/>
  <c r="AN29" i="12"/>
  <c r="AN22" i="12"/>
  <c r="AN24" i="12" s="1"/>
  <c r="AM52" i="6"/>
  <c r="AM32" i="12"/>
  <c r="AM56" i="6" s="1"/>
  <c r="AM57" i="6" s="1"/>
  <c r="AJ51" i="6" l="1"/>
  <c r="AK31" i="13"/>
  <c r="AK33" i="13" s="1"/>
  <c r="AL36" i="13"/>
  <c r="AL60" i="6" s="1"/>
  <c r="AM14" i="13"/>
  <c r="AM15" i="13" s="1"/>
  <c r="AL18" i="13"/>
  <c r="AL22" i="13" s="1"/>
  <c r="AL29" i="13" s="1"/>
  <c r="AC57" i="12"/>
  <c r="AC62" i="12" s="1"/>
  <c r="AC19" i="6" s="1"/>
  <c r="AB53" i="6"/>
  <c r="AB54" i="6" s="1"/>
  <c r="AB58" i="6" s="1"/>
  <c r="AR169" i="6"/>
  <c r="AB94" i="6"/>
  <c r="AB95" i="6" s="1"/>
  <c r="AB91" i="6"/>
  <c r="AB90" i="6"/>
  <c r="AC84" i="6"/>
  <c r="AB38" i="6"/>
  <c r="AI30" i="6"/>
  <c r="AJ35" i="12"/>
  <c r="AJ135" i="6"/>
  <c r="AJ179" i="6"/>
  <c r="AJ180" i="6"/>
  <c r="AJ152" i="6"/>
  <c r="AK172" i="6"/>
  <c r="AK24" i="6"/>
  <c r="AK129" i="6"/>
  <c r="AM156" i="6"/>
  <c r="AM168" i="6"/>
  <c r="AM123" i="6"/>
  <c r="AM13" i="6"/>
  <c r="AL123" i="6"/>
  <c r="AL168" i="6"/>
  <c r="AL156" i="6"/>
  <c r="AL13" i="6"/>
  <c r="AN87" i="11"/>
  <c r="AN11" i="6" s="1"/>
  <c r="AN12" i="6"/>
  <c r="AP66" i="17"/>
  <c r="AP99" i="17"/>
  <c r="AQ99" i="17"/>
  <c r="AQ66" i="17"/>
  <c r="AR71" i="6"/>
  <c r="AR103" i="6"/>
  <c r="AR37" i="12"/>
  <c r="AR80" i="17"/>
  <c r="AR71" i="17"/>
  <c r="AR90" i="17" s="1"/>
  <c r="AR91" i="17" s="1"/>
  <c r="AR65" i="17"/>
  <c r="AR79" i="17"/>
  <c r="AR70" i="17"/>
  <c r="AR81" i="17"/>
  <c r="AR72" i="17"/>
  <c r="AU167" i="6"/>
  <c r="AU45" i="6"/>
  <c r="AU70" i="6"/>
  <c r="AU134" i="6"/>
  <c r="AU100" i="6"/>
  <c r="AU86" i="11"/>
  <c r="AU18" i="17"/>
  <c r="AT19" i="17"/>
  <c r="AT30" i="17"/>
  <c r="AT95" i="17"/>
  <c r="AT97" i="11"/>
  <c r="AT93" i="11"/>
  <c r="AT94" i="11" s="1"/>
  <c r="AS61" i="17"/>
  <c r="AS33" i="17"/>
  <c r="AS94" i="17" s="1"/>
  <c r="AS96" i="17" s="1"/>
  <c r="AS60" i="17"/>
  <c r="AS59" i="17"/>
  <c r="AS47" i="12"/>
  <c r="AS52" i="12"/>
  <c r="AS50" i="6" s="1"/>
  <c r="AS112" i="11"/>
  <c r="AS99" i="11"/>
  <c r="AS111" i="11"/>
  <c r="AS110" i="11"/>
  <c r="AS124" i="11" s="1"/>
  <c r="AS109" i="11"/>
  <c r="AS113" i="11"/>
  <c r="AS127" i="11" s="1"/>
  <c r="AV18" i="17"/>
  <c r="AV86" i="11"/>
  <c r="AV70" i="6"/>
  <c r="AV100" i="6"/>
  <c r="AV134" i="6"/>
  <c r="AV198" i="9"/>
  <c r="AV199" i="9" s="1"/>
  <c r="AV44" i="6" s="1"/>
  <c r="AV183" i="9"/>
  <c r="AV127" i="6"/>
  <c r="AV14" i="6"/>
  <c r="AV125" i="6" s="1"/>
  <c r="AV158" i="6"/>
  <c r="AW167" i="9"/>
  <c r="AW23" i="6" s="1"/>
  <c r="AW85" i="11"/>
  <c r="AW182" i="9"/>
  <c r="AX166" i="9" s="1"/>
  <c r="AX151" i="9"/>
  <c r="AX78" i="11" s="1"/>
  <c r="AX81" i="11" s="1"/>
  <c r="AX90" i="11" s="1"/>
  <c r="AY150" i="9"/>
  <c r="AW16" i="6"/>
  <c r="AW92" i="11"/>
  <c r="AQ37" i="12"/>
  <c r="AQ103" i="6"/>
  <c r="AQ71" i="6"/>
  <c r="AO97" i="17"/>
  <c r="AO67" i="17"/>
  <c r="AN101" i="6"/>
  <c r="AN40" i="12"/>
  <c r="AN78" i="6"/>
  <c r="AN30" i="12"/>
  <c r="AL31" i="13" l="1"/>
  <c r="AL33" i="13" s="1"/>
  <c r="AK51" i="6"/>
  <c r="AN14" i="13"/>
  <c r="AN15" i="13" s="1"/>
  <c r="AM18" i="13"/>
  <c r="AM36" i="13"/>
  <c r="AM60" i="6" s="1"/>
  <c r="AB64" i="6"/>
  <c r="AB187" i="6"/>
  <c r="AB151" i="6"/>
  <c r="AB185" i="6"/>
  <c r="AC20" i="6"/>
  <c r="AC130" i="6"/>
  <c r="AB188" i="6"/>
  <c r="AB139" i="6"/>
  <c r="AB189" i="6"/>
  <c r="AB42" i="6"/>
  <c r="AB144" i="6"/>
  <c r="AB142" i="6"/>
  <c r="AJ30" i="6"/>
  <c r="AK180" i="6"/>
  <c r="AK152" i="6"/>
  <c r="AK35" i="12"/>
  <c r="AK179" i="6"/>
  <c r="AK135" i="6"/>
  <c r="AM178" i="6"/>
  <c r="AM124" i="6"/>
  <c r="AM155" i="6"/>
  <c r="AM177" i="6"/>
  <c r="AM18" i="6"/>
  <c r="AL177" i="6"/>
  <c r="AL178" i="6"/>
  <c r="AL18" i="6"/>
  <c r="AL155" i="6"/>
  <c r="AL124" i="6"/>
  <c r="AN168" i="6"/>
  <c r="AN123" i="6"/>
  <c r="AN156" i="6"/>
  <c r="AN13" i="6"/>
  <c r="AB96" i="6"/>
  <c r="AB109" i="6" s="1"/>
  <c r="AO98" i="17"/>
  <c r="AO88" i="11"/>
  <c r="AQ67" i="17"/>
  <c r="AQ97" i="17"/>
  <c r="AR99" i="17"/>
  <c r="AR66" i="17"/>
  <c r="AU95" i="17"/>
  <c r="AU93" i="11"/>
  <c r="AU94" i="11" s="1"/>
  <c r="AU97" i="11"/>
  <c r="AU30" i="17"/>
  <c r="AU19" i="17"/>
  <c r="AT33" i="17"/>
  <c r="AT94" i="17" s="1"/>
  <c r="AT96" i="17" s="1"/>
  <c r="AT61" i="17"/>
  <c r="AT60" i="17"/>
  <c r="AT59" i="17"/>
  <c r="AT112" i="11"/>
  <c r="AT110" i="11"/>
  <c r="AT124" i="11" s="1"/>
  <c r="AT113" i="11"/>
  <c r="AT127" i="11" s="1"/>
  <c r="AT99" i="11"/>
  <c r="AT109" i="11"/>
  <c r="AT111" i="11"/>
  <c r="AT47" i="12"/>
  <c r="AT52" i="12"/>
  <c r="AT50" i="6" s="1"/>
  <c r="AS78" i="17"/>
  <c r="AS64" i="17"/>
  <c r="AS77" i="17"/>
  <c r="AS63" i="17"/>
  <c r="AS62" i="17"/>
  <c r="AS76" i="17"/>
  <c r="AS53" i="12"/>
  <c r="AS54" i="12" s="1"/>
  <c r="AS49" i="6"/>
  <c r="AS126" i="11"/>
  <c r="AS133" i="11" s="1"/>
  <c r="AS119" i="11"/>
  <c r="AS125" i="11"/>
  <c r="AS132" i="11" s="1"/>
  <c r="AS118" i="11"/>
  <c r="AS123" i="11"/>
  <c r="AS130" i="11" s="1"/>
  <c r="AS116" i="11"/>
  <c r="AV19" i="17"/>
  <c r="AV30" i="17"/>
  <c r="AV95" i="17"/>
  <c r="AV97" i="11"/>
  <c r="AV93" i="11"/>
  <c r="AV94" i="11" s="1"/>
  <c r="AV167" i="6"/>
  <c r="AV45" i="6"/>
  <c r="AW70" i="6"/>
  <c r="AW134" i="6"/>
  <c r="AW100" i="6"/>
  <c r="AW18" i="17"/>
  <c r="AW86" i="11"/>
  <c r="AW183" i="9"/>
  <c r="AW198" i="9"/>
  <c r="AW199" i="9" s="1"/>
  <c r="AW44" i="6" s="1"/>
  <c r="AX167" i="9"/>
  <c r="AX23" i="6" s="1"/>
  <c r="AX85" i="11"/>
  <c r="AX182" i="9"/>
  <c r="AX16" i="6"/>
  <c r="AX92" i="11"/>
  <c r="AY151" i="9"/>
  <c r="AY78" i="11" s="1"/>
  <c r="AY81" i="11" s="1"/>
  <c r="AY90" i="11" s="1"/>
  <c r="AZ150" i="9"/>
  <c r="AW158" i="6"/>
  <c r="AW14" i="6"/>
  <c r="AW125" i="6" s="1"/>
  <c r="AW127" i="6"/>
  <c r="AP97" i="17"/>
  <c r="AP67" i="17"/>
  <c r="AO18" i="12"/>
  <c r="AN31" i="12"/>
  <c r="AN88" i="6"/>
  <c r="AM31" i="13" l="1"/>
  <c r="AM32" i="13" s="1"/>
  <c r="AL51" i="6"/>
  <c r="AO14" i="13"/>
  <c r="AO15" i="13" s="1"/>
  <c r="AN18" i="13"/>
  <c r="AN36" i="13"/>
  <c r="AN60" i="6" s="1"/>
  <c r="AC28" i="6"/>
  <c r="AC131" i="6"/>
  <c r="AS169" i="6"/>
  <c r="AB141" i="6"/>
  <c r="AB46" i="6"/>
  <c r="AK30" i="6"/>
  <c r="AM172" i="6"/>
  <c r="AM129" i="6"/>
  <c r="AM24" i="6"/>
  <c r="AL172" i="6"/>
  <c r="AL129" i="6"/>
  <c r="AL24" i="6"/>
  <c r="AN178" i="6"/>
  <c r="AN18" i="6"/>
  <c r="AN155" i="6"/>
  <c r="AN177" i="6"/>
  <c r="AN124" i="6"/>
  <c r="AB110" i="6"/>
  <c r="AO87" i="11"/>
  <c r="AO11" i="6" s="1"/>
  <c r="AO12" i="6"/>
  <c r="AQ98" i="17"/>
  <c r="AQ88" i="11"/>
  <c r="AP98" i="17"/>
  <c r="AP88" i="11"/>
  <c r="AR67" i="17"/>
  <c r="AR97" i="17"/>
  <c r="AU47" i="12"/>
  <c r="AU52" i="12"/>
  <c r="AU50" i="6" s="1"/>
  <c r="AU111" i="11"/>
  <c r="AU99" i="11"/>
  <c r="AU113" i="11"/>
  <c r="AU127" i="11" s="1"/>
  <c r="AU112" i="11"/>
  <c r="AU109" i="11"/>
  <c r="AU110" i="11"/>
  <c r="AU124" i="11" s="1"/>
  <c r="AU60" i="17"/>
  <c r="AU33" i="17"/>
  <c r="AU94" i="17" s="1"/>
  <c r="AU96" i="17" s="1"/>
  <c r="AU59" i="17"/>
  <c r="AU61" i="17"/>
  <c r="AT78" i="17"/>
  <c r="AT64" i="17"/>
  <c r="AT63" i="17"/>
  <c r="AT77" i="17"/>
  <c r="AT62" i="17"/>
  <c r="AT76" i="17"/>
  <c r="AT119" i="11"/>
  <c r="AT126" i="11"/>
  <c r="AT133" i="11" s="1"/>
  <c r="AT123" i="11"/>
  <c r="AT130" i="11" s="1"/>
  <c r="AT116" i="11"/>
  <c r="AT125" i="11"/>
  <c r="AT132" i="11" s="1"/>
  <c r="AT118" i="11"/>
  <c r="AT49" i="6"/>
  <c r="AT53" i="12"/>
  <c r="AT54" i="12" s="1"/>
  <c r="AS81" i="17"/>
  <c r="AS72" i="17"/>
  <c r="AS71" i="17"/>
  <c r="AS90" i="17" s="1"/>
  <c r="AS91" i="17" s="1"/>
  <c r="AS80" i="17"/>
  <c r="AS79" i="17"/>
  <c r="AS65" i="17"/>
  <c r="AS70" i="17"/>
  <c r="AS103" i="6"/>
  <c r="AS37" i="12"/>
  <c r="AS71" i="6"/>
  <c r="AV33" i="17"/>
  <c r="AV94" i="17" s="1"/>
  <c r="AV96" i="17" s="1"/>
  <c r="AV59" i="17"/>
  <c r="AV60" i="17"/>
  <c r="AV61" i="17"/>
  <c r="AV112" i="11"/>
  <c r="AV110" i="11"/>
  <c r="AV124" i="11" s="1"/>
  <c r="AV109" i="11"/>
  <c r="AV113" i="11"/>
  <c r="AV127" i="11" s="1"/>
  <c r="AV99" i="11"/>
  <c r="AV111" i="11"/>
  <c r="AV47" i="12"/>
  <c r="AV52" i="12"/>
  <c r="AV50" i="6" s="1"/>
  <c r="AW19" i="17"/>
  <c r="AW30" i="17"/>
  <c r="AW95" i="17"/>
  <c r="AW93" i="11"/>
  <c r="AW94" i="11" s="1"/>
  <c r="AW97" i="11"/>
  <c r="AW45" i="6"/>
  <c r="AW167" i="6"/>
  <c r="AX134" i="6"/>
  <c r="AX70" i="6"/>
  <c r="AX100" i="6"/>
  <c r="AX86" i="11"/>
  <c r="AX18" i="17"/>
  <c r="AX198" i="9"/>
  <c r="AX199" i="9" s="1"/>
  <c r="AX44" i="6" s="1"/>
  <c r="AX183" i="9"/>
  <c r="AY166" i="9"/>
  <c r="AY182" i="9" s="1"/>
  <c r="AX127" i="6"/>
  <c r="AX158" i="6"/>
  <c r="AX14" i="6"/>
  <c r="AX125" i="6" s="1"/>
  <c r="AY16" i="6"/>
  <c r="AY92" i="11"/>
  <c r="AZ151" i="9"/>
  <c r="AZ78" i="11" s="1"/>
  <c r="AZ81" i="11" s="1"/>
  <c r="AZ90" i="11" s="1"/>
  <c r="BA150" i="9"/>
  <c r="AN52" i="6"/>
  <c r="AN32" i="12"/>
  <c r="AN56" i="6" s="1"/>
  <c r="AN57" i="6" s="1"/>
  <c r="AO22" i="12"/>
  <c r="AO24" i="12" s="1"/>
  <c r="AO29" i="12"/>
  <c r="AM111" i="6" l="1"/>
  <c r="AM80" i="6"/>
  <c r="AO36" i="13"/>
  <c r="AO60" i="6" s="1"/>
  <c r="AP14" i="13"/>
  <c r="AP15" i="13" s="1"/>
  <c r="AO18" i="13"/>
  <c r="AC32" i="6"/>
  <c r="AD29" i="6" s="1"/>
  <c r="AC31" i="6"/>
  <c r="AC33" i="6" s="1"/>
  <c r="AT169" i="6"/>
  <c r="AB150" i="6"/>
  <c r="AB65" i="6"/>
  <c r="AB160" i="6"/>
  <c r="AB183" i="6"/>
  <c r="AB147" i="6"/>
  <c r="AB184" i="6"/>
  <c r="AB149" i="6"/>
  <c r="AB166" i="6"/>
  <c r="AM152" i="6"/>
  <c r="AM180" i="6"/>
  <c r="AM135" i="6"/>
  <c r="AM179" i="6"/>
  <c r="AM35" i="12"/>
  <c r="AL35" i="12"/>
  <c r="AL179" i="6"/>
  <c r="AL152" i="6"/>
  <c r="AL180" i="6"/>
  <c r="AL135" i="6"/>
  <c r="AN172" i="6"/>
  <c r="AN129" i="6"/>
  <c r="AN24" i="6"/>
  <c r="AO123" i="6"/>
  <c r="AO168" i="6"/>
  <c r="AO156" i="6"/>
  <c r="AO13" i="6"/>
  <c r="AQ87" i="11"/>
  <c r="AQ11" i="6" s="1"/>
  <c r="AQ12" i="6"/>
  <c r="AP87" i="11"/>
  <c r="AP11" i="6" s="1"/>
  <c r="AP12" i="6"/>
  <c r="AR98" i="17"/>
  <c r="AR88" i="11"/>
  <c r="AU49" i="6"/>
  <c r="AU53" i="12"/>
  <c r="AU54" i="12" s="1"/>
  <c r="AU118" i="11"/>
  <c r="AU125" i="11"/>
  <c r="AU132" i="11" s="1"/>
  <c r="AU126" i="11"/>
  <c r="AU133" i="11" s="1"/>
  <c r="AU119" i="11"/>
  <c r="AU116" i="11"/>
  <c r="AU123" i="11"/>
  <c r="AU130" i="11" s="1"/>
  <c r="AU63" i="17"/>
  <c r="AU77" i="17"/>
  <c r="AU76" i="17"/>
  <c r="AU62" i="17"/>
  <c r="AU64" i="17"/>
  <c r="AU78" i="17"/>
  <c r="AT81" i="17"/>
  <c r="AT72" i="17"/>
  <c r="AT71" i="17"/>
  <c r="AT90" i="17" s="1"/>
  <c r="AT91" i="17" s="1"/>
  <c r="AT80" i="17"/>
  <c r="AT70" i="17"/>
  <c r="AT65" i="17"/>
  <c r="AT79" i="17"/>
  <c r="AT37" i="12"/>
  <c r="AT71" i="6"/>
  <c r="AT103" i="6"/>
  <c r="AS99" i="17"/>
  <c r="AS66" i="17"/>
  <c r="AV62" i="17"/>
  <c r="AV76" i="17"/>
  <c r="AV77" i="17"/>
  <c r="AV63" i="17"/>
  <c r="AV64" i="17"/>
  <c r="AV78" i="17"/>
  <c r="AV119" i="11"/>
  <c r="AV126" i="11"/>
  <c r="AV133" i="11" s="1"/>
  <c r="AV116" i="11"/>
  <c r="AV123" i="11"/>
  <c r="AV130" i="11" s="1"/>
  <c r="AV118" i="11"/>
  <c r="AV125" i="11"/>
  <c r="AV132" i="11" s="1"/>
  <c r="AV49" i="6"/>
  <c r="AV53" i="12"/>
  <c r="AW60" i="17"/>
  <c r="AW33" i="17"/>
  <c r="AW94" i="17" s="1"/>
  <c r="AW96" i="17" s="1"/>
  <c r="AW61" i="17"/>
  <c r="AW59" i="17"/>
  <c r="AW52" i="12"/>
  <c r="AW50" i="6" s="1"/>
  <c r="AW47" i="12"/>
  <c r="AW112" i="11"/>
  <c r="AW99" i="11"/>
  <c r="AW113" i="11"/>
  <c r="AW127" i="11" s="1"/>
  <c r="AW110" i="11"/>
  <c r="AW124" i="11" s="1"/>
  <c r="AW109" i="11"/>
  <c r="AW111" i="11"/>
  <c r="AX95" i="17"/>
  <c r="AX97" i="11"/>
  <c r="AX93" i="11"/>
  <c r="AX94" i="11" s="1"/>
  <c r="AX19" i="17"/>
  <c r="AX30" i="17"/>
  <c r="AX45" i="6"/>
  <c r="AX167" i="6"/>
  <c r="AY198" i="9"/>
  <c r="AY199" i="9" s="1"/>
  <c r="AY44" i="6" s="1"/>
  <c r="AY183" i="9"/>
  <c r="AZ166" i="9"/>
  <c r="AZ182" i="9" s="1"/>
  <c r="BA166" i="9" s="1"/>
  <c r="AY167" i="9"/>
  <c r="AY23" i="6" s="1"/>
  <c r="AY85" i="11"/>
  <c r="AY158" i="6"/>
  <c r="AY127" i="6"/>
  <c r="AY14" i="6"/>
  <c r="AY125" i="6" s="1"/>
  <c r="AZ16" i="6"/>
  <c r="AZ92" i="11"/>
  <c r="BA151" i="9"/>
  <c r="BA78" i="11" s="1"/>
  <c r="BA81" i="11" s="1"/>
  <c r="BA90" i="11" s="1"/>
  <c r="BB150" i="9"/>
  <c r="AO40" i="12"/>
  <c r="AO101" i="6"/>
  <c r="AO78" i="6"/>
  <c r="AO30" i="12"/>
  <c r="AP36" i="13" l="1"/>
  <c r="AP60" i="6" s="1"/>
  <c r="AQ14" i="13"/>
  <c r="AQ15" i="13" s="1"/>
  <c r="AP18" i="13"/>
  <c r="AC36" i="12"/>
  <c r="AC39" i="12" s="1"/>
  <c r="AC41" i="12" s="1"/>
  <c r="AC21" i="6"/>
  <c r="AC173" i="6"/>
  <c r="AC190" i="6" s="1"/>
  <c r="AU169" i="6"/>
  <c r="AV169" i="6"/>
  <c r="AM30" i="6"/>
  <c r="AL30" i="6"/>
  <c r="AN152" i="6"/>
  <c r="AN180" i="6"/>
  <c r="AN35" i="12"/>
  <c r="AN179" i="6"/>
  <c r="AN135" i="6"/>
  <c r="AO124" i="6"/>
  <c r="AO177" i="6"/>
  <c r="AO178" i="6"/>
  <c r="AO155" i="6"/>
  <c r="AO18" i="6"/>
  <c r="AQ123" i="6"/>
  <c r="AQ156" i="6"/>
  <c r="AQ168" i="6"/>
  <c r="AQ13" i="6"/>
  <c r="AP123" i="6"/>
  <c r="AP168" i="6"/>
  <c r="AP156" i="6"/>
  <c r="AP13" i="6"/>
  <c r="AR87" i="11"/>
  <c r="AR11" i="6" s="1"/>
  <c r="AR12" i="6"/>
  <c r="AV54" i="12"/>
  <c r="AS97" i="17"/>
  <c r="AS67" i="17"/>
  <c r="AU37" i="12"/>
  <c r="AU71" i="6"/>
  <c r="AU103" i="6"/>
  <c r="AU71" i="17"/>
  <c r="AU90" i="17" s="1"/>
  <c r="AU91" i="17" s="1"/>
  <c r="AU80" i="17"/>
  <c r="AU79" i="17"/>
  <c r="AU65" i="17"/>
  <c r="AU70" i="17"/>
  <c r="AU81" i="17"/>
  <c r="AU72" i="17"/>
  <c r="AT66" i="17"/>
  <c r="AT99" i="17"/>
  <c r="AV65" i="17"/>
  <c r="AV79" i="17"/>
  <c r="AV70" i="17"/>
  <c r="AV71" i="17"/>
  <c r="AV90" i="17" s="1"/>
  <c r="AV91" i="17" s="1"/>
  <c r="AV80" i="17"/>
  <c r="AV72" i="17"/>
  <c r="AV81" i="17"/>
  <c r="AW77" i="17"/>
  <c r="AW63" i="17"/>
  <c r="AW78" i="17"/>
  <c r="AW64" i="17"/>
  <c r="AW62" i="17"/>
  <c r="AW76" i="17"/>
  <c r="AW53" i="12"/>
  <c r="AW54" i="12" s="1"/>
  <c r="AW49" i="6"/>
  <c r="AW126" i="11"/>
  <c r="AW133" i="11" s="1"/>
  <c r="AW119" i="11"/>
  <c r="AW116" i="11"/>
  <c r="AW123" i="11"/>
  <c r="AW130" i="11" s="1"/>
  <c r="AW125" i="11"/>
  <c r="AW132" i="11" s="1"/>
  <c r="AW118" i="11"/>
  <c r="AX109" i="11"/>
  <c r="AX99" i="11"/>
  <c r="AX111" i="11"/>
  <c r="AX110" i="11"/>
  <c r="AX124" i="11" s="1"/>
  <c r="AX113" i="11"/>
  <c r="AX127" i="11" s="1"/>
  <c r="AX112" i="11"/>
  <c r="AX52" i="12"/>
  <c r="AX50" i="6" s="1"/>
  <c r="AX47" i="12"/>
  <c r="AX33" i="17"/>
  <c r="AX94" i="17" s="1"/>
  <c r="AX96" i="17" s="1"/>
  <c r="AX60" i="17"/>
  <c r="AX59" i="17"/>
  <c r="AX61" i="17"/>
  <c r="AY167" i="6"/>
  <c r="AY45" i="6"/>
  <c r="BA182" i="9"/>
  <c r="BB166" i="9" s="1"/>
  <c r="AZ183" i="9"/>
  <c r="AZ198" i="9"/>
  <c r="AZ199" i="9" s="1"/>
  <c r="AZ44" i="6" s="1"/>
  <c r="AZ85" i="11"/>
  <c r="AZ167" i="9"/>
  <c r="AZ23" i="6" s="1"/>
  <c r="AY70" i="6"/>
  <c r="AY100" i="6"/>
  <c r="AY134" i="6"/>
  <c r="AY18" i="17"/>
  <c r="AY86" i="11"/>
  <c r="AZ127" i="6"/>
  <c r="AZ14" i="6"/>
  <c r="AZ125" i="6" s="1"/>
  <c r="AZ158" i="6"/>
  <c r="BA16" i="6"/>
  <c r="BA92" i="11"/>
  <c r="BC150" i="9"/>
  <c r="BB151" i="9"/>
  <c r="BB78" i="11" s="1"/>
  <c r="BB81" i="11" s="1"/>
  <c r="BB90" i="11" s="1"/>
  <c r="BA85" i="11"/>
  <c r="BA167" i="9"/>
  <c r="BA23" i="6" s="1"/>
  <c r="AO31" i="12"/>
  <c r="AP18" i="12"/>
  <c r="AO88" i="6"/>
  <c r="AQ18" i="13" l="1"/>
  <c r="AQ36" i="13"/>
  <c r="AQ60" i="6" s="1"/>
  <c r="AR14" i="13"/>
  <c r="AR15" i="13" s="1"/>
  <c r="AC22" i="6"/>
  <c r="AC132" i="6"/>
  <c r="AW169" i="6"/>
  <c r="AN30" i="6"/>
  <c r="AO172" i="6"/>
  <c r="AO129" i="6"/>
  <c r="AO24" i="6"/>
  <c r="AQ124" i="6"/>
  <c r="AQ18" i="6"/>
  <c r="AQ178" i="6"/>
  <c r="AQ155" i="6"/>
  <c r="AQ177" i="6"/>
  <c r="AP124" i="6"/>
  <c r="AP18" i="6"/>
  <c r="AP155" i="6"/>
  <c r="AP177" i="6"/>
  <c r="AP178" i="6"/>
  <c r="AR123" i="6"/>
  <c r="AR168" i="6"/>
  <c r="AR156" i="6"/>
  <c r="AR13" i="6"/>
  <c r="AS98" i="17"/>
  <c r="AS88" i="11"/>
  <c r="AV71" i="6"/>
  <c r="AV37" i="12"/>
  <c r="AV103" i="6"/>
  <c r="AU66" i="17"/>
  <c r="AU99" i="17"/>
  <c r="AV99" i="17"/>
  <c r="AV66" i="17"/>
  <c r="AW71" i="17"/>
  <c r="AW90" i="17" s="1"/>
  <c r="AW91" i="17" s="1"/>
  <c r="AW80" i="17"/>
  <c r="AW81" i="17"/>
  <c r="AW72" i="17"/>
  <c r="AW79" i="17"/>
  <c r="AW70" i="17"/>
  <c r="AW65" i="17"/>
  <c r="AW37" i="12"/>
  <c r="AW71" i="6"/>
  <c r="AW103" i="6"/>
  <c r="AX123" i="11"/>
  <c r="AX130" i="11" s="1"/>
  <c r="AX116" i="11"/>
  <c r="AX125" i="11"/>
  <c r="AX132" i="11" s="1"/>
  <c r="AX118" i="11"/>
  <c r="AX126" i="11"/>
  <c r="AX133" i="11" s="1"/>
  <c r="AX119" i="11"/>
  <c r="AX49" i="6"/>
  <c r="AX53" i="12"/>
  <c r="AX54" i="12" s="1"/>
  <c r="AX77" i="17"/>
  <c r="AX63" i="17"/>
  <c r="AX76" i="17"/>
  <c r="AX62" i="17"/>
  <c r="AX64" i="17"/>
  <c r="AX78" i="17"/>
  <c r="BA198" i="9"/>
  <c r="BA199" i="9" s="1"/>
  <c r="BA44" i="6" s="1"/>
  <c r="BA183" i="9"/>
  <c r="AZ167" i="6"/>
  <c r="AZ45" i="6"/>
  <c r="AZ18" i="17"/>
  <c r="AZ86" i="11"/>
  <c r="AZ70" i="6"/>
  <c r="AZ100" i="6"/>
  <c r="AZ134" i="6"/>
  <c r="AY19" i="17"/>
  <c r="AY30" i="17"/>
  <c r="AY95" i="17"/>
  <c r="AY97" i="11"/>
  <c r="AY93" i="11"/>
  <c r="AY94" i="11" s="1"/>
  <c r="BA158" i="6"/>
  <c r="BA127" i="6"/>
  <c r="BA14" i="6"/>
  <c r="BA125" i="6" s="1"/>
  <c r="BB167" i="9"/>
  <c r="BB23" i="6" s="1"/>
  <c r="BB85" i="11"/>
  <c r="BB182" i="9"/>
  <c r="BC151" i="9"/>
  <c r="BC78" i="11" s="1"/>
  <c r="BC81" i="11" s="1"/>
  <c r="BC90" i="11" s="1"/>
  <c r="BD150" i="9"/>
  <c r="BB92" i="11"/>
  <c r="BB16" i="6"/>
  <c r="BA18" i="17"/>
  <c r="BA86" i="11"/>
  <c r="BA100" i="6"/>
  <c r="BA70" i="6"/>
  <c r="BA134" i="6"/>
  <c r="AT97" i="17"/>
  <c r="AT67" i="17"/>
  <c r="AO52" i="6"/>
  <c r="AO32" i="12"/>
  <c r="AO56" i="6" s="1"/>
  <c r="AO57" i="6" s="1"/>
  <c r="AP22" i="12"/>
  <c r="AP24" i="12" s="1"/>
  <c r="AP29" i="12"/>
  <c r="AR36" i="13" l="1"/>
  <c r="AR60" i="6" s="1"/>
  <c r="AS14" i="13"/>
  <c r="AS15" i="13" s="1"/>
  <c r="AR18" i="13"/>
  <c r="AC181" i="6"/>
  <c r="AC159" i="6"/>
  <c r="AC182" i="6"/>
  <c r="AC99" i="6"/>
  <c r="AC104" i="6" s="1"/>
  <c r="AC106" i="6" s="1"/>
  <c r="AC107" i="6" s="1"/>
  <c r="AC133" i="6"/>
  <c r="AC9" i="13"/>
  <c r="AC26" i="13" s="1"/>
  <c r="AC28" i="13" s="1"/>
  <c r="AC30" i="13" s="1"/>
  <c r="AC69" i="6"/>
  <c r="AC72" i="6" s="1"/>
  <c r="AX169" i="6"/>
  <c r="AO152" i="6"/>
  <c r="AO135" i="6"/>
  <c r="AO180" i="6"/>
  <c r="AO179" i="6"/>
  <c r="AO35" i="12"/>
  <c r="AQ24" i="6"/>
  <c r="AQ129" i="6"/>
  <c r="AP129" i="6"/>
  <c r="AP24" i="6"/>
  <c r="AR155" i="6"/>
  <c r="AR177" i="6"/>
  <c r="AR178" i="6"/>
  <c r="AR124" i="6"/>
  <c r="AR18" i="6"/>
  <c r="AS87" i="11"/>
  <c r="AS11" i="6" s="1"/>
  <c r="AS12" i="6"/>
  <c r="AT98" i="17"/>
  <c r="AT88" i="11"/>
  <c r="AV67" i="17"/>
  <c r="AV97" i="17"/>
  <c r="AW99" i="17"/>
  <c r="AW66" i="17"/>
  <c r="AX71" i="6"/>
  <c r="AX103" i="6"/>
  <c r="AX37" i="12"/>
  <c r="AX80" i="17"/>
  <c r="AX71" i="17"/>
  <c r="AX90" i="17" s="1"/>
  <c r="AX91" i="17" s="1"/>
  <c r="AX65" i="17"/>
  <c r="AX79" i="17"/>
  <c r="AX70" i="17"/>
  <c r="AX72" i="17"/>
  <c r="AX81" i="17"/>
  <c r="BA167" i="6"/>
  <c r="BA45" i="6"/>
  <c r="AZ19" i="17"/>
  <c r="AZ30" i="17"/>
  <c r="AZ97" i="11"/>
  <c r="AZ93" i="11"/>
  <c r="AZ94" i="11" s="1"/>
  <c r="AZ95" i="17"/>
  <c r="AY33" i="17"/>
  <c r="AY94" i="17" s="1"/>
  <c r="AY96" i="17" s="1"/>
  <c r="AY61" i="17"/>
  <c r="AY60" i="17"/>
  <c r="AY59" i="17"/>
  <c r="AY113" i="11"/>
  <c r="AY127" i="11" s="1"/>
  <c r="AY110" i="11"/>
  <c r="AY124" i="11" s="1"/>
  <c r="AY111" i="11"/>
  <c r="AY112" i="11"/>
  <c r="AY99" i="11"/>
  <c r="AY109" i="11"/>
  <c r="AY47" i="12"/>
  <c r="AY52" i="12"/>
  <c r="AY50" i="6" s="1"/>
  <c r="BB134" i="6"/>
  <c r="BB70" i="6"/>
  <c r="BB100" i="6"/>
  <c r="BB18" i="17"/>
  <c r="BB86" i="11"/>
  <c r="BB198" i="9"/>
  <c r="BB199" i="9" s="1"/>
  <c r="BB44" i="6" s="1"/>
  <c r="BB183" i="9"/>
  <c r="BC166" i="9"/>
  <c r="BC182" i="9" s="1"/>
  <c r="BD166" i="9" s="1"/>
  <c r="BC16" i="6"/>
  <c r="BC92" i="11"/>
  <c r="BE150" i="9"/>
  <c r="BD151" i="9"/>
  <c r="BD78" i="11" s="1"/>
  <c r="BD81" i="11" s="1"/>
  <c r="BD90" i="11" s="1"/>
  <c r="BB127" i="6"/>
  <c r="BB158" i="6"/>
  <c r="BB14" i="6"/>
  <c r="BB125" i="6" s="1"/>
  <c r="BA19" i="17"/>
  <c r="BA30" i="17"/>
  <c r="BA97" i="11"/>
  <c r="BA95" i="17"/>
  <c r="BA93" i="11"/>
  <c r="BA94" i="11" s="1"/>
  <c r="AU97" i="17"/>
  <c r="AU67" i="17"/>
  <c r="AP101" i="6"/>
  <c r="AP40" i="12"/>
  <c r="AP172" i="6"/>
  <c r="AP78" i="6"/>
  <c r="AP30" i="12"/>
  <c r="AT14" i="13" l="1"/>
  <c r="AT15" i="13" s="1"/>
  <c r="AS36" i="13"/>
  <c r="AS60" i="6" s="1"/>
  <c r="AS18" i="13"/>
  <c r="AC38" i="13"/>
  <c r="AD25" i="13"/>
  <c r="AC58" i="12"/>
  <c r="AC140" i="6"/>
  <c r="AQ180" i="6"/>
  <c r="AQ35" i="12"/>
  <c r="AQ179" i="6"/>
  <c r="AQ135" i="6"/>
  <c r="AP35" i="12"/>
  <c r="AP135" i="6"/>
  <c r="AP179" i="6"/>
  <c r="AP180" i="6"/>
  <c r="AR129" i="6"/>
  <c r="AR24" i="6"/>
  <c r="AS156" i="6"/>
  <c r="AS168" i="6"/>
  <c r="AS123" i="6"/>
  <c r="AS13" i="6"/>
  <c r="AT87" i="11"/>
  <c r="AT11" i="6" s="1"/>
  <c r="AT12" i="6"/>
  <c r="AV98" i="17"/>
  <c r="AV88" i="11"/>
  <c r="AU98" i="17"/>
  <c r="AU88" i="11"/>
  <c r="AW67" i="17"/>
  <c r="AW97" i="17"/>
  <c r="AX99" i="17"/>
  <c r="AX66" i="17"/>
  <c r="AZ61" i="17"/>
  <c r="AZ33" i="17"/>
  <c r="AZ94" i="17" s="1"/>
  <c r="AZ96" i="17" s="1"/>
  <c r="AZ60" i="17"/>
  <c r="AZ59" i="17"/>
  <c r="AZ111" i="11"/>
  <c r="AZ99" i="11"/>
  <c r="AZ109" i="11"/>
  <c r="AZ113" i="11"/>
  <c r="AZ127" i="11" s="1"/>
  <c r="AZ110" i="11"/>
  <c r="AZ124" i="11" s="1"/>
  <c r="AZ112" i="11"/>
  <c r="AZ47" i="12"/>
  <c r="AZ52" i="12"/>
  <c r="AZ50" i="6" s="1"/>
  <c r="AY64" i="17"/>
  <c r="AY78" i="17"/>
  <c r="AY77" i="17"/>
  <c r="AY63" i="17"/>
  <c r="AY62" i="17"/>
  <c r="AY76" i="17"/>
  <c r="AY125" i="11"/>
  <c r="AY132" i="11" s="1"/>
  <c r="AY118" i="11"/>
  <c r="AY126" i="11"/>
  <c r="AY133" i="11" s="1"/>
  <c r="AY119" i="11"/>
  <c r="AY123" i="11"/>
  <c r="AY130" i="11" s="1"/>
  <c r="AY116" i="11"/>
  <c r="AY49" i="6"/>
  <c r="AY53" i="12"/>
  <c r="AY54" i="12" s="1"/>
  <c r="BB30" i="17"/>
  <c r="BB19" i="17"/>
  <c r="BB97" i="11"/>
  <c r="BB93" i="11"/>
  <c r="BB94" i="11" s="1"/>
  <c r="BB95" i="17"/>
  <c r="BB167" i="6"/>
  <c r="BB45" i="6"/>
  <c r="BC198" i="9"/>
  <c r="BC199" i="9" s="1"/>
  <c r="BC44" i="6" s="1"/>
  <c r="BD182" i="9"/>
  <c r="BC183" i="9"/>
  <c r="BC85" i="11"/>
  <c r="BC167" i="9"/>
  <c r="BC23" i="6" s="1"/>
  <c r="BC14" i="6"/>
  <c r="BC125" i="6" s="1"/>
  <c r="BC158" i="6"/>
  <c r="BC127" i="6"/>
  <c r="BE151" i="9"/>
  <c r="BE78" i="11" s="1"/>
  <c r="BE81" i="11" s="1"/>
  <c r="BE90" i="11" s="1"/>
  <c r="BF150" i="9"/>
  <c r="BD92" i="11"/>
  <c r="BD16" i="6"/>
  <c r="BD85" i="11"/>
  <c r="BD167" i="9"/>
  <c r="BD23" i="6" s="1"/>
  <c r="BA33" i="17"/>
  <c r="BA94" i="17" s="1"/>
  <c r="BA96" i="17" s="1"/>
  <c r="BA61" i="17"/>
  <c r="BA59" i="17"/>
  <c r="BA60" i="17"/>
  <c r="BA112" i="11"/>
  <c r="BA111" i="11"/>
  <c r="BA113" i="11"/>
  <c r="BA127" i="11" s="1"/>
  <c r="BA99" i="11"/>
  <c r="BA109" i="11"/>
  <c r="BA110" i="11"/>
  <c r="BA124" i="11" s="1"/>
  <c r="BA47" i="12"/>
  <c r="BA52" i="12"/>
  <c r="BA50" i="6" s="1"/>
  <c r="AP152" i="6"/>
  <c r="AQ18" i="12"/>
  <c r="AP31" i="12"/>
  <c r="AP88" i="6"/>
  <c r="AU14" i="13" l="1"/>
  <c r="AU15" i="13" s="1"/>
  <c r="AT36" i="13"/>
  <c r="AT60" i="6" s="1"/>
  <c r="AT18" i="13"/>
  <c r="AC62" i="6"/>
  <c r="AC63" i="6" s="1"/>
  <c r="AC39" i="13"/>
  <c r="AC60" i="12"/>
  <c r="AC59" i="12"/>
  <c r="AY169" i="6"/>
  <c r="AR180" i="6"/>
  <c r="AR35" i="12"/>
  <c r="AR179" i="6"/>
  <c r="AR135" i="6"/>
  <c r="AS124" i="6"/>
  <c r="AS177" i="6"/>
  <c r="AS18" i="6"/>
  <c r="AS178" i="6"/>
  <c r="AS155" i="6"/>
  <c r="AT156" i="6"/>
  <c r="AT123" i="6"/>
  <c r="AT168" i="6"/>
  <c r="AT13" i="6"/>
  <c r="AV87" i="11"/>
  <c r="AV11" i="6" s="1"/>
  <c r="AV12" i="6"/>
  <c r="AU87" i="11"/>
  <c r="AU11" i="6" s="1"/>
  <c r="AU12" i="6"/>
  <c r="AW98" i="17"/>
  <c r="AW88" i="11"/>
  <c r="AX67" i="17"/>
  <c r="AX97" i="17"/>
  <c r="AZ78" i="17"/>
  <c r="AZ64" i="17"/>
  <c r="AZ77" i="17"/>
  <c r="AZ63" i="17"/>
  <c r="AZ62" i="17"/>
  <c r="AZ76" i="17"/>
  <c r="AZ118" i="11"/>
  <c r="AZ125" i="11"/>
  <c r="AZ132" i="11" s="1"/>
  <c r="AZ123" i="11"/>
  <c r="AZ130" i="11" s="1"/>
  <c r="AZ116" i="11"/>
  <c r="AZ119" i="11"/>
  <c r="AZ126" i="11"/>
  <c r="AZ133" i="11" s="1"/>
  <c r="AZ49" i="6"/>
  <c r="AZ53" i="12"/>
  <c r="AZ54" i="12" s="1"/>
  <c r="AY72" i="17"/>
  <c r="AY81" i="17"/>
  <c r="AY80" i="17"/>
  <c r="AY71" i="17"/>
  <c r="AY90" i="17" s="1"/>
  <c r="AY91" i="17" s="1"/>
  <c r="AY65" i="17"/>
  <c r="AY70" i="17"/>
  <c r="AY79" i="17"/>
  <c r="AY71" i="6"/>
  <c r="AY103" i="6"/>
  <c r="AY37" i="12"/>
  <c r="BB61" i="17"/>
  <c r="BB33" i="17"/>
  <c r="BB94" i="17" s="1"/>
  <c r="BB96" i="17" s="1"/>
  <c r="BB60" i="17"/>
  <c r="BB59" i="17"/>
  <c r="BB109" i="11"/>
  <c r="BB111" i="11"/>
  <c r="BB110" i="11"/>
  <c r="BB124" i="11" s="1"/>
  <c r="BB113" i="11"/>
  <c r="BB127" i="11" s="1"/>
  <c r="BB112" i="11"/>
  <c r="BB99" i="11"/>
  <c r="BB47" i="12"/>
  <c r="BB52" i="12"/>
  <c r="BB50" i="6" s="1"/>
  <c r="BC167" i="6"/>
  <c r="BC45" i="6"/>
  <c r="BD183" i="9"/>
  <c r="BD198" i="9"/>
  <c r="BD199" i="9" s="1"/>
  <c r="BD44" i="6" s="1"/>
  <c r="BE166" i="9"/>
  <c r="BE182" i="9" s="1"/>
  <c r="BF166" i="9" s="1"/>
  <c r="BC86" i="11"/>
  <c r="BC18" i="17"/>
  <c r="BC134" i="6"/>
  <c r="BC100" i="6"/>
  <c r="BC70" i="6"/>
  <c r="BE16" i="6"/>
  <c r="BE92" i="11"/>
  <c r="BF151" i="9"/>
  <c r="BF78" i="11" s="1"/>
  <c r="BF81" i="11" s="1"/>
  <c r="BF90" i="11" s="1"/>
  <c r="BG150" i="9"/>
  <c r="BD158" i="6"/>
  <c r="BD14" i="6"/>
  <c r="BD125" i="6" s="1"/>
  <c r="BD127" i="6"/>
  <c r="BD86" i="11"/>
  <c r="BD18" i="17"/>
  <c r="BD70" i="6"/>
  <c r="BD134" i="6"/>
  <c r="BD100" i="6"/>
  <c r="BA78" i="17"/>
  <c r="BA64" i="17"/>
  <c r="BA76" i="17"/>
  <c r="BA62" i="17"/>
  <c r="BA63" i="17"/>
  <c r="BA77" i="17"/>
  <c r="BA126" i="11"/>
  <c r="BA133" i="11" s="1"/>
  <c r="BA119" i="11"/>
  <c r="BA125" i="11"/>
  <c r="BA132" i="11" s="1"/>
  <c r="BA118" i="11"/>
  <c r="BA116" i="11"/>
  <c r="BA123" i="11"/>
  <c r="BA130" i="11" s="1"/>
  <c r="BA53" i="12"/>
  <c r="BA49" i="6"/>
  <c r="AP52" i="6"/>
  <c r="AP32" i="12"/>
  <c r="AP56" i="6" s="1"/>
  <c r="AP57" i="6" s="1"/>
  <c r="AQ22" i="12"/>
  <c r="AQ24" i="12" s="1"/>
  <c r="AQ29" i="12"/>
  <c r="AU36" i="13" l="1"/>
  <c r="AU60" i="6" s="1"/>
  <c r="AU18" i="13"/>
  <c r="AV14" i="13"/>
  <c r="AV15" i="13" s="1"/>
  <c r="AC162" i="6"/>
  <c r="AC161" i="6"/>
  <c r="AC148" i="6"/>
  <c r="AC186" i="6"/>
  <c r="AC89" i="6"/>
  <c r="AC61" i="12"/>
  <c r="AC81" i="6"/>
  <c r="AC82" i="6" s="1"/>
  <c r="AC83" i="6" s="1"/>
  <c r="AC85" i="6" s="1"/>
  <c r="AZ169" i="6"/>
  <c r="BA169" i="6"/>
  <c r="AS24" i="6"/>
  <c r="AS129" i="6"/>
  <c r="AT178" i="6"/>
  <c r="AT155" i="6"/>
  <c r="AT18" i="6"/>
  <c r="AT177" i="6"/>
  <c r="AT124" i="6"/>
  <c r="AV156" i="6"/>
  <c r="AV168" i="6"/>
  <c r="AV123" i="6"/>
  <c r="AV13" i="6"/>
  <c r="AU156" i="6"/>
  <c r="AU168" i="6"/>
  <c r="AU123" i="6"/>
  <c r="AU13" i="6"/>
  <c r="AW87" i="11"/>
  <c r="AW11" i="6" s="1"/>
  <c r="AW12" i="6"/>
  <c r="AX98" i="17"/>
  <c r="AX88" i="11"/>
  <c r="BA54" i="12"/>
  <c r="AZ81" i="17"/>
  <c r="AZ72" i="17"/>
  <c r="AZ71" i="17"/>
  <c r="AZ90" i="17" s="1"/>
  <c r="AZ91" i="17" s="1"/>
  <c r="AZ80" i="17"/>
  <c r="AZ70" i="17"/>
  <c r="AZ65" i="17"/>
  <c r="AZ79" i="17"/>
  <c r="AZ103" i="6"/>
  <c r="AZ37" i="12"/>
  <c r="AZ71" i="6"/>
  <c r="AY99" i="17"/>
  <c r="AY66" i="17"/>
  <c r="BB64" i="17"/>
  <c r="BB78" i="17"/>
  <c r="BB63" i="17"/>
  <c r="BB77" i="17"/>
  <c r="BB62" i="17"/>
  <c r="BB76" i="17"/>
  <c r="BB116" i="11"/>
  <c r="BB123" i="11"/>
  <c r="BB130" i="11" s="1"/>
  <c r="BB125" i="11"/>
  <c r="BB132" i="11" s="1"/>
  <c r="BB118" i="11"/>
  <c r="BB126" i="11"/>
  <c r="BB133" i="11" s="1"/>
  <c r="BB119" i="11"/>
  <c r="BB53" i="12"/>
  <c r="BB54" i="12" s="1"/>
  <c r="BB49" i="6"/>
  <c r="BE198" i="9"/>
  <c r="BE199" i="9" s="1"/>
  <c r="BE44" i="6" s="1"/>
  <c r="BE183" i="9"/>
  <c r="BD167" i="6"/>
  <c r="BD45" i="6"/>
  <c r="BE167" i="9"/>
  <c r="BE23" i="6" s="1"/>
  <c r="BE85" i="11"/>
  <c r="BC95" i="17"/>
  <c r="BC97" i="11"/>
  <c r="BC93" i="11"/>
  <c r="BC94" i="11" s="1"/>
  <c r="BC19" i="17"/>
  <c r="BC30" i="17"/>
  <c r="BE14" i="6"/>
  <c r="BE125" i="6" s="1"/>
  <c r="BE158" i="6"/>
  <c r="BE127" i="6"/>
  <c r="BF167" i="9"/>
  <c r="BF23" i="6" s="1"/>
  <c r="BF85" i="11"/>
  <c r="BF182" i="9"/>
  <c r="BF16" i="6"/>
  <c r="BF92" i="11"/>
  <c r="BH150" i="9"/>
  <c r="BG151" i="9"/>
  <c r="BG78" i="11" s="1"/>
  <c r="BG81" i="11" s="1"/>
  <c r="BG90" i="11" s="1"/>
  <c r="BD97" i="11"/>
  <c r="BD93" i="11"/>
  <c r="BD94" i="11" s="1"/>
  <c r="BD95" i="17"/>
  <c r="BD19" i="17"/>
  <c r="BD30" i="17"/>
  <c r="BA81" i="17"/>
  <c r="BA72" i="17"/>
  <c r="BA65" i="17"/>
  <c r="BA79" i="17"/>
  <c r="BA70" i="17"/>
  <c r="BA80" i="17"/>
  <c r="BA71" i="17"/>
  <c r="BA90" i="17" s="1"/>
  <c r="BA91" i="17" s="1"/>
  <c r="AQ101" i="6"/>
  <c r="AQ40" i="12"/>
  <c r="AQ172" i="6"/>
  <c r="AQ78" i="6"/>
  <c r="AQ30" i="12"/>
  <c r="AW14" i="13" l="1"/>
  <c r="AW15" i="13" s="1"/>
  <c r="AV36" i="13"/>
  <c r="AV60" i="6" s="1"/>
  <c r="AV18" i="13"/>
  <c r="AC91" i="6"/>
  <c r="AC90" i="6"/>
  <c r="AC94" i="6"/>
  <c r="AC95" i="6" s="1"/>
  <c r="AC53" i="6"/>
  <c r="AC54" i="6" s="1"/>
  <c r="AC58" i="6" s="1"/>
  <c r="AD57" i="12"/>
  <c r="AC38" i="6"/>
  <c r="AD84" i="6"/>
  <c r="BB169" i="6"/>
  <c r="AS35" i="12"/>
  <c r="AS135" i="6"/>
  <c r="AS180" i="6"/>
  <c r="AS179" i="6"/>
  <c r="AT24" i="6"/>
  <c r="AT129" i="6"/>
  <c r="AV18" i="6"/>
  <c r="AV124" i="6"/>
  <c r="AV178" i="6"/>
  <c r="AV155" i="6"/>
  <c r="AV177" i="6"/>
  <c r="AU124" i="6"/>
  <c r="AU155" i="6"/>
  <c r="AU177" i="6"/>
  <c r="AU178" i="6"/>
  <c r="AU18" i="6"/>
  <c r="AW123" i="6"/>
  <c r="AW156" i="6"/>
  <c r="AW168" i="6"/>
  <c r="AW13" i="6"/>
  <c r="AX87" i="11"/>
  <c r="AX11" i="6" s="1"/>
  <c r="AX12" i="6"/>
  <c r="BA103" i="6"/>
  <c r="BA71" i="6"/>
  <c r="BA37" i="12"/>
  <c r="AZ66" i="17"/>
  <c r="AZ99" i="17"/>
  <c r="BB72" i="17"/>
  <c r="BB81" i="17"/>
  <c r="BB71" i="17"/>
  <c r="BB90" i="17" s="1"/>
  <c r="BB91" i="17" s="1"/>
  <c r="BB80" i="17"/>
  <c r="BB65" i="17"/>
  <c r="BB79" i="17"/>
  <c r="BB70" i="17"/>
  <c r="BB103" i="6"/>
  <c r="BB71" i="6"/>
  <c r="BB37" i="12"/>
  <c r="BE45" i="6"/>
  <c r="BE167" i="6"/>
  <c r="BE134" i="6"/>
  <c r="BE70" i="6"/>
  <c r="BE100" i="6"/>
  <c r="BE86" i="11"/>
  <c r="BE18" i="17"/>
  <c r="BC110" i="11"/>
  <c r="BC124" i="11" s="1"/>
  <c r="BC109" i="11"/>
  <c r="BC99" i="11"/>
  <c r="BC111" i="11"/>
  <c r="BC112" i="11"/>
  <c r="BC113" i="11"/>
  <c r="BC127" i="11" s="1"/>
  <c r="BC47" i="12"/>
  <c r="BC52" i="12"/>
  <c r="BC50" i="6" s="1"/>
  <c r="BC33" i="17"/>
  <c r="BC94" i="17" s="1"/>
  <c r="BC96" i="17" s="1"/>
  <c r="BC60" i="17"/>
  <c r="BC61" i="17"/>
  <c r="BC59" i="17"/>
  <c r="BF70" i="6"/>
  <c r="BF100" i="6"/>
  <c r="BF134" i="6"/>
  <c r="BF18" i="17"/>
  <c r="BF86" i="11"/>
  <c r="BF198" i="9"/>
  <c r="BF199" i="9" s="1"/>
  <c r="BF44" i="6" s="1"/>
  <c r="BF183" i="9"/>
  <c r="BG166" i="9"/>
  <c r="BG182" i="9" s="1"/>
  <c r="BH166" i="9" s="1"/>
  <c r="BF158" i="6"/>
  <c r="BF14" i="6"/>
  <c r="BF125" i="6" s="1"/>
  <c r="BF127" i="6"/>
  <c r="BH151" i="9"/>
  <c r="BH78" i="11" s="1"/>
  <c r="BH81" i="11" s="1"/>
  <c r="BH90" i="11" s="1"/>
  <c r="BI150" i="9"/>
  <c r="BG92" i="11"/>
  <c r="BG16" i="6"/>
  <c r="BD112" i="11"/>
  <c r="BD99" i="11"/>
  <c r="BD111" i="11"/>
  <c r="BD113" i="11"/>
  <c r="BD127" i="11" s="1"/>
  <c r="BD110" i="11"/>
  <c r="BD124" i="11" s="1"/>
  <c r="BD109" i="11"/>
  <c r="BD47" i="12"/>
  <c r="BD52" i="12"/>
  <c r="BD50" i="6" s="1"/>
  <c r="BD33" i="17"/>
  <c r="BD94" i="17" s="1"/>
  <c r="BD96" i="17" s="1"/>
  <c r="BD60" i="17"/>
  <c r="BD61" i="17"/>
  <c r="BD59" i="17"/>
  <c r="BA66" i="17"/>
  <c r="BA99" i="17"/>
  <c r="AY97" i="17"/>
  <c r="AY67" i="17"/>
  <c r="AQ88" i="6"/>
  <c r="AQ31" i="12"/>
  <c r="AQ152" i="6"/>
  <c r="AR18" i="12"/>
  <c r="AW18" i="13" l="1"/>
  <c r="AX14" i="13"/>
  <c r="AX15" i="13" s="1"/>
  <c r="AW36" i="13"/>
  <c r="AW60" i="6" s="1"/>
  <c r="AC187" i="6"/>
  <c r="AC64" i="6"/>
  <c r="AC151" i="6"/>
  <c r="AC185" i="6"/>
  <c r="AD62" i="12"/>
  <c r="AD19" i="6" s="1"/>
  <c r="AC142" i="6"/>
  <c r="AC189" i="6"/>
  <c r="AC188" i="6"/>
  <c r="AC144" i="6"/>
  <c r="AC42" i="6"/>
  <c r="AC139" i="6"/>
  <c r="AC96" i="6"/>
  <c r="AC109" i="6" s="1"/>
  <c r="AT35" i="12"/>
  <c r="AT135" i="6"/>
  <c r="AT179" i="6"/>
  <c r="AT180" i="6"/>
  <c r="AV129" i="6"/>
  <c r="AV24" i="6"/>
  <c r="AU24" i="6"/>
  <c r="AU129" i="6"/>
  <c r="AW177" i="6"/>
  <c r="AW124" i="6"/>
  <c r="AW18" i="6"/>
  <c r="AW155" i="6"/>
  <c r="AW178" i="6"/>
  <c r="AX156" i="6"/>
  <c r="AX123" i="6"/>
  <c r="AX168" i="6"/>
  <c r="AX13" i="6"/>
  <c r="AY98" i="17"/>
  <c r="AY88" i="11"/>
  <c r="BB99" i="17"/>
  <c r="BB66" i="17"/>
  <c r="BE93" i="11"/>
  <c r="BE94" i="11" s="1"/>
  <c r="BE95" i="17"/>
  <c r="BE97" i="11"/>
  <c r="BE30" i="17"/>
  <c r="BE19" i="17"/>
  <c r="BC123" i="11"/>
  <c r="BC130" i="11" s="1"/>
  <c r="BC116" i="11"/>
  <c r="BC125" i="11"/>
  <c r="BC132" i="11" s="1"/>
  <c r="BC118" i="11"/>
  <c r="BC126" i="11"/>
  <c r="BC133" i="11" s="1"/>
  <c r="BC119" i="11"/>
  <c r="BC49" i="6"/>
  <c r="BC53" i="12"/>
  <c r="BC54" i="12" s="1"/>
  <c r="BC77" i="17"/>
  <c r="BC63" i="17"/>
  <c r="BC64" i="17"/>
  <c r="BC78" i="17"/>
  <c r="BC62" i="17"/>
  <c r="BC76" i="17"/>
  <c r="BF30" i="17"/>
  <c r="BF19" i="17"/>
  <c r="BF97" i="11"/>
  <c r="BF95" i="17"/>
  <c r="BF93" i="11"/>
  <c r="BF94" i="11" s="1"/>
  <c r="BF167" i="6"/>
  <c r="BF45" i="6"/>
  <c r="BG198" i="9"/>
  <c r="BG199" i="9" s="1"/>
  <c r="BG44" i="6" s="1"/>
  <c r="BG183" i="9"/>
  <c r="BG167" i="9"/>
  <c r="BG23" i="6" s="1"/>
  <c r="BG85" i="11"/>
  <c r="BH167" i="9"/>
  <c r="BH23" i="6" s="1"/>
  <c r="BH85" i="11"/>
  <c r="BH182" i="9"/>
  <c r="BH92" i="11"/>
  <c r="BH16" i="6"/>
  <c r="BI166" i="9"/>
  <c r="BI151" i="9"/>
  <c r="BI78" i="11" s="1"/>
  <c r="BI81" i="11" s="1"/>
  <c r="BI90" i="11" s="1"/>
  <c r="BJ150" i="9"/>
  <c r="BG14" i="6"/>
  <c r="BG125" i="6" s="1"/>
  <c r="BG158" i="6"/>
  <c r="BG127" i="6"/>
  <c r="BD119" i="11"/>
  <c r="BD126" i="11"/>
  <c r="BD133" i="11" s="1"/>
  <c r="BD118" i="11"/>
  <c r="BD125" i="11"/>
  <c r="BD132" i="11" s="1"/>
  <c r="BD116" i="11"/>
  <c r="BD123" i="11"/>
  <c r="BD130" i="11" s="1"/>
  <c r="BD49" i="6"/>
  <c r="BD53" i="12"/>
  <c r="BD63" i="17"/>
  <c r="BD77" i="17"/>
  <c r="BD78" i="17"/>
  <c r="BD64" i="17"/>
  <c r="BD76" i="17"/>
  <c r="BD62" i="17"/>
  <c r="AZ97" i="17"/>
  <c r="AZ67" i="17"/>
  <c r="BA97" i="17"/>
  <c r="BA67" i="17"/>
  <c r="AR22" i="12"/>
  <c r="AR24" i="12" s="1"/>
  <c r="AR29" i="12"/>
  <c r="AQ52" i="6"/>
  <c r="AQ32" i="12"/>
  <c r="AQ56" i="6" s="1"/>
  <c r="AX36" i="13" l="1"/>
  <c r="AX60" i="6" s="1"/>
  <c r="AY14" i="13"/>
  <c r="AY15" i="13" s="1"/>
  <c r="AX18" i="13"/>
  <c r="AD20" i="6"/>
  <c r="AD130" i="6"/>
  <c r="AC46" i="6"/>
  <c r="AC141" i="6"/>
  <c r="AC110" i="6"/>
  <c r="BC169" i="6"/>
  <c r="BD169" i="6"/>
  <c r="AV135" i="6"/>
  <c r="AV180" i="6"/>
  <c r="AV35" i="12"/>
  <c r="AV179" i="6"/>
  <c r="AU35" i="12"/>
  <c r="AU179" i="6"/>
  <c r="AU135" i="6"/>
  <c r="AU180" i="6"/>
  <c r="AW24" i="6"/>
  <c r="AW129" i="6"/>
  <c r="AX124" i="6"/>
  <c r="AX18" i="6"/>
  <c r="AX178" i="6"/>
  <c r="AX155" i="6"/>
  <c r="AX177" i="6"/>
  <c r="AY87" i="11"/>
  <c r="AY11" i="6" s="1"/>
  <c r="AY12" i="6"/>
  <c r="AZ98" i="17"/>
  <c r="AZ88" i="11"/>
  <c r="BA98" i="17"/>
  <c r="BA88" i="11"/>
  <c r="BD54" i="12"/>
  <c r="BB67" i="17"/>
  <c r="BB97" i="17"/>
  <c r="BE52" i="12"/>
  <c r="BE50" i="6" s="1"/>
  <c r="BE47" i="12"/>
  <c r="BE110" i="11"/>
  <c r="BE124" i="11" s="1"/>
  <c r="BE112" i="11"/>
  <c r="BE113" i="11"/>
  <c r="BE127" i="11" s="1"/>
  <c r="BE109" i="11"/>
  <c r="BE99" i="11"/>
  <c r="BE111" i="11"/>
  <c r="BE61" i="17"/>
  <c r="BE33" i="17"/>
  <c r="BE94" i="17" s="1"/>
  <c r="BE96" i="17" s="1"/>
  <c r="BE60" i="17"/>
  <c r="BE59" i="17"/>
  <c r="BC103" i="6"/>
  <c r="BC37" i="12"/>
  <c r="BC71" i="6"/>
  <c r="BC71" i="17"/>
  <c r="BC90" i="17" s="1"/>
  <c r="BC91" i="17" s="1"/>
  <c r="BC80" i="17"/>
  <c r="BC72" i="17"/>
  <c r="BC81" i="17"/>
  <c r="BC79" i="17"/>
  <c r="BC70" i="17"/>
  <c r="BC65" i="17"/>
  <c r="BF33" i="17"/>
  <c r="BF94" i="17" s="1"/>
  <c r="BF96" i="17" s="1"/>
  <c r="BF61" i="17"/>
  <c r="BF59" i="17"/>
  <c r="BF60" i="17"/>
  <c r="BF113" i="11"/>
  <c r="BF127" i="11" s="1"/>
  <c r="BF110" i="11"/>
  <c r="BF124" i="11" s="1"/>
  <c r="BF111" i="11"/>
  <c r="BF112" i="11"/>
  <c r="BF109" i="11"/>
  <c r="BF99" i="11"/>
  <c r="BF52" i="12"/>
  <c r="BF50" i="6" s="1"/>
  <c r="BF47" i="12"/>
  <c r="BG167" i="6"/>
  <c r="BG45" i="6"/>
  <c r="BG70" i="6"/>
  <c r="BG134" i="6"/>
  <c r="BG100" i="6"/>
  <c r="BG86" i="11"/>
  <c r="BG18" i="17"/>
  <c r="BH100" i="6"/>
  <c r="BH134" i="6"/>
  <c r="BH70" i="6"/>
  <c r="BH86" i="11"/>
  <c r="BH18" i="17"/>
  <c r="BH198" i="9"/>
  <c r="BH199" i="9" s="1"/>
  <c r="BH44" i="6" s="1"/>
  <c r="BH183" i="9"/>
  <c r="BH127" i="6"/>
  <c r="BH158" i="6"/>
  <c r="BH14" i="6"/>
  <c r="BH125" i="6" s="1"/>
  <c r="BI85" i="11"/>
  <c r="BI167" i="9"/>
  <c r="BI23" i="6" s="1"/>
  <c r="BI182" i="9"/>
  <c r="BJ166" i="9" s="1"/>
  <c r="BI92" i="11"/>
  <c r="BI16" i="6"/>
  <c r="BK150" i="9"/>
  <c r="BJ151" i="9"/>
  <c r="BJ78" i="11" s="1"/>
  <c r="BJ81" i="11" s="1"/>
  <c r="BJ90" i="11" s="1"/>
  <c r="BD71" i="17"/>
  <c r="BD90" i="17" s="1"/>
  <c r="BD91" i="17" s="1"/>
  <c r="BD80" i="17"/>
  <c r="BD72" i="17"/>
  <c r="BD81" i="17"/>
  <c r="BD70" i="17"/>
  <c r="BD65" i="17"/>
  <c r="BD79" i="17"/>
  <c r="AR101" i="6"/>
  <c r="AR40" i="12"/>
  <c r="AR172" i="6"/>
  <c r="AQ57" i="6"/>
  <c r="AR78" i="6"/>
  <c r="AR30" i="12"/>
  <c r="AZ14" i="13" l="1"/>
  <c r="AZ15" i="13" s="1"/>
  <c r="AY36" i="13"/>
  <c r="AY60" i="6" s="1"/>
  <c r="AY18" i="13"/>
  <c r="AD131" i="6"/>
  <c r="AD28" i="6"/>
  <c r="AC149" i="6"/>
  <c r="AC150" i="6"/>
  <c r="AC183" i="6"/>
  <c r="AC147" i="6"/>
  <c r="AC166" i="6"/>
  <c r="AC65" i="6"/>
  <c r="AC184" i="6"/>
  <c r="AC160" i="6"/>
  <c r="AW180" i="6"/>
  <c r="AW179" i="6"/>
  <c r="AW35" i="12"/>
  <c r="AW135" i="6"/>
  <c r="AX24" i="6"/>
  <c r="AX129" i="6"/>
  <c r="AY168" i="6"/>
  <c r="AY156" i="6"/>
  <c r="AY123" i="6"/>
  <c r="AY13" i="6"/>
  <c r="AZ87" i="11"/>
  <c r="AZ11" i="6" s="1"/>
  <c r="AZ12" i="6"/>
  <c r="BA87" i="11"/>
  <c r="BA11" i="6" s="1"/>
  <c r="BA12" i="6"/>
  <c r="BB98" i="17"/>
  <c r="BB88" i="11"/>
  <c r="BD37" i="12"/>
  <c r="BD71" i="6"/>
  <c r="BD103" i="6"/>
  <c r="BE53" i="12"/>
  <c r="BE54" i="12" s="1"/>
  <c r="BE49" i="6"/>
  <c r="BE119" i="11"/>
  <c r="BE126" i="11"/>
  <c r="BE133" i="11" s="1"/>
  <c r="BE116" i="11"/>
  <c r="BE123" i="11"/>
  <c r="BE130" i="11" s="1"/>
  <c r="BE118" i="11"/>
  <c r="BE125" i="11"/>
  <c r="BE132" i="11" s="1"/>
  <c r="BE64" i="17"/>
  <c r="BE78" i="17"/>
  <c r="BE63" i="17"/>
  <c r="BE77" i="17"/>
  <c r="BE62" i="17"/>
  <c r="BE76" i="17"/>
  <c r="BC66" i="17"/>
  <c r="BC99" i="17"/>
  <c r="BF64" i="17"/>
  <c r="BF78" i="17"/>
  <c r="BF62" i="17"/>
  <c r="BF76" i="17"/>
  <c r="BF63" i="17"/>
  <c r="BF77" i="17"/>
  <c r="BF118" i="11"/>
  <c r="BF125" i="11"/>
  <c r="BF132" i="11" s="1"/>
  <c r="BF119" i="11"/>
  <c r="BF126" i="11"/>
  <c r="BF133" i="11" s="1"/>
  <c r="BF123" i="11"/>
  <c r="BF130" i="11" s="1"/>
  <c r="BF116" i="11"/>
  <c r="BF53" i="12"/>
  <c r="BF49" i="6"/>
  <c r="BG93" i="11"/>
  <c r="BG94" i="11" s="1"/>
  <c r="BG97" i="11"/>
  <c r="BG95" i="17"/>
  <c r="BG19" i="17"/>
  <c r="BG30" i="17"/>
  <c r="BH93" i="11"/>
  <c r="BH94" i="11" s="1"/>
  <c r="BH95" i="17"/>
  <c r="BH97" i="11"/>
  <c r="BH30" i="17"/>
  <c r="BH19" i="17"/>
  <c r="BH167" i="6"/>
  <c r="BH45" i="6"/>
  <c r="BI18" i="17"/>
  <c r="BI86" i="11"/>
  <c r="BI70" i="6"/>
  <c r="BI134" i="6"/>
  <c r="BI100" i="6"/>
  <c r="BI198" i="9"/>
  <c r="BI199" i="9" s="1"/>
  <c r="BI44" i="6" s="1"/>
  <c r="BI183" i="9"/>
  <c r="BI158" i="6"/>
  <c r="BI14" i="6"/>
  <c r="BI125" i="6" s="1"/>
  <c r="BI127" i="6"/>
  <c r="BJ85" i="11"/>
  <c r="BJ167" i="9"/>
  <c r="BJ23" i="6" s="1"/>
  <c r="BJ182" i="9"/>
  <c r="BL150" i="9"/>
  <c r="BK151" i="9"/>
  <c r="BK78" i="11" s="1"/>
  <c r="BK81" i="11" s="1"/>
  <c r="BK90" i="11" s="1"/>
  <c r="BJ92" i="11"/>
  <c r="BJ16" i="6"/>
  <c r="BD66" i="17"/>
  <c r="BD99" i="17"/>
  <c r="AR31" i="12"/>
  <c r="AR152" i="6"/>
  <c r="AS18" i="12"/>
  <c r="AR88" i="6"/>
  <c r="BA14" i="13" l="1"/>
  <c r="BA15" i="13" s="1"/>
  <c r="AZ36" i="13"/>
  <c r="AZ60" i="6" s="1"/>
  <c r="AZ18" i="13"/>
  <c r="AD32" i="6"/>
  <c r="AE29" i="6" s="1"/>
  <c r="AD31" i="6"/>
  <c r="AD33" i="6" s="1"/>
  <c r="BE169" i="6"/>
  <c r="BF169" i="6"/>
  <c r="AX135" i="6"/>
  <c r="AX180" i="6"/>
  <c r="AX35" i="12"/>
  <c r="AX179" i="6"/>
  <c r="AY177" i="6"/>
  <c r="AY178" i="6"/>
  <c r="AY155" i="6"/>
  <c r="AY124" i="6"/>
  <c r="AY18" i="6"/>
  <c r="AZ123" i="6"/>
  <c r="AZ156" i="6"/>
  <c r="AZ168" i="6"/>
  <c r="AZ13" i="6"/>
  <c r="BA123" i="6"/>
  <c r="BA156" i="6"/>
  <c r="BA168" i="6"/>
  <c r="BA13" i="6"/>
  <c r="BB87" i="11"/>
  <c r="BB11" i="6" s="1"/>
  <c r="BB12" i="6"/>
  <c r="BF54" i="12"/>
  <c r="BE37" i="12"/>
  <c r="BE71" i="6"/>
  <c r="BE103" i="6"/>
  <c r="BE81" i="17"/>
  <c r="BE72" i="17"/>
  <c r="BE80" i="17"/>
  <c r="BE71" i="17"/>
  <c r="BE90" i="17" s="1"/>
  <c r="BE91" i="17" s="1"/>
  <c r="BE65" i="17"/>
  <c r="BE70" i="17"/>
  <c r="BE79" i="17"/>
  <c r="BF72" i="17"/>
  <c r="BF81" i="17"/>
  <c r="BF70" i="17"/>
  <c r="BF79" i="17"/>
  <c r="BF65" i="17"/>
  <c r="BF80" i="17"/>
  <c r="BF71" i="17"/>
  <c r="BF90" i="17" s="1"/>
  <c r="BF91" i="17" s="1"/>
  <c r="BG47" i="12"/>
  <c r="BG52" i="12"/>
  <c r="BG50" i="6" s="1"/>
  <c r="BG110" i="11"/>
  <c r="BG124" i="11" s="1"/>
  <c r="BG111" i="11"/>
  <c r="BG109" i="11"/>
  <c r="BG113" i="11"/>
  <c r="BG127" i="11" s="1"/>
  <c r="BG112" i="11"/>
  <c r="BG99" i="11"/>
  <c r="BG59" i="17"/>
  <c r="BG33" i="17"/>
  <c r="BG94" i="17" s="1"/>
  <c r="BG96" i="17" s="1"/>
  <c r="BG61" i="17"/>
  <c r="BG60" i="17"/>
  <c r="BH47" i="12"/>
  <c r="BH52" i="12"/>
  <c r="BH50" i="6" s="1"/>
  <c r="BH109" i="11"/>
  <c r="BH111" i="11"/>
  <c r="BH112" i="11"/>
  <c r="BH113" i="11"/>
  <c r="BH127" i="11" s="1"/>
  <c r="BH99" i="11"/>
  <c r="BH110" i="11"/>
  <c r="BH124" i="11" s="1"/>
  <c r="BH60" i="17"/>
  <c r="BH59" i="17"/>
  <c r="BH61" i="17"/>
  <c r="BH33" i="17"/>
  <c r="BH94" i="17" s="1"/>
  <c r="BH96" i="17" s="1"/>
  <c r="BI30" i="17"/>
  <c r="BI19" i="17"/>
  <c r="BI97" i="11"/>
  <c r="BI95" i="17"/>
  <c r="BI93" i="11"/>
  <c r="BI94" i="11" s="1"/>
  <c r="BI45" i="6"/>
  <c r="BI167" i="6"/>
  <c r="BJ18" i="17"/>
  <c r="BJ86" i="11"/>
  <c r="BJ134" i="6"/>
  <c r="BJ70" i="6"/>
  <c r="BJ100" i="6"/>
  <c r="BJ198" i="9"/>
  <c r="BJ199" i="9" s="1"/>
  <c r="BJ44" i="6" s="1"/>
  <c r="BJ183" i="9"/>
  <c r="BK166" i="9"/>
  <c r="BK182" i="9" s="1"/>
  <c r="BL151" i="9"/>
  <c r="BL78" i="11" s="1"/>
  <c r="BL81" i="11" s="1"/>
  <c r="BL90" i="11" s="1"/>
  <c r="BM150" i="9"/>
  <c r="BK92" i="11"/>
  <c r="BK16" i="6"/>
  <c r="BJ127" i="6"/>
  <c r="BJ14" i="6"/>
  <c r="BJ125" i="6" s="1"/>
  <c r="BJ158" i="6"/>
  <c r="BC97" i="17"/>
  <c r="BC67" i="17"/>
  <c r="BD97" i="17"/>
  <c r="BD67" i="17"/>
  <c r="AR52" i="6"/>
  <c r="AR32" i="12"/>
  <c r="AR56" i="6" s="1"/>
  <c r="AR57" i="6" s="1"/>
  <c r="AS22" i="12"/>
  <c r="AS24" i="12" s="1"/>
  <c r="AS29" i="12"/>
  <c r="BB14" i="13" l="1"/>
  <c r="BB15" i="13" s="1"/>
  <c r="BA36" i="13"/>
  <c r="BA60" i="6" s="1"/>
  <c r="BA18" i="13"/>
  <c r="AD36" i="12"/>
  <c r="AD39" i="12" s="1"/>
  <c r="AD41" i="12" s="1"/>
  <c r="AD21" i="6"/>
  <c r="AD173" i="6"/>
  <c r="AD190" i="6" s="1"/>
  <c r="AY24" i="6"/>
  <c r="AY129" i="6"/>
  <c r="AZ124" i="6"/>
  <c r="AZ155" i="6"/>
  <c r="AZ18" i="6"/>
  <c r="AZ177" i="6"/>
  <c r="AZ178" i="6"/>
  <c r="BA18" i="6"/>
  <c r="BA177" i="6"/>
  <c r="BA178" i="6"/>
  <c r="BA155" i="6"/>
  <c r="BA124" i="6"/>
  <c r="BB168" i="6"/>
  <c r="BB156" i="6"/>
  <c r="BB123" i="6"/>
  <c r="BB13" i="6"/>
  <c r="BC98" i="17"/>
  <c r="BC88" i="11"/>
  <c r="BD98" i="17"/>
  <c r="BD88" i="11"/>
  <c r="BF37" i="12"/>
  <c r="BF103" i="6"/>
  <c r="BF71" i="6"/>
  <c r="BE66" i="17"/>
  <c r="BE99" i="17"/>
  <c r="BF99" i="17"/>
  <c r="BF66" i="17"/>
  <c r="BG53" i="12"/>
  <c r="BG54" i="12" s="1"/>
  <c r="BG49" i="6"/>
  <c r="BG125" i="11"/>
  <c r="BG132" i="11" s="1"/>
  <c r="BG118" i="11"/>
  <c r="BG123" i="11"/>
  <c r="BG130" i="11" s="1"/>
  <c r="BG116" i="11"/>
  <c r="BG119" i="11"/>
  <c r="BG126" i="11"/>
  <c r="BG133" i="11" s="1"/>
  <c r="BG76" i="17"/>
  <c r="BG62" i="17"/>
  <c r="BG78" i="17"/>
  <c r="BG64" i="17"/>
  <c r="BG77" i="17"/>
  <c r="BG63" i="17"/>
  <c r="BH49" i="6"/>
  <c r="BH53" i="12"/>
  <c r="BH116" i="11"/>
  <c r="BH123" i="11"/>
  <c r="BH130" i="11" s="1"/>
  <c r="BH118" i="11"/>
  <c r="BH125" i="11"/>
  <c r="BH132" i="11" s="1"/>
  <c r="BH126" i="11"/>
  <c r="BH133" i="11" s="1"/>
  <c r="BH119" i="11"/>
  <c r="BH77" i="17"/>
  <c r="BH63" i="17"/>
  <c r="BH62" i="17"/>
  <c r="BH76" i="17"/>
  <c r="BH64" i="17"/>
  <c r="BH78" i="17"/>
  <c r="BI61" i="17"/>
  <c r="BI33" i="17"/>
  <c r="BI94" i="17" s="1"/>
  <c r="BI96" i="17" s="1"/>
  <c r="BI60" i="17"/>
  <c r="BI59" i="17"/>
  <c r="BI110" i="11"/>
  <c r="BI124" i="11" s="1"/>
  <c r="BI112" i="11"/>
  <c r="BI109" i="11"/>
  <c r="BI111" i="11"/>
  <c r="BI113" i="11"/>
  <c r="BI127" i="11" s="1"/>
  <c r="BI99" i="11"/>
  <c r="BI52" i="12"/>
  <c r="BI50" i="6" s="1"/>
  <c r="BI47" i="12"/>
  <c r="BJ30" i="17"/>
  <c r="BJ19" i="17"/>
  <c r="BJ97" i="11"/>
  <c r="BJ93" i="11"/>
  <c r="BJ94" i="11" s="1"/>
  <c r="BJ95" i="17"/>
  <c r="BJ167" i="6"/>
  <c r="BJ45" i="6"/>
  <c r="BK198" i="9"/>
  <c r="BK199" i="9" s="1"/>
  <c r="BK44" i="6" s="1"/>
  <c r="BK183" i="9"/>
  <c r="BL166" i="9"/>
  <c r="BL182" i="9" s="1"/>
  <c r="BM166" i="9" s="1"/>
  <c r="BK85" i="11"/>
  <c r="BK167" i="9"/>
  <c r="BK23" i="6" s="1"/>
  <c r="BL16" i="6"/>
  <c r="BL92" i="11"/>
  <c r="BN150" i="9"/>
  <c r="BM151" i="9"/>
  <c r="BM78" i="11" s="1"/>
  <c r="BM81" i="11" s="1"/>
  <c r="BM90" i="11" s="1"/>
  <c r="BK14" i="6"/>
  <c r="BK125" i="6" s="1"/>
  <c r="BK158" i="6"/>
  <c r="BK127" i="6"/>
  <c r="AS101" i="6"/>
  <c r="AS40" i="12"/>
  <c r="AS172" i="6"/>
  <c r="AS78" i="6"/>
  <c r="AS30" i="12"/>
  <c r="BC14" i="13" l="1"/>
  <c r="BC15" i="13" s="1"/>
  <c r="BB36" i="13"/>
  <c r="BB60" i="6" s="1"/>
  <c r="BB18" i="13"/>
  <c r="AD22" i="6"/>
  <c r="AD132" i="6"/>
  <c r="BG169" i="6"/>
  <c r="BH169" i="6"/>
  <c r="AY35" i="12"/>
  <c r="AY180" i="6"/>
  <c r="AY135" i="6"/>
  <c r="AY179" i="6"/>
  <c r="AZ129" i="6"/>
  <c r="AZ24" i="6"/>
  <c r="BA24" i="6"/>
  <c r="BA129" i="6"/>
  <c r="BB155" i="6"/>
  <c r="BB177" i="6"/>
  <c r="BB178" i="6"/>
  <c r="BB18" i="6"/>
  <c r="BB124" i="6"/>
  <c r="BC87" i="11"/>
  <c r="BC11" i="6" s="1"/>
  <c r="BC12" i="6"/>
  <c r="BD87" i="11"/>
  <c r="BD11" i="6" s="1"/>
  <c r="BD12" i="6"/>
  <c r="BH54" i="12"/>
  <c r="BF67" i="17"/>
  <c r="BF97" i="17"/>
  <c r="BG71" i="6"/>
  <c r="BG37" i="12"/>
  <c r="BG103" i="6"/>
  <c r="BG65" i="17"/>
  <c r="BG70" i="17"/>
  <c r="BG79" i="17"/>
  <c r="BG72" i="17"/>
  <c r="BG81" i="17"/>
  <c r="BG80" i="17"/>
  <c r="BG71" i="17"/>
  <c r="BG90" i="17" s="1"/>
  <c r="BG91" i="17" s="1"/>
  <c r="BH80" i="17"/>
  <c r="BH71" i="17"/>
  <c r="BH90" i="17" s="1"/>
  <c r="BH91" i="17" s="1"/>
  <c r="BH79" i="17"/>
  <c r="BH70" i="17"/>
  <c r="BH65" i="17"/>
  <c r="BH72" i="17"/>
  <c r="BH81" i="17"/>
  <c r="BI64" i="17"/>
  <c r="BI78" i="17"/>
  <c r="BI63" i="17"/>
  <c r="BI77" i="17"/>
  <c r="BI62" i="17"/>
  <c r="BI76" i="17"/>
  <c r="BI119" i="11"/>
  <c r="BI126" i="11"/>
  <c r="BI133" i="11" s="1"/>
  <c r="BI123" i="11"/>
  <c r="BI130" i="11" s="1"/>
  <c r="BI116" i="11"/>
  <c r="BI118" i="11"/>
  <c r="BI125" i="11"/>
  <c r="BI132" i="11" s="1"/>
  <c r="BI49" i="6"/>
  <c r="BI53" i="12"/>
  <c r="BI54" i="12" s="1"/>
  <c r="BJ60" i="17"/>
  <c r="BJ59" i="17"/>
  <c r="BJ61" i="17"/>
  <c r="BJ33" i="17"/>
  <c r="BJ94" i="17" s="1"/>
  <c r="BJ96" i="17" s="1"/>
  <c r="BJ111" i="11"/>
  <c r="BJ99" i="11"/>
  <c r="BJ112" i="11"/>
  <c r="BJ109" i="11"/>
  <c r="BJ113" i="11"/>
  <c r="BJ127" i="11" s="1"/>
  <c r="BJ110" i="11"/>
  <c r="BJ124" i="11" s="1"/>
  <c r="BJ47" i="12"/>
  <c r="BJ52" i="12"/>
  <c r="BJ50" i="6" s="1"/>
  <c r="BK167" i="6"/>
  <c r="BK45" i="6"/>
  <c r="BL183" i="9"/>
  <c r="BL198" i="9"/>
  <c r="BL199" i="9" s="1"/>
  <c r="BL44" i="6" s="1"/>
  <c r="BL85" i="11"/>
  <c r="BL167" i="9"/>
  <c r="BL23" i="6" s="1"/>
  <c r="BK86" i="11"/>
  <c r="BK18" i="17"/>
  <c r="BK70" i="6"/>
  <c r="BK134" i="6"/>
  <c r="BK100" i="6"/>
  <c r="BL14" i="6"/>
  <c r="BL125" i="6" s="1"/>
  <c r="BL127" i="6"/>
  <c r="BL158" i="6"/>
  <c r="BM167" i="9"/>
  <c r="BM23" i="6" s="1"/>
  <c r="BM85" i="11"/>
  <c r="BM182" i="9"/>
  <c r="BN151" i="9"/>
  <c r="BN78" i="11" s="1"/>
  <c r="BN81" i="11" s="1"/>
  <c r="BN90" i="11" s="1"/>
  <c r="BO150" i="9"/>
  <c r="BO151" i="9" s="1"/>
  <c r="BO78" i="11" s="1"/>
  <c r="BO81" i="11" s="1"/>
  <c r="BO90" i="11" s="1"/>
  <c r="BM92" i="11"/>
  <c r="BM16" i="6"/>
  <c r="BE97" i="17"/>
  <c r="BE67" i="17"/>
  <c r="AS31" i="12"/>
  <c r="AT18" i="12"/>
  <c r="AS152" i="6"/>
  <c r="AS88" i="6"/>
  <c r="BD14" i="13" l="1"/>
  <c r="BD15" i="13" s="1"/>
  <c r="BC36" i="13"/>
  <c r="BC60" i="6" s="1"/>
  <c r="BC18" i="13"/>
  <c r="AD181" i="6"/>
  <c r="AD9" i="13"/>
  <c r="AD26" i="13" s="1"/>
  <c r="AD28" i="13" s="1"/>
  <c r="AD30" i="13" s="1"/>
  <c r="AD99" i="6"/>
  <c r="AD104" i="6" s="1"/>
  <c r="AD106" i="6" s="1"/>
  <c r="AD107" i="6" s="1"/>
  <c r="AD133" i="6"/>
  <c r="AD159" i="6"/>
  <c r="AD182" i="6"/>
  <c r="AD69" i="6"/>
  <c r="AD72" i="6" s="1"/>
  <c r="BI169" i="6"/>
  <c r="AZ135" i="6"/>
  <c r="AZ35" i="12"/>
  <c r="AZ180" i="6"/>
  <c r="AZ179" i="6"/>
  <c r="BA135" i="6"/>
  <c r="BA180" i="6"/>
  <c r="BA179" i="6"/>
  <c r="BA35" i="12"/>
  <c r="BB129" i="6"/>
  <c r="BB24" i="6"/>
  <c r="BC168" i="6"/>
  <c r="BC156" i="6"/>
  <c r="BC123" i="6"/>
  <c r="BC13" i="6"/>
  <c r="BD168" i="6"/>
  <c r="BD156" i="6"/>
  <c r="BD123" i="6"/>
  <c r="BD13" i="6"/>
  <c r="BF98" i="17"/>
  <c r="BF88" i="11"/>
  <c r="BE98" i="17"/>
  <c r="BE88" i="11"/>
  <c r="BH37" i="12"/>
  <c r="BH103" i="6"/>
  <c r="BH71" i="6"/>
  <c r="BG66" i="17"/>
  <c r="BG99" i="17"/>
  <c r="BH99" i="17"/>
  <c r="BH66" i="17"/>
  <c r="BI72" i="17"/>
  <c r="BI81" i="17"/>
  <c r="BI71" i="17"/>
  <c r="BI90" i="17" s="1"/>
  <c r="BI91" i="17" s="1"/>
  <c r="BI80" i="17"/>
  <c r="BI65" i="17"/>
  <c r="BI70" i="17"/>
  <c r="BI79" i="17"/>
  <c r="BI71" i="6"/>
  <c r="BI37" i="12"/>
  <c r="BI103" i="6"/>
  <c r="BJ63" i="17"/>
  <c r="BJ77" i="17"/>
  <c r="BJ62" i="17"/>
  <c r="BJ76" i="17"/>
  <c r="BJ64" i="17"/>
  <c r="BJ78" i="17"/>
  <c r="BJ125" i="11"/>
  <c r="BJ132" i="11" s="1"/>
  <c r="BJ118" i="11"/>
  <c r="BJ126" i="11"/>
  <c r="BJ133" i="11" s="1"/>
  <c r="BJ119" i="11"/>
  <c r="BJ116" i="11"/>
  <c r="BJ123" i="11"/>
  <c r="BJ130" i="11" s="1"/>
  <c r="BJ49" i="6"/>
  <c r="BJ53" i="12"/>
  <c r="BJ54" i="12" s="1"/>
  <c r="BL45" i="6"/>
  <c r="BL167" i="6"/>
  <c r="BL18" i="17"/>
  <c r="BL86" i="11"/>
  <c r="BL70" i="6"/>
  <c r="BL134" i="6"/>
  <c r="BL100" i="6"/>
  <c r="BK97" i="11"/>
  <c r="BK93" i="11"/>
  <c r="BK94" i="11" s="1"/>
  <c r="BK95" i="17"/>
  <c r="BK19" i="17"/>
  <c r="BK30" i="17"/>
  <c r="BM100" i="6"/>
  <c r="BM70" i="6"/>
  <c r="BM134" i="6"/>
  <c r="BM18" i="17"/>
  <c r="BM86" i="11"/>
  <c r="BM198" i="9"/>
  <c r="BM199" i="9" s="1"/>
  <c r="BM44" i="6" s="1"/>
  <c r="BM183" i="9"/>
  <c r="BN166" i="9"/>
  <c r="BN182" i="9" s="1"/>
  <c r="BN16" i="6"/>
  <c r="BN92" i="11"/>
  <c r="BO16" i="6"/>
  <c r="BO92" i="11"/>
  <c r="BM14" i="6"/>
  <c r="BM125" i="6" s="1"/>
  <c r="BM127" i="6"/>
  <c r="BM158" i="6"/>
  <c r="AS52" i="6"/>
  <c r="AS32" i="12"/>
  <c r="AS56" i="6" s="1"/>
  <c r="AS57" i="6" s="1"/>
  <c r="AT29" i="12"/>
  <c r="AT22" i="12"/>
  <c r="AT24" i="12" s="1"/>
  <c r="BD18" i="13" l="1"/>
  <c r="BD36" i="13"/>
  <c r="BD60" i="6" s="1"/>
  <c r="BE14" i="13"/>
  <c r="BE15" i="13" s="1"/>
  <c r="AE25" i="13"/>
  <c r="AD38" i="13"/>
  <c r="AD58" i="12"/>
  <c r="AD140" i="6"/>
  <c r="BJ169" i="6"/>
  <c r="BB180" i="6"/>
  <c r="BB35" i="12"/>
  <c r="BB179" i="6"/>
  <c r="BB135" i="6"/>
  <c r="BC18" i="6"/>
  <c r="BC124" i="6"/>
  <c r="BC178" i="6"/>
  <c r="BC155" i="6"/>
  <c r="BC177" i="6"/>
  <c r="BD177" i="6"/>
  <c r="BD155" i="6"/>
  <c r="BD124" i="6"/>
  <c r="BD178" i="6"/>
  <c r="BD18" i="6"/>
  <c r="BF87" i="11"/>
  <c r="BF11" i="6" s="1"/>
  <c r="BF12" i="6"/>
  <c r="BE87" i="11"/>
  <c r="BE11" i="6" s="1"/>
  <c r="BE12" i="6"/>
  <c r="BH67" i="17"/>
  <c r="BH97" i="17"/>
  <c r="BI66" i="17"/>
  <c r="BI99" i="17"/>
  <c r="BJ80" i="17"/>
  <c r="BJ71" i="17"/>
  <c r="BJ90" i="17" s="1"/>
  <c r="BJ91" i="17" s="1"/>
  <c r="BJ65" i="17"/>
  <c r="BJ70" i="17"/>
  <c r="BJ79" i="17"/>
  <c r="BJ72" i="17"/>
  <c r="BJ81" i="17"/>
  <c r="BJ37" i="12"/>
  <c r="BJ71" i="6"/>
  <c r="BJ103" i="6"/>
  <c r="BL19" i="17"/>
  <c r="BL30" i="17"/>
  <c r="BL97" i="11"/>
  <c r="BL95" i="17"/>
  <c r="BL93" i="11"/>
  <c r="BL94" i="11" s="1"/>
  <c r="BK113" i="11"/>
  <c r="BK127" i="11" s="1"/>
  <c r="BK111" i="11"/>
  <c r="BK110" i="11"/>
  <c r="BK124" i="11" s="1"/>
  <c r="BK109" i="11"/>
  <c r="BK112" i="11"/>
  <c r="BK99" i="11"/>
  <c r="BK52" i="12"/>
  <c r="BK50" i="6" s="1"/>
  <c r="BK47" i="12"/>
  <c r="BK59" i="17"/>
  <c r="BK60" i="17"/>
  <c r="BK61" i="17"/>
  <c r="BK33" i="17"/>
  <c r="BK94" i="17" s="1"/>
  <c r="BK96" i="17" s="1"/>
  <c r="BM30" i="17"/>
  <c r="BM19" i="17"/>
  <c r="BM97" i="11"/>
  <c r="BM93" i="11"/>
  <c r="BM94" i="11" s="1"/>
  <c r="BM95" i="17"/>
  <c r="BN198" i="9"/>
  <c r="BN199" i="9" s="1"/>
  <c r="BN44" i="6" s="1"/>
  <c r="BN183" i="9"/>
  <c r="BO166" i="9"/>
  <c r="BO182" i="9" s="1"/>
  <c r="BM45" i="6"/>
  <c r="BM167" i="6"/>
  <c r="BN167" i="9"/>
  <c r="BN23" i="6" s="1"/>
  <c r="BN85" i="11"/>
  <c r="BN158" i="6"/>
  <c r="BN14" i="6"/>
  <c r="BN125" i="6" s="1"/>
  <c r="BN127" i="6"/>
  <c r="BO158" i="6"/>
  <c r="BO127" i="6"/>
  <c r="BO14" i="6"/>
  <c r="BO125" i="6" s="1"/>
  <c r="BG97" i="17"/>
  <c r="BG67" i="17"/>
  <c r="AT78" i="6"/>
  <c r="AT30" i="12"/>
  <c r="AT40" i="12"/>
  <c r="AT101" i="6"/>
  <c r="AT172" i="6"/>
  <c r="BE36" i="13" l="1"/>
  <c r="BE60" i="6" s="1"/>
  <c r="BF14" i="13"/>
  <c r="BF15" i="13" s="1"/>
  <c r="BE18" i="13"/>
  <c r="AD62" i="6"/>
  <c r="AD63" i="6" s="1"/>
  <c r="AD39" i="13"/>
  <c r="AD59" i="12"/>
  <c r="AD60" i="12"/>
  <c r="BC129" i="6"/>
  <c r="BC24" i="6"/>
  <c r="BD129" i="6"/>
  <c r="BD24" i="6"/>
  <c r="BF168" i="6"/>
  <c r="BF156" i="6"/>
  <c r="BF123" i="6"/>
  <c r="BF13" i="6"/>
  <c r="BE156" i="6"/>
  <c r="BE123" i="6"/>
  <c r="BE168" i="6"/>
  <c r="BE13" i="6"/>
  <c r="BH98" i="17"/>
  <c r="BH88" i="11"/>
  <c r="BG98" i="17"/>
  <c r="BG88" i="11"/>
  <c r="BI67" i="17"/>
  <c r="BI97" i="17"/>
  <c r="BJ99" i="17"/>
  <c r="BJ66" i="17"/>
  <c r="BL33" i="17"/>
  <c r="BL94" i="17" s="1"/>
  <c r="BL96" i="17" s="1"/>
  <c r="BL60" i="17"/>
  <c r="BL59" i="17"/>
  <c r="BL61" i="17"/>
  <c r="BL99" i="11"/>
  <c r="BL113" i="11"/>
  <c r="BL127" i="11" s="1"/>
  <c r="BL110" i="11"/>
  <c r="BL124" i="11" s="1"/>
  <c r="BL109" i="11"/>
  <c r="BL112" i="11"/>
  <c r="BL111" i="11"/>
  <c r="BL52" i="12"/>
  <c r="BL50" i="6" s="1"/>
  <c r="BL47" i="12"/>
  <c r="BK118" i="11"/>
  <c r="BK125" i="11"/>
  <c r="BK132" i="11" s="1"/>
  <c r="BK116" i="11"/>
  <c r="BK123" i="11"/>
  <c r="BK130" i="11" s="1"/>
  <c r="BK126" i="11"/>
  <c r="BK133" i="11" s="1"/>
  <c r="BK119" i="11"/>
  <c r="BK49" i="6"/>
  <c r="BK53" i="12"/>
  <c r="BK54" i="12" s="1"/>
  <c r="BK62" i="17"/>
  <c r="BK76" i="17"/>
  <c r="BK77" i="17"/>
  <c r="BK63" i="17"/>
  <c r="BK78" i="17"/>
  <c r="BK64" i="17"/>
  <c r="BM60" i="17"/>
  <c r="BM59" i="17"/>
  <c r="BM33" i="17"/>
  <c r="BM94" i="17" s="1"/>
  <c r="BM96" i="17" s="1"/>
  <c r="BM61" i="17"/>
  <c r="BM111" i="11"/>
  <c r="BM113" i="11"/>
  <c r="BM127" i="11" s="1"/>
  <c r="BM109" i="11"/>
  <c r="BM110" i="11"/>
  <c r="BM124" i="11" s="1"/>
  <c r="BM112" i="11"/>
  <c r="BM99" i="11"/>
  <c r="BM47" i="12"/>
  <c r="BM52" i="12"/>
  <c r="BM50" i="6" s="1"/>
  <c r="BN45" i="6"/>
  <c r="BN167" i="6"/>
  <c r="BO183" i="9"/>
  <c r="BO198" i="9"/>
  <c r="BO199" i="9" s="1"/>
  <c r="BO44" i="6" s="1"/>
  <c r="BO85" i="11"/>
  <c r="BO167" i="9"/>
  <c r="BO23" i="6" s="1"/>
  <c r="BN134" i="6"/>
  <c r="BN100" i="6"/>
  <c r="BN70" i="6"/>
  <c r="BN18" i="17"/>
  <c r="BN86" i="11"/>
  <c r="AT88" i="6"/>
  <c r="AT152" i="6"/>
  <c r="AU18" i="12"/>
  <c r="AT31" i="12"/>
  <c r="BG14" i="13" l="1"/>
  <c r="BG15" i="13" s="1"/>
  <c r="BF18" i="13"/>
  <c r="BF36" i="13"/>
  <c r="BF60" i="6" s="1"/>
  <c r="AD162" i="6"/>
  <c r="AD148" i="6"/>
  <c r="AD161" i="6"/>
  <c r="AD186" i="6"/>
  <c r="AD89" i="6"/>
  <c r="AD61" i="12"/>
  <c r="AD81" i="6"/>
  <c r="AD82" i="6" s="1"/>
  <c r="AD83" i="6" s="1"/>
  <c r="AD85" i="6" s="1"/>
  <c r="BK169" i="6"/>
  <c r="BC180" i="6"/>
  <c r="BC35" i="12"/>
  <c r="BC135" i="6"/>
  <c r="BC179" i="6"/>
  <c r="BD180" i="6"/>
  <c r="BD35" i="12"/>
  <c r="BD135" i="6"/>
  <c r="BD179" i="6"/>
  <c r="BF177" i="6"/>
  <c r="BF18" i="6"/>
  <c r="BF124" i="6"/>
  <c r="BF155" i="6"/>
  <c r="BF178" i="6"/>
  <c r="BE155" i="6"/>
  <c r="BE124" i="6"/>
  <c r="BE177" i="6"/>
  <c r="BE178" i="6"/>
  <c r="BE18" i="6"/>
  <c r="BH87" i="11"/>
  <c r="BH11" i="6" s="1"/>
  <c r="BH12" i="6"/>
  <c r="BG87" i="11"/>
  <c r="BG11" i="6" s="1"/>
  <c r="BG12" i="6"/>
  <c r="BI98" i="17"/>
  <c r="BI88" i="11"/>
  <c r="BJ67" i="17"/>
  <c r="BJ97" i="17"/>
  <c r="BL77" i="17"/>
  <c r="BL63" i="17"/>
  <c r="BL62" i="17"/>
  <c r="BL76" i="17"/>
  <c r="BL78" i="17"/>
  <c r="BL64" i="17"/>
  <c r="BL116" i="11"/>
  <c r="BL123" i="11"/>
  <c r="BL130" i="11" s="1"/>
  <c r="BL126" i="11"/>
  <c r="BL133" i="11" s="1"/>
  <c r="BL119" i="11"/>
  <c r="BL118" i="11"/>
  <c r="BL125" i="11"/>
  <c r="BL132" i="11" s="1"/>
  <c r="BL53" i="12"/>
  <c r="BL54" i="12" s="1"/>
  <c r="BL49" i="6"/>
  <c r="BK37" i="12"/>
  <c r="BK71" i="6"/>
  <c r="BK103" i="6"/>
  <c r="BK79" i="17"/>
  <c r="BK65" i="17"/>
  <c r="BK70" i="17"/>
  <c r="BK71" i="17"/>
  <c r="BK90" i="17" s="1"/>
  <c r="BK91" i="17" s="1"/>
  <c r="BK80" i="17"/>
  <c r="BK81" i="17"/>
  <c r="BK72" i="17"/>
  <c r="BM77" i="17"/>
  <c r="BM63" i="17"/>
  <c r="BM62" i="17"/>
  <c r="BM76" i="17"/>
  <c r="BM64" i="17"/>
  <c r="BM78" i="17"/>
  <c r="BM118" i="11"/>
  <c r="BM125" i="11"/>
  <c r="BM132" i="11" s="1"/>
  <c r="BM123" i="11"/>
  <c r="BM130" i="11" s="1"/>
  <c r="BM116" i="11"/>
  <c r="BM126" i="11"/>
  <c r="BM133" i="11" s="1"/>
  <c r="BM119" i="11"/>
  <c r="BM49" i="6"/>
  <c r="BM53" i="12"/>
  <c r="BO45" i="6"/>
  <c r="BO167" i="6"/>
  <c r="BO86" i="11"/>
  <c r="BO18" i="17"/>
  <c r="BO134" i="6"/>
  <c r="BO70" i="6"/>
  <c r="BO100" i="6"/>
  <c r="BN30" i="17"/>
  <c r="BN19" i="17"/>
  <c r="BN95" i="17"/>
  <c r="BN93" i="11"/>
  <c r="BN94" i="11" s="1"/>
  <c r="BN97" i="11"/>
  <c r="AU22" i="12"/>
  <c r="AU24" i="12" s="1"/>
  <c r="AU29" i="12"/>
  <c r="AT52" i="6"/>
  <c r="AT32" i="12"/>
  <c r="AT56" i="6" s="1"/>
  <c r="AT57" i="6" s="1"/>
  <c r="BG36" i="13" l="1"/>
  <c r="BG60" i="6" s="1"/>
  <c r="BH14" i="13"/>
  <c r="BH15" i="13" s="1"/>
  <c r="BG18" i="13"/>
  <c r="AD91" i="6"/>
  <c r="AD90" i="6"/>
  <c r="AD94" i="6"/>
  <c r="AD95" i="6" s="1"/>
  <c r="AE57" i="12"/>
  <c r="AD53" i="6"/>
  <c r="AD54" i="6" s="1"/>
  <c r="AD58" i="6" s="1"/>
  <c r="AE84" i="6"/>
  <c r="AD38" i="6"/>
  <c r="BL169" i="6"/>
  <c r="BM169" i="6"/>
  <c r="BF129" i="6"/>
  <c r="BF24" i="6"/>
  <c r="BE24" i="6"/>
  <c r="BE129" i="6"/>
  <c r="BH156" i="6"/>
  <c r="BH168" i="6"/>
  <c r="BH123" i="6"/>
  <c r="BH13" i="6"/>
  <c r="BG168" i="6"/>
  <c r="BG123" i="6"/>
  <c r="BG156" i="6"/>
  <c r="BG13" i="6"/>
  <c r="BI87" i="11"/>
  <c r="BI11" i="6" s="1"/>
  <c r="BI12" i="6"/>
  <c r="BJ98" i="17"/>
  <c r="BJ88" i="11"/>
  <c r="BL71" i="17"/>
  <c r="BL90" i="17" s="1"/>
  <c r="BL91" i="17" s="1"/>
  <c r="BL80" i="17"/>
  <c r="BL70" i="17"/>
  <c r="BL79" i="17"/>
  <c r="BL65" i="17"/>
  <c r="BL81" i="17"/>
  <c r="BL72" i="17"/>
  <c r="BL71" i="6"/>
  <c r="BL103" i="6"/>
  <c r="BL37" i="12"/>
  <c r="BK99" i="17"/>
  <c r="BK66" i="17"/>
  <c r="BM80" i="17"/>
  <c r="BM71" i="17"/>
  <c r="BM90" i="17" s="1"/>
  <c r="BM91" i="17" s="1"/>
  <c r="BM70" i="17"/>
  <c r="BM65" i="17"/>
  <c r="BM79" i="17"/>
  <c r="BM81" i="17"/>
  <c r="BM72" i="17"/>
  <c r="BO95" i="17"/>
  <c r="BO93" i="11"/>
  <c r="BO94" i="11" s="1"/>
  <c r="BO97" i="11"/>
  <c r="BO30" i="17"/>
  <c r="BO19" i="17"/>
  <c r="BN60" i="17"/>
  <c r="BN33" i="17"/>
  <c r="BN94" i="17" s="1"/>
  <c r="BN96" i="17" s="1"/>
  <c r="BN61" i="17"/>
  <c r="BN59" i="17"/>
  <c r="BN47" i="12"/>
  <c r="BN52" i="12"/>
  <c r="BN50" i="6" s="1"/>
  <c r="BN99" i="11"/>
  <c r="BN110" i="11"/>
  <c r="BN124" i="11" s="1"/>
  <c r="BN113" i="11"/>
  <c r="BN127" i="11" s="1"/>
  <c r="BN109" i="11"/>
  <c r="BN111" i="11"/>
  <c r="BN112" i="11"/>
  <c r="BM54" i="12"/>
  <c r="AU40" i="12"/>
  <c r="AU101" i="6"/>
  <c r="AU172" i="6"/>
  <c r="AU78" i="6"/>
  <c r="AU30" i="12"/>
  <c r="BH18" i="13" l="1"/>
  <c r="BI14" i="13"/>
  <c r="BI15" i="13" s="1"/>
  <c r="BH36" i="13"/>
  <c r="BH60" i="6" s="1"/>
  <c r="AE62" i="12"/>
  <c r="AE19" i="6" s="1"/>
  <c r="AD64" i="6"/>
  <c r="AD151" i="6"/>
  <c r="AD187" i="6"/>
  <c r="AD185" i="6"/>
  <c r="AD189" i="6"/>
  <c r="AD42" i="6"/>
  <c r="AD139" i="6"/>
  <c r="AD188" i="6"/>
  <c r="AD144" i="6"/>
  <c r="AD142" i="6"/>
  <c r="AD96" i="6"/>
  <c r="AD109" i="6" s="1"/>
  <c r="AD110" i="6" s="1"/>
  <c r="BF35" i="12"/>
  <c r="BF179" i="6"/>
  <c r="BF135" i="6"/>
  <c r="BF180" i="6"/>
  <c r="BE35" i="12"/>
  <c r="BE180" i="6"/>
  <c r="BE135" i="6"/>
  <c r="BE179" i="6"/>
  <c r="BH124" i="6"/>
  <c r="BH177" i="6"/>
  <c r="BH178" i="6"/>
  <c r="BH155" i="6"/>
  <c r="BH18" i="6"/>
  <c r="BG124" i="6"/>
  <c r="BG177" i="6"/>
  <c r="BG18" i="6"/>
  <c r="BG155" i="6"/>
  <c r="BG178" i="6"/>
  <c r="BI123" i="6"/>
  <c r="BI168" i="6"/>
  <c r="BI156" i="6"/>
  <c r="BI13" i="6"/>
  <c r="BJ87" i="11"/>
  <c r="BJ11" i="6" s="1"/>
  <c r="BJ12" i="6"/>
  <c r="BL66" i="17"/>
  <c r="BL99" i="17"/>
  <c r="BM99" i="17"/>
  <c r="BM66" i="17"/>
  <c r="BO47" i="12"/>
  <c r="BO52" i="12"/>
  <c r="BO50" i="6" s="1"/>
  <c r="BO113" i="11"/>
  <c r="BO127" i="11" s="1"/>
  <c r="BO112" i="11"/>
  <c r="BO111" i="11"/>
  <c r="BO99" i="11"/>
  <c r="BO110" i="11"/>
  <c r="BO124" i="11" s="1"/>
  <c r="BO109" i="11"/>
  <c r="BO33" i="17"/>
  <c r="BO94" i="17" s="1"/>
  <c r="BO96" i="17" s="1"/>
  <c r="BO60" i="17"/>
  <c r="BO59" i="17"/>
  <c r="BO61" i="17"/>
  <c r="BN63" i="17"/>
  <c r="BN77" i="17"/>
  <c r="BN78" i="17"/>
  <c r="BN64" i="17"/>
  <c r="BN62" i="17"/>
  <c r="BN76" i="17"/>
  <c r="BN49" i="6"/>
  <c r="BN53" i="12"/>
  <c r="BN54" i="12" s="1"/>
  <c r="BN123" i="11"/>
  <c r="BN130" i="11" s="1"/>
  <c r="BN116" i="11"/>
  <c r="BN118" i="11"/>
  <c r="BN125" i="11"/>
  <c r="BN132" i="11" s="1"/>
  <c r="BN119" i="11"/>
  <c r="BN126" i="11"/>
  <c r="BN133" i="11" s="1"/>
  <c r="BM103" i="6"/>
  <c r="BM71" i="6"/>
  <c r="BM37" i="12"/>
  <c r="BK97" i="17"/>
  <c r="BK67" i="17"/>
  <c r="AU31" i="12"/>
  <c r="AV18" i="12"/>
  <c r="AU152" i="6"/>
  <c r="AU88" i="6"/>
  <c r="BI36" i="13" l="1"/>
  <c r="BI60" i="6" s="1"/>
  <c r="BI18" i="13"/>
  <c r="BJ14" i="13"/>
  <c r="BJ15" i="13" s="1"/>
  <c r="AE20" i="6"/>
  <c r="AE130" i="6"/>
  <c r="AD141" i="6"/>
  <c r="AD46" i="6"/>
  <c r="BN169" i="6"/>
  <c r="BH24" i="6"/>
  <c r="BH129" i="6"/>
  <c r="BG129" i="6"/>
  <c r="BG24" i="6"/>
  <c r="BI124" i="6"/>
  <c r="BI178" i="6"/>
  <c r="BI155" i="6"/>
  <c r="BI177" i="6"/>
  <c r="BI18" i="6"/>
  <c r="BJ168" i="6"/>
  <c r="BJ156" i="6"/>
  <c r="BJ123" i="6"/>
  <c r="BJ13" i="6"/>
  <c r="BK98" i="17"/>
  <c r="BK88" i="11"/>
  <c r="BM67" i="17"/>
  <c r="BM97" i="17"/>
  <c r="BO53" i="12"/>
  <c r="BO54" i="12" s="1"/>
  <c r="BO49" i="6"/>
  <c r="BO126" i="11"/>
  <c r="BO133" i="11" s="1"/>
  <c r="BO119" i="11"/>
  <c r="BO118" i="11"/>
  <c r="BO125" i="11"/>
  <c r="BO132" i="11" s="1"/>
  <c r="BO116" i="11"/>
  <c r="BO123" i="11"/>
  <c r="BO130" i="11" s="1"/>
  <c r="BO63" i="17"/>
  <c r="BO77" i="17"/>
  <c r="BO62" i="17"/>
  <c r="BO76" i="17"/>
  <c r="BO64" i="17"/>
  <c r="BO78" i="17"/>
  <c r="BN80" i="17"/>
  <c r="BN71" i="17"/>
  <c r="BN90" i="17" s="1"/>
  <c r="BN91" i="17" s="1"/>
  <c r="BN72" i="17"/>
  <c r="BN81" i="17"/>
  <c r="BN65" i="17"/>
  <c r="BN70" i="17"/>
  <c r="BN79" i="17"/>
  <c r="BN103" i="6"/>
  <c r="BN71" i="6"/>
  <c r="BN37" i="12"/>
  <c r="BL97" i="17"/>
  <c r="BL67" i="17"/>
  <c r="AV22" i="12"/>
  <c r="AV24" i="12" s="1"/>
  <c r="AV29" i="12"/>
  <c r="AU52" i="6"/>
  <c r="AU32" i="12"/>
  <c r="AU56" i="6" s="1"/>
  <c r="AU57" i="6" s="1"/>
  <c r="BK14" i="13" l="1"/>
  <c r="BK15" i="13" s="1"/>
  <c r="BJ18" i="13"/>
  <c r="BJ36" i="13"/>
  <c r="BJ60" i="6" s="1"/>
  <c r="AE28" i="6"/>
  <c r="AE131" i="6"/>
  <c r="AD149" i="6"/>
  <c r="AD150" i="6"/>
  <c r="AD160" i="6"/>
  <c r="AD183" i="6"/>
  <c r="AD65" i="6"/>
  <c r="AD166" i="6"/>
  <c r="AD147" i="6"/>
  <c r="AD184" i="6"/>
  <c r="BO169" i="6"/>
  <c r="BH179" i="6"/>
  <c r="BH135" i="6"/>
  <c r="BH35" i="12"/>
  <c r="BH180" i="6"/>
  <c r="BG180" i="6"/>
  <c r="BG179" i="6"/>
  <c r="BG135" i="6"/>
  <c r="BG35" i="12"/>
  <c r="BI129" i="6"/>
  <c r="BI24" i="6"/>
  <c r="BJ155" i="6"/>
  <c r="BJ18" i="6"/>
  <c r="BJ124" i="6"/>
  <c r="BJ177" i="6"/>
  <c r="BJ178" i="6"/>
  <c r="BK87" i="11"/>
  <c r="BK11" i="6" s="1"/>
  <c r="BK12" i="6"/>
  <c r="BM98" i="17"/>
  <c r="BM88" i="11"/>
  <c r="BL98" i="17"/>
  <c r="BL88" i="11"/>
  <c r="BO103" i="6"/>
  <c r="BO37" i="12"/>
  <c r="BO71" i="6"/>
  <c r="BO71" i="17"/>
  <c r="BO90" i="17" s="1"/>
  <c r="BO91" i="17" s="1"/>
  <c r="BO80" i="17"/>
  <c r="BO65" i="17"/>
  <c r="BO70" i="17"/>
  <c r="BO79" i="17"/>
  <c r="BO81" i="17"/>
  <c r="BO72" i="17"/>
  <c r="BN66" i="17"/>
  <c r="BN99" i="17"/>
  <c r="AV101" i="6"/>
  <c r="AV40" i="12"/>
  <c r="AV172" i="6"/>
  <c r="AV78" i="6"/>
  <c r="AV30" i="12"/>
  <c r="BK36" i="13" l="1"/>
  <c r="BK60" i="6" s="1"/>
  <c r="BL14" i="13"/>
  <c r="BL15" i="13" s="1"/>
  <c r="BK18" i="13"/>
  <c r="AE32" i="6"/>
  <c r="AF29" i="6" s="1"/>
  <c r="AE31" i="6"/>
  <c r="AE33" i="6" s="1"/>
  <c r="BI135" i="6"/>
  <c r="BI35" i="12"/>
  <c r="BI179" i="6"/>
  <c r="BI180" i="6"/>
  <c r="BJ129" i="6"/>
  <c r="BJ24" i="6"/>
  <c r="BK123" i="6"/>
  <c r="BK168" i="6"/>
  <c r="BK156" i="6"/>
  <c r="BK13" i="6"/>
  <c r="BM87" i="11"/>
  <c r="BM11" i="6" s="1"/>
  <c r="BM12" i="6"/>
  <c r="BL87" i="11"/>
  <c r="BL11" i="6" s="1"/>
  <c r="BL12" i="6"/>
  <c r="BO66" i="17"/>
  <c r="BO99" i="17"/>
  <c r="BN97" i="17"/>
  <c r="BN67" i="17"/>
  <c r="AV152" i="6"/>
  <c r="AV31" i="12"/>
  <c r="AW18" i="12"/>
  <c r="AV88" i="6"/>
  <c r="BL18" i="13" l="1"/>
  <c r="BL36" i="13"/>
  <c r="BL60" i="6" s="1"/>
  <c r="BM14" i="13"/>
  <c r="BM15" i="13" s="1"/>
  <c r="AE173" i="6"/>
  <c r="AE190" i="6" s="1"/>
  <c r="AE36" i="12"/>
  <c r="AE39" i="12" s="1"/>
  <c r="AE41" i="12" s="1"/>
  <c r="AE21" i="6"/>
  <c r="BJ35" i="12"/>
  <c r="BJ135" i="6"/>
  <c r="BJ179" i="6"/>
  <c r="BJ180" i="6"/>
  <c r="BK177" i="6"/>
  <c r="BK124" i="6"/>
  <c r="BK178" i="6"/>
  <c r="BK18" i="6"/>
  <c r="BK155" i="6"/>
  <c r="BM123" i="6"/>
  <c r="BM156" i="6"/>
  <c r="BM168" i="6"/>
  <c r="BM13" i="6"/>
  <c r="BL123" i="6"/>
  <c r="BL156" i="6"/>
  <c r="BL168" i="6"/>
  <c r="BL13" i="6"/>
  <c r="BN98" i="17"/>
  <c r="BN88" i="11"/>
  <c r="BO97" i="17"/>
  <c r="BO67" i="17"/>
  <c r="AV52" i="6"/>
  <c r="AV32" i="12"/>
  <c r="AV56" i="6" s="1"/>
  <c r="AV57" i="6" s="1"/>
  <c r="AW22" i="12"/>
  <c r="AW24" i="12" s="1"/>
  <c r="AW101" i="6" s="1"/>
  <c r="AW29" i="12"/>
  <c r="BN14" i="13" l="1"/>
  <c r="BN15" i="13" s="1"/>
  <c r="BM36" i="13"/>
  <c r="BM60" i="6" s="1"/>
  <c r="BM18" i="13"/>
  <c r="AE22" i="6"/>
  <c r="AE132" i="6"/>
  <c r="BK24" i="6"/>
  <c r="BK129" i="6"/>
  <c r="BM18" i="6"/>
  <c r="BM155" i="6"/>
  <c r="BM124" i="6"/>
  <c r="BM178" i="6"/>
  <c r="BM177" i="6"/>
  <c r="BL124" i="6"/>
  <c r="BL155" i="6"/>
  <c r="BL18" i="6"/>
  <c r="BL177" i="6"/>
  <c r="BL178" i="6"/>
  <c r="BN87" i="11"/>
  <c r="BN11" i="6" s="1"/>
  <c r="BN12" i="6"/>
  <c r="BO98" i="17"/>
  <c r="BO88" i="11"/>
  <c r="AW40" i="12"/>
  <c r="AW172" i="6"/>
  <c r="AW78" i="6"/>
  <c r="AW30" i="12"/>
  <c r="BN18" i="13" l="1"/>
  <c r="BN36" i="13"/>
  <c r="BN60" i="6" s="1"/>
  <c r="BO14" i="13"/>
  <c r="BO15" i="13" s="1"/>
  <c r="AE182" i="6"/>
  <c r="AE9" i="13"/>
  <c r="AE26" i="13" s="1"/>
  <c r="AE28" i="13" s="1"/>
  <c r="AE30" i="13" s="1"/>
  <c r="AE99" i="6"/>
  <c r="AE104" i="6" s="1"/>
  <c r="AE106" i="6" s="1"/>
  <c r="AE107" i="6" s="1"/>
  <c r="AE69" i="6"/>
  <c r="AE72" i="6" s="1"/>
  <c r="AE181" i="6"/>
  <c r="AE133" i="6"/>
  <c r="AE159" i="6"/>
  <c r="BK135" i="6"/>
  <c r="BK180" i="6"/>
  <c r="BK35" i="12"/>
  <c r="BK179" i="6"/>
  <c r="BM24" i="6"/>
  <c r="BM129" i="6"/>
  <c r="BL24" i="6"/>
  <c r="BL129" i="6"/>
  <c r="BN156" i="6"/>
  <c r="BN168" i="6"/>
  <c r="BN123" i="6"/>
  <c r="BN13" i="6"/>
  <c r="BO87" i="11"/>
  <c r="BO11" i="6" s="1"/>
  <c r="BO12" i="6"/>
  <c r="AW152" i="6"/>
  <c r="AW31" i="12"/>
  <c r="AX18" i="12"/>
  <c r="AW88" i="6"/>
  <c r="BO36" i="13" l="1"/>
  <c r="BO60" i="6" s="1"/>
  <c r="BO18" i="13"/>
  <c r="AF25" i="13"/>
  <c r="AE38" i="13"/>
  <c r="AE58" i="12"/>
  <c r="AE140" i="6"/>
  <c r="C8" i="15"/>
  <c r="BM180" i="6"/>
  <c r="BM35" i="12"/>
  <c r="C9" i="15"/>
  <c r="BM135" i="6"/>
  <c r="BM179" i="6"/>
  <c r="BL35" i="12"/>
  <c r="BL179" i="6"/>
  <c r="BL180" i="6"/>
  <c r="BL135" i="6"/>
  <c r="BN18" i="6"/>
  <c r="BN177" i="6"/>
  <c r="BN124" i="6"/>
  <c r="BN155" i="6"/>
  <c r="BN178" i="6"/>
  <c r="BO156" i="6"/>
  <c r="BO123" i="6"/>
  <c r="BO168" i="6"/>
  <c r="BO13" i="6"/>
  <c r="AW32" i="12"/>
  <c r="AW56" i="6" s="1"/>
  <c r="AW57" i="6" s="1"/>
  <c r="AW52" i="6"/>
  <c r="AX22" i="12"/>
  <c r="AX24" i="12" s="1"/>
  <c r="AX29" i="12"/>
  <c r="AE62" i="6" l="1"/>
  <c r="AE63" i="6" s="1"/>
  <c r="AE39" i="13"/>
  <c r="AE60" i="12"/>
  <c r="AE59" i="12"/>
  <c r="BN129" i="6"/>
  <c r="BN24" i="6"/>
  <c r="BO18" i="6"/>
  <c r="BO124" i="6"/>
  <c r="BO177" i="6"/>
  <c r="BO178" i="6"/>
  <c r="BO155" i="6"/>
  <c r="AX101" i="6"/>
  <c r="AX40" i="12"/>
  <c r="AX172" i="6"/>
  <c r="AX30" i="12"/>
  <c r="AX78" i="6"/>
  <c r="AE162" i="6" l="1"/>
  <c r="AE89" i="6"/>
  <c r="AE161" i="6"/>
  <c r="AE148" i="6"/>
  <c r="AE186" i="6"/>
  <c r="AE61" i="12"/>
  <c r="AE81" i="6"/>
  <c r="AE82" i="6" s="1"/>
  <c r="AE83" i="6" s="1"/>
  <c r="AE85" i="6" s="1"/>
  <c r="BN35" i="12"/>
  <c r="BN180" i="6"/>
  <c r="BN179" i="6"/>
  <c r="BN135" i="6"/>
  <c r="BO24" i="6"/>
  <c r="BO129" i="6"/>
  <c r="AX31" i="12"/>
  <c r="AY18" i="12"/>
  <c r="AX152" i="6"/>
  <c r="AX88" i="6"/>
  <c r="AE94" i="6" l="1"/>
  <c r="AE95" i="6" s="1"/>
  <c r="AE91" i="6"/>
  <c r="AE90" i="6"/>
  <c r="AF57" i="12"/>
  <c r="AE53" i="6"/>
  <c r="AE54" i="6" s="1"/>
  <c r="AE58" i="6" s="1"/>
  <c r="AF84" i="6"/>
  <c r="AE38" i="6"/>
  <c r="D9" i="15"/>
  <c r="BO135" i="6"/>
  <c r="BO35" i="12"/>
  <c r="BO179" i="6"/>
  <c r="BO180" i="6"/>
  <c r="D8" i="15"/>
  <c r="AX52" i="6"/>
  <c r="AX32" i="12"/>
  <c r="AX56" i="6" s="1"/>
  <c r="AX57" i="6" s="1"/>
  <c r="AY29" i="12"/>
  <c r="AY22" i="12"/>
  <c r="AY24" i="12" s="1"/>
  <c r="AE96" i="6" l="1"/>
  <c r="AE109" i="6" s="1"/>
  <c r="AE110" i="6" s="1"/>
  <c r="AF62" i="12"/>
  <c r="AF19" i="6" s="1"/>
  <c r="AE151" i="6"/>
  <c r="AE187" i="6"/>
  <c r="AE64" i="6"/>
  <c r="AE185" i="6"/>
  <c r="AE42" i="6"/>
  <c r="AE142" i="6"/>
  <c r="AE144" i="6"/>
  <c r="AE139" i="6"/>
  <c r="AE189" i="6"/>
  <c r="AE188" i="6"/>
  <c r="AY78" i="6"/>
  <c r="AY30" i="12"/>
  <c r="AY88" i="6" s="1"/>
  <c r="AY40" i="12"/>
  <c r="AY101" i="6"/>
  <c r="AY172" i="6"/>
  <c r="AF20" i="6" l="1"/>
  <c r="AF130" i="6"/>
  <c r="AE141" i="6"/>
  <c r="AE46" i="6"/>
  <c r="AZ18" i="12"/>
  <c r="AY152" i="6"/>
  <c r="AY31" i="12"/>
  <c r="AF28" i="6" l="1"/>
  <c r="AF131" i="6"/>
  <c r="AE149" i="6"/>
  <c r="AE150" i="6"/>
  <c r="AE183" i="6"/>
  <c r="AE160" i="6"/>
  <c r="AE166" i="6"/>
  <c r="AE65" i="6"/>
  <c r="AE184" i="6"/>
  <c r="AE147" i="6"/>
  <c r="AY52" i="6"/>
  <c r="AY32" i="12"/>
  <c r="AY56" i="6" s="1"/>
  <c r="AY57" i="6" s="1"/>
  <c r="AZ29" i="12"/>
  <c r="AZ22" i="12"/>
  <c r="AZ24" i="12" s="1"/>
  <c r="AF32" i="6" l="1"/>
  <c r="AG29" i="6" s="1"/>
  <c r="AF31" i="6"/>
  <c r="AF33" i="6" s="1"/>
  <c r="AZ78" i="6"/>
  <c r="AZ30" i="12"/>
  <c r="AZ101" i="6"/>
  <c r="AZ40" i="12"/>
  <c r="AZ172" i="6"/>
  <c r="AF36" i="12" l="1"/>
  <c r="AF39" i="12" s="1"/>
  <c r="AF41" i="12" s="1"/>
  <c r="AF21" i="6"/>
  <c r="AF173" i="6"/>
  <c r="AF190" i="6" s="1"/>
  <c r="AZ31" i="12"/>
  <c r="AZ152" i="6"/>
  <c r="BA18" i="12"/>
  <c r="AZ88" i="6"/>
  <c r="AF22" i="6" l="1"/>
  <c r="AF132" i="6"/>
  <c r="AZ52" i="6"/>
  <c r="AZ32" i="12"/>
  <c r="AZ56" i="6" s="1"/>
  <c r="AZ57" i="6" s="1"/>
  <c r="BA29" i="12"/>
  <c r="BA22" i="12"/>
  <c r="BA24" i="12" s="1"/>
  <c r="AF181" i="6" l="1"/>
  <c r="AF182" i="6"/>
  <c r="AF69" i="6"/>
  <c r="AF72" i="6" s="1"/>
  <c r="AF159" i="6"/>
  <c r="AF9" i="13"/>
  <c r="AF26" i="13" s="1"/>
  <c r="AF28" i="13" s="1"/>
  <c r="AF30" i="13" s="1"/>
  <c r="AF99" i="6"/>
  <c r="AF104" i="6" s="1"/>
  <c r="AF106" i="6" s="1"/>
  <c r="AF107" i="6" s="1"/>
  <c r="AF133" i="6"/>
  <c r="BA78" i="6"/>
  <c r="BA30" i="12"/>
  <c r="BA40" i="12"/>
  <c r="BA101" i="6"/>
  <c r="BA172" i="6"/>
  <c r="AF58" i="12" l="1"/>
  <c r="AF140" i="6"/>
  <c r="AG25" i="13"/>
  <c r="AF38" i="13"/>
  <c r="BA31" i="12"/>
  <c r="BA152" i="6"/>
  <c r="BB18" i="12"/>
  <c r="BA88" i="6"/>
  <c r="AF60" i="12" l="1"/>
  <c r="AF59" i="12"/>
  <c r="AF39" i="13"/>
  <c r="AF62" i="6"/>
  <c r="AF63" i="6" s="1"/>
  <c r="BA52" i="6"/>
  <c r="BA32" i="12"/>
  <c r="BA56" i="6" s="1"/>
  <c r="BA57" i="6" s="1"/>
  <c r="BB22" i="12"/>
  <c r="BB24" i="12" s="1"/>
  <c r="BB29" i="12"/>
  <c r="AF61" i="12" l="1"/>
  <c r="AF81" i="6"/>
  <c r="AF82" i="6" s="1"/>
  <c r="AF83" i="6" s="1"/>
  <c r="AF85" i="6" s="1"/>
  <c r="AF162" i="6"/>
  <c r="AF161" i="6"/>
  <c r="AF186" i="6"/>
  <c r="AF148" i="6"/>
  <c r="AF89" i="6"/>
  <c r="BB40" i="12"/>
  <c r="BB101" i="6"/>
  <c r="BB172" i="6"/>
  <c r="BB78" i="6"/>
  <c r="BB30" i="12"/>
  <c r="AG57" i="12" l="1"/>
  <c r="AF53" i="6"/>
  <c r="AF54" i="6" s="1"/>
  <c r="AF58" i="6" s="1"/>
  <c r="AG84" i="6"/>
  <c r="AF38" i="6"/>
  <c r="AF91" i="6"/>
  <c r="AF94" i="6"/>
  <c r="AF95" i="6" s="1"/>
  <c r="AF90" i="6"/>
  <c r="BB152" i="6"/>
  <c r="BB31" i="12"/>
  <c r="BC18" i="12"/>
  <c r="BB88" i="6"/>
  <c r="AF96" i="6" l="1"/>
  <c r="AF109" i="6" s="1"/>
  <c r="AF110" i="6" s="1"/>
  <c r="AG62" i="12"/>
  <c r="AG19" i="6" s="1"/>
  <c r="AF151" i="6"/>
  <c r="AF187" i="6"/>
  <c r="AF64" i="6"/>
  <c r="AF185" i="6"/>
  <c r="AF188" i="6"/>
  <c r="AF142" i="6"/>
  <c r="AF42" i="6"/>
  <c r="AF189" i="6"/>
  <c r="AF139" i="6"/>
  <c r="AF144" i="6"/>
  <c r="BB52" i="6"/>
  <c r="BB32" i="12"/>
  <c r="BB56" i="6" s="1"/>
  <c r="BB57" i="6" s="1"/>
  <c r="BC29" i="12"/>
  <c r="BC22" i="12"/>
  <c r="BC24" i="12" s="1"/>
  <c r="AG20" i="6" l="1"/>
  <c r="AG130" i="6"/>
  <c r="AF46" i="6"/>
  <c r="AF141" i="6"/>
  <c r="BC78" i="6"/>
  <c r="BC30" i="12"/>
  <c r="BC40" i="12"/>
  <c r="BC172" i="6"/>
  <c r="BC101" i="6"/>
  <c r="AG28" i="6" l="1"/>
  <c r="AG131" i="6"/>
  <c r="AF149" i="6"/>
  <c r="AF150" i="6"/>
  <c r="AF183" i="6"/>
  <c r="AF160" i="6"/>
  <c r="AF147" i="6"/>
  <c r="AF65" i="6"/>
  <c r="AF184" i="6"/>
  <c r="AF166" i="6"/>
  <c r="BC31" i="12"/>
  <c r="BC152" i="6"/>
  <c r="BD18" i="12"/>
  <c r="BC88" i="6"/>
  <c r="AG32" i="6" l="1"/>
  <c r="AH29" i="6" s="1"/>
  <c r="AG31" i="6"/>
  <c r="AG33" i="6" s="1"/>
  <c r="BC52" i="6"/>
  <c r="BC32" i="12"/>
  <c r="BC56" i="6" s="1"/>
  <c r="BC57" i="6" s="1"/>
  <c r="BD29" i="12"/>
  <c r="BD22" i="12"/>
  <c r="BD24" i="12" s="1"/>
  <c r="AG21" i="6" l="1"/>
  <c r="AG36" i="12"/>
  <c r="AG39" i="12" s="1"/>
  <c r="AG41" i="12" s="1"/>
  <c r="AG173" i="6"/>
  <c r="AG190" i="6" s="1"/>
  <c r="BD78" i="6"/>
  <c r="BD30" i="12"/>
  <c r="BD101" i="6"/>
  <c r="BD172" i="6"/>
  <c r="BD40" i="12"/>
  <c r="AG22" i="6" l="1"/>
  <c r="AG132" i="6"/>
  <c r="BD31" i="12"/>
  <c r="BD152" i="6"/>
  <c r="BE18" i="12"/>
  <c r="BD88" i="6"/>
  <c r="AG182" i="6" l="1"/>
  <c r="AG99" i="6"/>
  <c r="AG104" i="6" s="1"/>
  <c r="AG106" i="6" s="1"/>
  <c r="AG107" i="6" s="1"/>
  <c r="AG133" i="6"/>
  <c r="AG159" i="6"/>
  <c r="AG181" i="6"/>
  <c r="AG69" i="6"/>
  <c r="AG72" i="6" s="1"/>
  <c r="AG9" i="13"/>
  <c r="AG26" i="13" s="1"/>
  <c r="AG28" i="13" s="1"/>
  <c r="AG30" i="13" s="1"/>
  <c r="BD32" i="12"/>
  <c r="BD56" i="6" s="1"/>
  <c r="BD57" i="6" s="1"/>
  <c r="BD52" i="6"/>
  <c r="BE29" i="12"/>
  <c r="BE22" i="12"/>
  <c r="BE24" i="12" s="1"/>
  <c r="AG58" i="12" l="1"/>
  <c r="AG140" i="6"/>
  <c r="AH25" i="13"/>
  <c r="AG38" i="13"/>
  <c r="BE78" i="6"/>
  <c r="BE30" i="12"/>
  <c r="BE40" i="12"/>
  <c r="BE101" i="6"/>
  <c r="BE172" i="6"/>
  <c r="AG59" i="12" l="1"/>
  <c r="AG60" i="12"/>
  <c r="AG62" i="6"/>
  <c r="AG63" i="6" s="1"/>
  <c r="AG39" i="13"/>
  <c r="BE152" i="6"/>
  <c r="BF18" i="12"/>
  <c r="BE31" i="12"/>
  <c r="BE88" i="6"/>
  <c r="AG61" i="12" l="1"/>
  <c r="AG81" i="6"/>
  <c r="AG82" i="6" s="1"/>
  <c r="AG83" i="6" s="1"/>
  <c r="AG85" i="6" s="1"/>
  <c r="AG162" i="6"/>
  <c r="AG89" i="6"/>
  <c r="AG148" i="6"/>
  <c r="AG186" i="6"/>
  <c r="AG161" i="6"/>
  <c r="BF29" i="12"/>
  <c r="BF22" i="12"/>
  <c r="BF24" i="12" s="1"/>
  <c r="BE52" i="6"/>
  <c r="BE32" i="12"/>
  <c r="BE56" i="6" s="1"/>
  <c r="BE57" i="6" s="1"/>
  <c r="AH57" i="12" l="1"/>
  <c r="AG53" i="6"/>
  <c r="AG54" i="6" s="1"/>
  <c r="AG58" i="6" s="1"/>
  <c r="AH84" i="6"/>
  <c r="AG38" i="6"/>
  <c r="AG90" i="6"/>
  <c r="AG94" i="6"/>
  <c r="AG95" i="6" s="1"/>
  <c r="AG91" i="6"/>
  <c r="BF101" i="6"/>
  <c r="BF40" i="12"/>
  <c r="BF78" i="6"/>
  <c r="BF30" i="12"/>
  <c r="BF172" i="6"/>
  <c r="AH62" i="12" l="1"/>
  <c r="AH19" i="6" s="1"/>
  <c r="AG64" i="6"/>
  <c r="AG187" i="6"/>
  <c r="AG151" i="6"/>
  <c r="AG185" i="6"/>
  <c r="AG139" i="6"/>
  <c r="AG142" i="6"/>
  <c r="AG144" i="6"/>
  <c r="AG42" i="6"/>
  <c r="AG189" i="6"/>
  <c r="AG188" i="6"/>
  <c r="AG96" i="6"/>
  <c r="AG109" i="6" s="1"/>
  <c r="BF88" i="6"/>
  <c r="BF31" i="12"/>
  <c r="BF152" i="6"/>
  <c r="BG18" i="12"/>
  <c r="AH20" i="6" l="1"/>
  <c r="AH130" i="6"/>
  <c r="AG141" i="6"/>
  <c r="AG46" i="6"/>
  <c r="AG110" i="6"/>
  <c r="BF52" i="6"/>
  <c r="BF32" i="12"/>
  <c r="BF56" i="6" s="1"/>
  <c r="BF57" i="6" s="1"/>
  <c r="BG29" i="12"/>
  <c r="BG22" i="12"/>
  <c r="BG24" i="12" s="1"/>
  <c r="AH28" i="6" l="1"/>
  <c r="AH131" i="6"/>
  <c r="AG149" i="6"/>
  <c r="AG150" i="6"/>
  <c r="AG160" i="6"/>
  <c r="AG183" i="6"/>
  <c r="AG65" i="6"/>
  <c r="AG166" i="6"/>
  <c r="AG147" i="6"/>
  <c r="AG184" i="6"/>
  <c r="BG78" i="6"/>
  <c r="BG30" i="12"/>
  <c r="BG172" i="6"/>
  <c r="BG40" i="12"/>
  <c r="BG101" i="6"/>
  <c r="AH32" i="6" l="1"/>
  <c r="AI29" i="6" s="1"/>
  <c r="AH31" i="6"/>
  <c r="AH33" i="6" s="1"/>
  <c r="BG152" i="6"/>
  <c r="BG31" i="12"/>
  <c r="BH18" i="12"/>
  <c r="BG88" i="6"/>
  <c r="AH173" i="6" l="1"/>
  <c r="AH190" i="6" s="1"/>
  <c r="AH36" i="12"/>
  <c r="AH39" i="12" s="1"/>
  <c r="AH41" i="12" s="1"/>
  <c r="AH21" i="6"/>
  <c r="BG52" i="6"/>
  <c r="BG32" i="12"/>
  <c r="BG56" i="6" s="1"/>
  <c r="BG57" i="6" s="1"/>
  <c r="BH29" i="12"/>
  <c r="BH22" i="12"/>
  <c r="BH24" i="12" s="1"/>
  <c r="AH22" i="6" l="1"/>
  <c r="AH132" i="6"/>
  <c r="BH78" i="6"/>
  <c r="BH30" i="12"/>
  <c r="BH101" i="6"/>
  <c r="BH40" i="12"/>
  <c r="BH172" i="6"/>
  <c r="AH99" i="6" l="1"/>
  <c r="AH104" i="6" s="1"/>
  <c r="AH106" i="6" s="1"/>
  <c r="AH107" i="6" s="1"/>
  <c r="AH182" i="6"/>
  <c r="AH181" i="6"/>
  <c r="AH133" i="6"/>
  <c r="AH69" i="6"/>
  <c r="AH72" i="6" s="1"/>
  <c r="AH159" i="6"/>
  <c r="AH9" i="13"/>
  <c r="AH26" i="13" s="1"/>
  <c r="AH28" i="13" s="1"/>
  <c r="AH30" i="13" s="1"/>
  <c r="BI18" i="12"/>
  <c r="BH88" i="6"/>
  <c r="BH152" i="6"/>
  <c r="BH31" i="12"/>
  <c r="AH58" i="12" l="1"/>
  <c r="AH140" i="6"/>
  <c r="AH38" i="13"/>
  <c r="AI25" i="13"/>
  <c r="BI22" i="12"/>
  <c r="BI24" i="12" s="1"/>
  <c r="BI29" i="12"/>
  <c r="BH32" i="12"/>
  <c r="BH56" i="6" s="1"/>
  <c r="BH57" i="6" s="1"/>
  <c r="BH52" i="6"/>
  <c r="AH60" i="12" l="1"/>
  <c r="AH59" i="12"/>
  <c r="AH39" i="13"/>
  <c r="AH62" i="6"/>
  <c r="AH63" i="6" s="1"/>
  <c r="BI101" i="6"/>
  <c r="BI172" i="6"/>
  <c r="BI40" i="12"/>
  <c r="BI78" i="6"/>
  <c r="BI30" i="12"/>
  <c r="AH61" i="12" l="1"/>
  <c r="AH81" i="6"/>
  <c r="AH82" i="6" s="1"/>
  <c r="AH83" i="6" s="1"/>
  <c r="AH85" i="6" s="1"/>
  <c r="AH162" i="6"/>
  <c r="AH161" i="6"/>
  <c r="AH148" i="6"/>
  <c r="AH186" i="6"/>
  <c r="AH89" i="6"/>
  <c r="BJ18" i="12"/>
  <c r="BI88" i="6"/>
  <c r="BI31" i="12"/>
  <c r="BI152" i="6"/>
  <c r="AI57" i="12" l="1"/>
  <c r="AH53" i="6"/>
  <c r="AH54" i="6" s="1"/>
  <c r="AH58" i="6" s="1"/>
  <c r="AH38" i="6"/>
  <c r="AI84" i="6"/>
  <c r="AH91" i="6"/>
  <c r="AH94" i="6"/>
  <c r="AH95" i="6" s="1"/>
  <c r="AH90" i="6"/>
  <c r="BJ29" i="12"/>
  <c r="BJ22" i="12"/>
  <c r="BJ24" i="12" s="1"/>
  <c r="BI32" i="12"/>
  <c r="BI56" i="6" s="1"/>
  <c r="BI57" i="6" s="1"/>
  <c r="BI52" i="6"/>
  <c r="AH96" i="6" l="1"/>
  <c r="AH109" i="6" s="1"/>
  <c r="AH110" i="6" s="1"/>
  <c r="AI62" i="12"/>
  <c r="AI19" i="6" s="1"/>
  <c r="AH187" i="6"/>
  <c r="AH64" i="6"/>
  <c r="AH151" i="6"/>
  <c r="AH185" i="6"/>
  <c r="AH144" i="6"/>
  <c r="AH139" i="6"/>
  <c r="AH142" i="6"/>
  <c r="AH189" i="6"/>
  <c r="AH42" i="6"/>
  <c r="AH188" i="6"/>
  <c r="BJ78" i="6"/>
  <c r="BJ30" i="12"/>
  <c r="BJ40" i="12"/>
  <c r="BJ172" i="6"/>
  <c r="BJ101" i="6"/>
  <c r="AI20" i="6" l="1"/>
  <c r="AI130" i="6"/>
  <c r="AH46" i="6"/>
  <c r="AH141" i="6"/>
  <c r="BK18" i="12"/>
  <c r="BJ152" i="6"/>
  <c r="BJ31" i="12"/>
  <c r="BJ88" i="6"/>
  <c r="AI28" i="6" l="1"/>
  <c r="AI131" i="6"/>
  <c r="AH149" i="6"/>
  <c r="AH150" i="6"/>
  <c r="AH160" i="6"/>
  <c r="AH183" i="6"/>
  <c r="AH65" i="6"/>
  <c r="AH166" i="6"/>
  <c r="AH147" i="6"/>
  <c r="AH184" i="6"/>
  <c r="BK29" i="12"/>
  <c r="BK22" i="12"/>
  <c r="BK24" i="12" s="1"/>
  <c r="BJ52" i="6"/>
  <c r="BJ32" i="12"/>
  <c r="BJ56" i="6" s="1"/>
  <c r="BJ57" i="6" s="1"/>
  <c r="AI32" i="6" l="1"/>
  <c r="AJ29" i="6" s="1"/>
  <c r="AI31" i="6"/>
  <c r="AI33" i="6" s="1"/>
  <c r="BK30" i="12"/>
  <c r="BK78" i="6"/>
  <c r="BK40" i="12"/>
  <c r="BK101" i="6"/>
  <c r="BK172" i="6"/>
  <c r="AI21" i="6" l="1"/>
  <c r="AI36" i="12"/>
  <c r="AI39" i="12" s="1"/>
  <c r="AI41" i="12" s="1"/>
  <c r="AI173" i="6"/>
  <c r="AI190" i="6" s="1"/>
  <c r="BK152" i="6"/>
  <c r="BL18" i="12"/>
  <c r="BK31" i="12"/>
  <c r="BK88" i="6"/>
  <c r="AI22" i="6" l="1"/>
  <c r="AI132" i="6"/>
  <c r="BL29" i="12"/>
  <c r="BL22" i="12"/>
  <c r="BL24" i="12" s="1"/>
  <c r="BK52" i="6"/>
  <c r="BK32" i="12"/>
  <c r="BK56" i="6" s="1"/>
  <c r="BK57" i="6" s="1"/>
  <c r="AI182" i="6" l="1"/>
  <c r="AI133" i="6"/>
  <c r="AI69" i="6"/>
  <c r="AI72" i="6" s="1"/>
  <c r="AI9" i="13"/>
  <c r="AI26" i="13" s="1"/>
  <c r="AI28" i="13" s="1"/>
  <c r="AI30" i="13" s="1"/>
  <c r="AI99" i="6"/>
  <c r="AI104" i="6" s="1"/>
  <c r="AI106" i="6" s="1"/>
  <c r="AI107" i="6" s="1"/>
  <c r="AI159" i="6"/>
  <c r="AI181" i="6"/>
  <c r="BL78" i="6"/>
  <c r="BL30" i="12"/>
  <c r="BL40" i="12"/>
  <c r="BL101" i="6"/>
  <c r="BL172" i="6"/>
  <c r="AI58" i="12" l="1"/>
  <c r="AI140" i="6"/>
  <c r="AJ25" i="13"/>
  <c r="AI38" i="13"/>
  <c r="BL152" i="6"/>
  <c r="BL88" i="6"/>
  <c r="BM18" i="12"/>
  <c r="BL31" i="12"/>
  <c r="AI59" i="12" l="1"/>
  <c r="AI60" i="12"/>
  <c r="AI62" i="6"/>
  <c r="AI63" i="6" s="1"/>
  <c r="AI39" i="13"/>
  <c r="BL52" i="6"/>
  <c r="BL32" i="12"/>
  <c r="BL56" i="6" s="1"/>
  <c r="BL57" i="6" s="1"/>
  <c r="BM22" i="12"/>
  <c r="BM24" i="12" s="1"/>
  <c r="BM29" i="12"/>
  <c r="AI61" i="12" l="1"/>
  <c r="AI81" i="6"/>
  <c r="AI82" i="6" s="1"/>
  <c r="AI83" i="6" s="1"/>
  <c r="AI85" i="6" s="1"/>
  <c r="AI162" i="6"/>
  <c r="AI186" i="6"/>
  <c r="AI148" i="6"/>
  <c r="AI161" i="6"/>
  <c r="AI89" i="6"/>
  <c r="BM40" i="12"/>
  <c r="BM101" i="6"/>
  <c r="BM172" i="6"/>
  <c r="BM78" i="6"/>
  <c r="BM30" i="12"/>
  <c r="BM31" i="12" s="1"/>
  <c r="AJ57" i="12" l="1"/>
  <c r="AI53" i="6"/>
  <c r="AI54" i="6" s="1"/>
  <c r="AI58" i="6" s="1"/>
  <c r="AI38" i="6"/>
  <c r="AJ84" i="6"/>
  <c r="AI91" i="6"/>
  <c r="AI90" i="6"/>
  <c r="AI94" i="6"/>
  <c r="AI95" i="6" s="1"/>
  <c r="BM152" i="6"/>
  <c r="BN18" i="12"/>
  <c r="BM88" i="6"/>
  <c r="BM52" i="6"/>
  <c r="BM32" i="12"/>
  <c r="BM56" i="6" s="1"/>
  <c r="BM57" i="6" s="1"/>
  <c r="AJ62" i="12" l="1"/>
  <c r="AJ19" i="6" s="1"/>
  <c r="AI151" i="6"/>
  <c r="AI64" i="6"/>
  <c r="AI187" i="6"/>
  <c r="AI185" i="6"/>
  <c r="AI139" i="6"/>
  <c r="AI189" i="6"/>
  <c r="AI142" i="6"/>
  <c r="AI144" i="6"/>
  <c r="AI42" i="6"/>
  <c r="AI188" i="6"/>
  <c r="AI96" i="6"/>
  <c r="AI109" i="6" s="1"/>
  <c r="BN29" i="12"/>
  <c r="BN22" i="12"/>
  <c r="BN24" i="12" s="1"/>
  <c r="BN101" i="6" s="1"/>
  <c r="AJ20" i="6" l="1"/>
  <c r="AJ130" i="6"/>
  <c r="AI141" i="6"/>
  <c r="AI46" i="6"/>
  <c r="AI110" i="6"/>
  <c r="BN78" i="6"/>
  <c r="BN30" i="12"/>
  <c r="BN40" i="12"/>
  <c r="BN172" i="6"/>
  <c r="AJ131" i="6" l="1"/>
  <c r="AJ28" i="6"/>
  <c r="AI149" i="6"/>
  <c r="AI150" i="6"/>
  <c r="AI160" i="6"/>
  <c r="AI183" i="6"/>
  <c r="AI184" i="6"/>
  <c r="AI166" i="6"/>
  <c r="AI65" i="6"/>
  <c r="AI147" i="6"/>
  <c r="BN88" i="6"/>
  <c r="BN31" i="12"/>
  <c r="BO18" i="12"/>
  <c r="BN152" i="6"/>
  <c r="AJ32" i="6" l="1"/>
  <c r="AK29" i="6" s="1"/>
  <c r="AJ31" i="6"/>
  <c r="AJ33" i="6" s="1"/>
  <c r="BN32" i="12"/>
  <c r="BN56" i="6" s="1"/>
  <c r="BN57" i="6" s="1"/>
  <c r="BN52" i="6"/>
  <c r="BO22" i="12"/>
  <c r="BO24" i="12" s="1"/>
  <c r="BO29" i="12"/>
  <c r="AJ173" i="6" l="1"/>
  <c r="AJ190" i="6" s="1"/>
  <c r="AJ36" i="12"/>
  <c r="AJ39" i="12" s="1"/>
  <c r="AJ41" i="12" s="1"/>
  <c r="AJ21" i="6"/>
  <c r="BO172" i="6"/>
  <c r="BO40" i="12"/>
  <c r="BO101" i="6"/>
  <c r="BO78" i="6"/>
  <c r="BO30" i="12"/>
  <c r="AJ22" i="6" l="1"/>
  <c r="AJ132" i="6"/>
  <c r="BO88" i="6"/>
  <c r="BO31" i="12"/>
  <c r="BO152" i="6"/>
  <c r="AJ181" i="6" l="1"/>
  <c r="AJ69" i="6"/>
  <c r="AJ72" i="6" s="1"/>
  <c r="AJ133" i="6"/>
  <c r="AJ99" i="6"/>
  <c r="AJ104" i="6" s="1"/>
  <c r="AJ106" i="6" s="1"/>
  <c r="AJ107" i="6" s="1"/>
  <c r="AJ182" i="6"/>
  <c r="AJ159" i="6"/>
  <c r="AJ9" i="13"/>
  <c r="AJ26" i="13" s="1"/>
  <c r="AJ28" i="13" s="1"/>
  <c r="AJ30" i="13" s="1"/>
  <c r="BO52" i="6"/>
  <c r="BO32" i="12"/>
  <c r="BO56" i="6" s="1"/>
  <c r="BO57" i="6" s="1"/>
  <c r="AJ58" i="12" l="1"/>
  <c r="AJ140" i="6"/>
  <c r="AK25" i="13"/>
  <c r="AJ38" i="13"/>
  <c r="AJ59" i="12" l="1"/>
  <c r="AJ60" i="12"/>
  <c r="AJ39" i="13"/>
  <c r="AJ62" i="6"/>
  <c r="AJ63" i="6" s="1"/>
  <c r="AJ61" i="12" l="1"/>
  <c r="AJ81" i="6"/>
  <c r="AJ82" i="6" s="1"/>
  <c r="AJ83" i="6" s="1"/>
  <c r="AJ85" i="6" s="1"/>
  <c r="AJ162" i="6"/>
  <c r="AJ186" i="6"/>
  <c r="AJ161" i="6"/>
  <c r="AJ148" i="6"/>
  <c r="AJ89" i="6"/>
  <c r="AK57" i="12" l="1"/>
  <c r="AJ53" i="6"/>
  <c r="AJ54" i="6" s="1"/>
  <c r="AJ58" i="6" s="1"/>
  <c r="AJ38" i="6"/>
  <c r="AK84" i="6"/>
  <c r="AJ94" i="6"/>
  <c r="AJ95" i="6" s="1"/>
  <c r="AJ90" i="6"/>
  <c r="AJ91" i="6"/>
  <c r="AK62" i="12" l="1"/>
  <c r="AK19" i="6" s="1"/>
  <c r="AJ64" i="6"/>
  <c r="AJ151" i="6"/>
  <c r="AJ187" i="6"/>
  <c r="AJ185" i="6"/>
  <c r="AJ189" i="6"/>
  <c r="AJ188" i="6"/>
  <c r="AJ144" i="6"/>
  <c r="AJ42" i="6"/>
  <c r="AJ142" i="6"/>
  <c r="AJ139" i="6"/>
  <c r="AJ96" i="6"/>
  <c r="AJ109" i="6" s="1"/>
  <c r="AK20" i="6" l="1"/>
  <c r="AK130" i="6"/>
  <c r="AJ141" i="6"/>
  <c r="AJ46" i="6"/>
  <c r="AJ110" i="6"/>
  <c r="AK28" i="6" l="1"/>
  <c r="AK131" i="6"/>
  <c r="AJ149" i="6"/>
  <c r="AJ150" i="6"/>
  <c r="AJ160" i="6"/>
  <c r="AJ183" i="6"/>
  <c r="AJ65" i="6"/>
  <c r="AJ147" i="6"/>
  <c r="AJ184" i="6"/>
  <c r="AJ166" i="6"/>
  <c r="AK32" i="6" l="1"/>
  <c r="AL29" i="6" s="1"/>
  <c r="AK31" i="6"/>
  <c r="AK33" i="6" s="1"/>
  <c r="AK21" i="6" l="1"/>
  <c r="AK36" i="12"/>
  <c r="AK39" i="12" s="1"/>
  <c r="AK41" i="12" s="1"/>
  <c r="AK173" i="6"/>
  <c r="AK190" i="6" s="1"/>
  <c r="AK22" i="6" l="1"/>
  <c r="AK132" i="6"/>
  <c r="AK133" i="6" l="1"/>
  <c r="AK9" i="13"/>
  <c r="AK26" i="13" s="1"/>
  <c r="AK28" i="13" s="1"/>
  <c r="AK30" i="13" s="1"/>
  <c r="AK99" i="6"/>
  <c r="AK104" i="6" s="1"/>
  <c r="AK106" i="6" s="1"/>
  <c r="AK107" i="6" s="1"/>
  <c r="AK182" i="6"/>
  <c r="AK159" i="6"/>
  <c r="AK181" i="6"/>
  <c r="AK69" i="6"/>
  <c r="AK72" i="6" s="1"/>
  <c r="AK38" i="13" l="1"/>
  <c r="AL25" i="13"/>
  <c r="AK58" i="12"/>
  <c r="AK140" i="6"/>
  <c r="AK62" i="6" l="1"/>
  <c r="AK63" i="6" s="1"/>
  <c r="AK39" i="13"/>
  <c r="AK59" i="12"/>
  <c r="AK60" i="12"/>
  <c r="AK162" i="6" l="1"/>
  <c r="AK161" i="6"/>
  <c r="AK148" i="6"/>
  <c r="AK186" i="6"/>
  <c r="AK89" i="6"/>
  <c r="AK61" i="12"/>
  <c r="AK81" i="6"/>
  <c r="AK82" i="6" s="1"/>
  <c r="AK83" i="6" s="1"/>
  <c r="AK85" i="6" s="1"/>
  <c r="AK94" i="6" l="1"/>
  <c r="AK95" i="6" s="1"/>
  <c r="AK91" i="6"/>
  <c r="AK90" i="6"/>
  <c r="AL57" i="12"/>
  <c r="AK53" i="6"/>
  <c r="AK54" i="6" s="1"/>
  <c r="AK58" i="6" s="1"/>
  <c r="AL84" i="6"/>
  <c r="AK38" i="6"/>
  <c r="AK96" i="6" l="1"/>
  <c r="AK109" i="6" s="1"/>
  <c r="AK110" i="6" s="1"/>
  <c r="AL62" i="12"/>
  <c r="AL19" i="6" s="1"/>
  <c r="AK64" i="6"/>
  <c r="AK187" i="6"/>
  <c r="AK151" i="6"/>
  <c r="AK185" i="6"/>
  <c r="AK144" i="6"/>
  <c r="AK42" i="6"/>
  <c r="AK188" i="6"/>
  <c r="AK189" i="6"/>
  <c r="AK139" i="6"/>
  <c r="AK142" i="6"/>
  <c r="AL20" i="6" l="1"/>
  <c r="AL130" i="6"/>
  <c r="AK141" i="6"/>
  <c r="AK46" i="6"/>
  <c r="AL28" i="6" l="1"/>
  <c r="AL131" i="6"/>
  <c r="AK149" i="6"/>
  <c r="AK150" i="6"/>
  <c r="AK183" i="6"/>
  <c r="AK160" i="6"/>
  <c r="AK147" i="6"/>
  <c r="AK65" i="6"/>
  <c r="AK184" i="6"/>
  <c r="AK166" i="6"/>
  <c r="AL32" i="6" l="1"/>
  <c r="AM29" i="6" s="1"/>
  <c r="AL31" i="6"/>
  <c r="AL33" i="6" s="1"/>
  <c r="AL173" i="6" l="1"/>
  <c r="AL190" i="6" s="1"/>
  <c r="AL36" i="12"/>
  <c r="AL39" i="12" s="1"/>
  <c r="AL41" i="12" s="1"/>
  <c r="AL21" i="6"/>
  <c r="AL22" i="6" l="1"/>
  <c r="AL132" i="6"/>
  <c r="AL99" i="6" l="1"/>
  <c r="AL104" i="6" s="1"/>
  <c r="AL106" i="6" s="1"/>
  <c r="AL182" i="6"/>
  <c r="AL9" i="13"/>
  <c r="AL26" i="13" s="1"/>
  <c r="AL28" i="13" s="1"/>
  <c r="AL30" i="13" s="1"/>
  <c r="AL69" i="6"/>
  <c r="AL72" i="6" s="1"/>
  <c r="AL159" i="6"/>
  <c r="AL181" i="6"/>
  <c r="AL133" i="6"/>
  <c r="AL107" i="6" l="1"/>
  <c r="AM25" i="13"/>
  <c r="AL38" i="13"/>
  <c r="AL58" i="12"/>
  <c r="AL140" i="6"/>
  <c r="AL39" i="13" l="1"/>
  <c r="AL62" i="6"/>
  <c r="AL63" i="6" s="1"/>
  <c r="AL60" i="12"/>
  <c r="AL59" i="12"/>
  <c r="AL162" i="6" l="1"/>
  <c r="AL89" i="6"/>
  <c r="AL186" i="6"/>
  <c r="AL161" i="6"/>
  <c r="AL148" i="6"/>
  <c r="AL61" i="12"/>
  <c r="AL81" i="6"/>
  <c r="AL82" i="6" s="1"/>
  <c r="AL83" i="6" s="1"/>
  <c r="AL85" i="6" s="1"/>
  <c r="AL90" i="6" l="1"/>
  <c r="AL91" i="6"/>
  <c r="AL94" i="6"/>
  <c r="AL95" i="6" s="1"/>
  <c r="AM57" i="12"/>
  <c r="AL53" i="6"/>
  <c r="AL54" i="6" s="1"/>
  <c r="AL58" i="6" s="1"/>
  <c r="AL38" i="6"/>
  <c r="AM84" i="6"/>
  <c r="AL96" i="6" l="1"/>
  <c r="AL109" i="6" s="1"/>
  <c r="AL110" i="6" s="1"/>
  <c r="AM62" i="12"/>
  <c r="AM19" i="6" s="1"/>
  <c r="AL187" i="6"/>
  <c r="AL151" i="6"/>
  <c r="AL64" i="6"/>
  <c r="AL185" i="6"/>
  <c r="AL144" i="6"/>
  <c r="AL188" i="6"/>
  <c r="AL189" i="6"/>
  <c r="AL42" i="6"/>
  <c r="AL139" i="6"/>
  <c r="AL142" i="6"/>
  <c r="AM20" i="6" l="1"/>
  <c r="AM130" i="6"/>
  <c r="AL141" i="6"/>
  <c r="AL46" i="6"/>
  <c r="AM28" i="6" l="1"/>
  <c r="AM131" i="6"/>
  <c r="AL149" i="6"/>
  <c r="AL150" i="6"/>
  <c r="AL160" i="6"/>
  <c r="AL183" i="6"/>
  <c r="AL147" i="6"/>
  <c r="AL184" i="6"/>
  <c r="AL166" i="6"/>
  <c r="AL65" i="6"/>
  <c r="AM32" i="6" l="1"/>
  <c r="AN29" i="6" s="1"/>
  <c r="AM31" i="6"/>
  <c r="AM33" i="6" s="1"/>
  <c r="AM21" i="6" l="1"/>
  <c r="AM36" i="12"/>
  <c r="AM39" i="12" s="1"/>
  <c r="AM41" i="12" s="1"/>
  <c r="AM173" i="6"/>
  <c r="AM190" i="6" s="1"/>
  <c r="AM22" i="6" l="1"/>
  <c r="AM132" i="6"/>
  <c r="AM9" i="13" l="1"/>
  <c r="AM26" i="13" s="1"/>
  <c r="AM69" i="6"/>
  <c r="AM72" i="6" s="1"/>
  <c r="AM182" i="6"/>
  <c r="AM99" i="6"/>
  <c r="AM104" i="6" s="1"/>
  <c r="AM106" i="6" s="1"/>
  <c r="AM181" i="6"/>
  <c r="AM133" i="6"/>
  <c r="AM159" i="6"/>
  <c r="AM10" i="13"/>
  <c r="AM20" i="13" s="1"/>
  <c r="AM58" i="12" l="1"/>
  <c r="AM140" i="6"/>
  <c r="AM107" i="6"/>
  <c r="AM27" i="13"/>
  <c r="AM28" i="13" s="1"/>
  <c r="AM21" i="13"/>
  <c r="AM59" i="12" l="1"/>
  <c r="AM60" i="12"/>
  <c r="AN19" i="13"/>
  <c r="AN21" i="13" s="1"/>
  <c r="AM37" i="13"/>
  <c r="AM22" i="13"/>
  <c r="AM29" i="13" s="1"/>
  <c r="AM61" i="12" l="1"/>
  <c r="AM81" i="6"/>
  <c r="AM82" i="6" s="1"/>
  <c r="AM83" i="6" s="1"/>
  <c r="AM85" i="6" s="1"/>
  <c r="AN22" i="13"/>
  <c r="AN29" i="13" s="1"/>
  <c r="AO19" i="13"/>
  <c r="AO21" i="13" s="1"/>
  <c r="AN37" i="13"/>
  <c r="AM61" i="6"/>
  <c r="AM30" i="13"/>
  <c r="AM33" i="13"/>
  <c r="AN57" i="12" l="1"/>
  <c r="AM53" i="6"/>
  <c r="AM38" i="6"/>
  <c r="AN84" i="6"/>
  <c r="AO22" i="13"/>
  <c r="AO29" i="13" s="1"/>
  <c r="AP19" i="13"/>
  <c r="AP21" i="13" s="1"/>
  <c r="AO37" i="13"/>
  <c r="AN61" i="6"/>
  <c r="AM38" i="13"/>
  <c r="AN25" i="13"/>
  <c r="AN31" i="13"/>
  <c r="AN33" i="13" s="1"/>
  <c r="AM51" i="6"/>
  <c r="AN62" i="12" l="1"/>
  <c r="AN19" i="6" s="1"/>
  <c r="AM189" i="6"/>
  <c r="AM144" i="6"/>
  <c r="AM42" i="6"/>
  <c r="AM188" i="6"/>
  <c r="AP22" i="13"/>
  <c r="AP29" i="13" s="1"/>
  <c r="AP37" i="13"/>
  <c r="AQ19" i="13"/>
  <c r="AQ21" i="13" s="1"/>
  <c r="AO61" i="6"/>
  <c r="AM39" i="13"/>
  <c r="AM62" i="6"/>
  <c r="AM63" i="6" s="1"/>
  <c r="AN51" i="6"/>
  <c r="AO31" i="13"/>
  <c r="AO33" i="13" s="1"/>
  <c r="AM54" i="6"/>
  <c r="AM139" i="6" l="1"/>
  <c r="AM142" i="6"/>
  <c r="AM58" i="6"/>
  <c r="AN20" i="6"/>
  <c r="AN130" i="6"/>
  <c r="AM46" i="6"/>
  <c r="AM141" i="6"/>
  <c r="AP61" i="6"/>
  <c r="AQ22" i="13"/>
  <c r="AQ29" i="13" s="1"/>
  <c r="AQ37" i="13"/>
  <c r="AR19" i="13"/>
  <c r="AR21" i="13" s="1"/>
  <c r="AM162" i="6"/>
  <c r="AM89" i="6"/>
  <c r="AM148" i="6"/>
  <c r="AM161" i="6"/>
  <c r="AM186" i="6"/>
  <c r="AO51" i="6"/>
  <c r="AP31" i="13"/>
  <c r="AP33" i="13" s="1"/>
  <c r="AM187" i="6" l="1"/>
  <c r="AM64" i="6"/>
  <c r="AM65" i="6" s="1"/>
  <c r="AM151" i="6"/>
  <c r="AM185" i="6"/>
  <c r="AN131" i="6"/>
  <c r="AN28" i="6"/>
  <c r="AM183" i="6"/>
  <c r="AM160" i="6"/>
  <c r="AM166" i="6"/>
  <c r="AM184" i="6"/>
  <c r="AM147" i="6"/>
  <c r="AQ61" i="6"/>
  <c r="AR37" i="13"/>
  <c r="AS19" i="13"/>
  <c r="AS21" i="13" s="1"/>
  <c r="AR22" i="13"/>
  <c r="AR29" i="13" s="1"/>
  <c r="AM91" i="6"/>
  <c r="AM94" i="6"/>
  <c r="AM95" i="6" s="1"/>
  <c r="AM90" i="6"/>
  <c r="AQ31" i="13"/>
  <c r="AQ33" i="13" s="1"/>
  <c r="AP51" i="6"/>
  <c r="AM150" i="6"/>
  <c r="AM149" i="6"/>
  <c r="AM96" i="6" l="1"/>
  <c r="AM109" i="6" s="1"/>
  <c r="AM110" i="6" s="1"/>
  <c r="AN32" i="6"/>
  <c r="AO29" i="6" s="1"/>
  <c r="AN31" i="6"/>
  <c r="AN33" i="6" s="1"/>
  <c r="AR61" i="6"/>
  <c r="AS37" i="13"/>
  <c r="AS22" i="13"/>
  <c r="AS29" i="13" s="1"/>
  <c r="AT19" i="13"/>
  <c r="AT21" i="13" s="1"/>
  <c r="AR31" i="13"/>
  <c r="AR33" i="13" s="1"/>
  <c r="AQ51" i="6"/>
  <c r="AN36" i="12" l="1"/>
  <c r="AN39" i="12" s="1"/>
  <c r="AN41" i="12" s="1"/>
  <c r="AN42" i="12" s="1"/>
  <c r="AN173" i="6"/>
  <c r="AN190" i="6" s="1"/>
  <c r="AN21" i="6"/>
  <c r="AS61" i="6"/>
  <c r="AT22" i="13"/>
  <c r="AT29" i="13" s="1"/>
  <c r="AU19" i="13"/>
  <c r="AU21" i="13" s="1"/>
  <c r="AT37" i="13"/>
  <c r="AR51" i="6"/>
  <c r="AS31" i="13"/>
  <c r="AS33" i="13" s="1"/>
  <c r="AN22" i="6" l="1"/>
  <c r="AN132" i="6"/>
  <c r="AU22" i="13"/>
  <c r="AU29" i="13" s="1"/>
  <c r="AV19" i="13"/>
  <c r="AV21" i="13" s="1"/>
  <c r="AU37" i="13"/>
  <c r="AT61" i="6"/>
  <c r="AT31" i="13"/>
  <c r="AT33" i="13" s="1"/>
  <c r="AS51" i="6"/>
  <c r="AN9" i="13" l="1"/>
  <c r="AN26" i="13" s="1"/>
  <c r="AN28" i="13" s="1"/>
  <c r="AN30" i="13" s="1"/>
  <c r="AN159" i="6"/>
  <c r="AN99" i="6"/>
  <c r="AN104" i="6" s="1"/>
  <c r="AN106" i="6" s="1"/>
  <c r="AN133" i="6"/>
  <c r="AN182" i="6"/>
  <c r="AN181" i="6"/>
  <c r="AN69" i="6"/>
  <c r="AN72" i="6" s="1"/>
  <c r="AW19" i="13"/>
  <c r="AW21" i="13" s="1"/>
  <c r="AV37" i="13"/>
  <c r="AV22" i="13"/>
  <c r="AV29" i="13" s="1"/>
  <c r="AU61" i="6"/>
  <c r="AT51" i="6"/>
  <c r="AU31" i="13"/>
  <c r="AU33" i="13" s="1"/>
  <c r="AO25" i="13" l="1"/>
  <c r="AN38" i="13"/>
  <c r="AN107" i="6"/>
  <c r="AN58" i="12"/>
  <c r="AN140" i="6"/>
  <c r="AW22" i="13"/>
  <c r="AW29" i="13" s="1"/>
  <c r="AW37" i="13"/>
  <c r="AX19" i="13"/>
  <c r="AX21" i="13" s="1"/>
  <c r="AV61" i="6"/>
  <c r="AV31" i="13"/>
  <c r="AV33" i="13" s="1"/>
  <c r="AU51" i="6"/>
  <c r="AN39" i="13" l="1"/>
  <c r="AN62" i="6"/>
  <c r="AN63" i="6" s="1"/>
  <c r="AN59" i="12"/>
  <c r="AN60" i="12"/>
  <c r="AW61" i="6"/>
  <c r="AX37" i="13"/>
  <c r="AX22" i="13"/>
  <c r="AX29" i="13" s="1"/>
  <c r="AY19" i="13"/>
  <c r="AW31" i="13"/>
  <c r="AW33" i="13" s="1"/>
  <c r="AV51" i="6"/>
  <c r="AN162" i="6" l="1"/>
  <c r="AN89" i="6"/>
  <c r="AN186" i="6"/>
  <c r="AN148" i="6"/>
  <c r="AN161" i="6"/>
  <c r="AN61" i="12"/>
  <c r="AN81" i="6"/>
  <c r="AN82" i="6" s="1"/>
  <c r="AN83" i="6" s="1"/>
  <c r="AN85" i="6" s="1"/>
  <c r="AX61" i="6"/>
  <c r="AW51" i="6"/>
  <c r="AX31" i="13"/>
  <c r="AX33" i="13" s="1"/>
  <c r="AN91" i="6" l="1"/>
  <c r="AN90" i="6"/>
  <c r="AN94" i="6"/>
  <c r="AN95" i="6" s="1"/>
  <c r="AO57" i="12"/>
  <c r="AN53" i="6"/>
  <c r="AN54" i="6" s="1"/>
  <c r="AN58" i="6" s="1"/>
  <c r="AN38" i="6"/>
  <c r="AO84" i="6"/>
  <c r="AY31" i="13"/>
  <c r="AX51" i="6"/>
  <c r="AN96" i="6" l="1"/>
  <c r="AN109" i="6" s="1"/>
  <c r="AN110" i="6" s="1"/>
  <c r="AO62" i="12"/>
  <c r="AO19" i="6" s="1"/>
  <c r="AN151" i="6"/>
  <c r="AN185" i="6"/>
  <c r="AN64" i="6"/>
  <c r="AN187" i="6"/>
  <c r="AN142" i="6"/>
  <c r="AN139" i="6"/>
  <c r="AN144" i="6"/>
  <c r="AN42" i="6"/>
  <c r="AN189" i="6"/>
  <c r="AN188" i="6"/>
  <c r="AY32" i="13"/>
  <c r="AO130" i="6" l="1"/>
  <c r="AO20" i="6"/>
  <c r="AN46" i="6"/>
  <c r="AN141" i="6"/>
  <c r="AY111" i="6"/>
  <c r="AY80" i="6"/>
  <c r="AO131" i="6" l="1"/>
  <c r="AO28" i="6"/>
  <c r="AN149" i="6"/>
  <c r="AN150" i="6"/>
  <c r="AN183" i="6"/>
  <c r="AN160" i="6"/>
  <c r="AN166" i="6"/>
  <c r="AN147" i="6"/>
  <c r="AN65" i="6"/>
  <c r="AN184" i="6"/>
  <c r="AO30" i="6" l="1"/>
  <c r="AO32" i="6" l="1"/>
  <c r="AP29" i="6" s="1"/>
  <c r="AO31" i="6"/>
  <c r="AO33" i="6" s="1"/>
  <c r="AO173" i="6" l="1"/>
  <c r="AO190" i="6" s="1"/>
  <c r="AO21" i="6"/>
  <c r="AO36" i="12"/>
  <c r="AO39" i="12" s="1"/>
  <c r="AO41" i="12" s="1"/>
  <c r="AO42" i="12" s="1"/>
  <c r="AO22" i="6" l="1"/>
  <c r="AO132" i="6"/>
  <c r="AO159" i="6" l="1"/>
  <c r="AO182" i="6"/>
  <c r="AO69" i="6"/>
  <c r="AO72" i="6" s="1"/>
  <c r="AO181" i="6"/>
  <c r="AO9" i="13"/>
  <c r="AO26" i="13" s="1"/>
  <c r="AO28" i="13" s="1"/>
  <c r="AO30" i="13" s="1"/>
  <c r="AO133" i="6"/>
  <c r="AO99" i="6"/>
  <c r="AO104" i="6" s="1"/>
  <c r="AO106" i="6" s="1"/>
  <c r="AO58" i="12" l="1"/>
  <c r="AO140" i="6"/>
  <c r="AP25" i="13"/>
  <c r="AO38" i="13"/>
  <c r="AO107" i="6"/>
  <c r="AO60" i="12" l="1"/>
  <c r="AO59" i="12"/>
  <c r="AO39" i="13"/>
  <c r="AO62" i="6"/>
  <c r="AO63" i="6" s="1"/>
  <c r="AO61" i="12" l="1"/>
  <c r="AO81" i="6"/>
  <c r="AO82" i="6" s="1"/>
  <c r="AO83" i="6" s="1"/>
  <c r="AO85" i="6" s="1"/>
  <c r="AO162" i="6"/>
  <c r="AO148" i="6"/>
  <c r="AO186" i="6"/>
  <c r="AO161" i="6"/>
  <c r="AO89" i="6"/>
  <c r="AP57" i="12" l="1"/>
  <c r="AO53" i="6"/>
  <c r="AO54" i="6" s="1"/>
  <c r="AO58" i="6" s="1"/>
  <c r="AP84" i="6"/>
  <c r="AO38" i="6"/>
  <c r="AO94" i="6"/>
  <c r="AO95" i="6" s="1"/>
  <c r="AO90" i="6"/>
  <c r="AO91" i="6"/>
  <c r="AO96" i="6" l="1"/>
  <c r="AO109" i="6" s="1"/>
  <c r="AO110" i="6" s="1"/>
  <c r="AP62" i="12"/>
  <c r="AP19" i="6" s="1"/>
  <c r="AO185" i="6"/>
  <c r="AO64" i="6"/>
  <c r="AO187" i="6"/>
  <c r="AO151" i="6"/>
  <c r="AO139" i="6"/>
  <c r="AO144" i="6"/>
  <c r="AO142" i="6"/>
  <c r="AO42" i="6"/>
  <c r="AO189" i="6"/>
  <c r="AO188" i="6"/>
  <c r="AP20" i="6" l="1"/>
  <c r="AP130" i="6"/>
  <c r="AO46" i="6"/>
  <c r="AO141" i="6"/>
  <c r="AP28" i="6" l="1"/>
  <c r="AP131" i="6"/>
  <c r="AO149" i="6"/>
  <c r="AO150" i="6"/>
  <c r="AO183" i="6"/>
  <c r="AO160" i="6"/>
  <c r="AO65" i="6"/>
  <c r="AO166" i="6"/>
  <c r="AO147" i="6"/>
  <c r="AO184" i="6"/>
  <c r="AP30" i="6" l="1"/>
  <c r="AP32" i="6" l="1"/>
  <c r="AQ29" i="6" s="1"/>
  <c r="AP31" i="6"/>
  <c r="AP33" i="6" s="1"/>
  <c r="AP173" i="6" l="1"/>
  <c r="AP190" i="6" s="1"/>
  <c r="AP36" i="12"/>
  <c r="AP39" i="12" s="1"/>
  <c r="AP41" i="12" s="1"/>
  <c r="AP42" i="12" s="1"/>
  <c r="AP21" i="6"/>
  <c r="AP22" i="6" l="1"/>
  <c r="AP132" i="6"/>
  <c r="AP133" i="6" l="1"/>
  <c r="AP181" i="6"/>
  <c r="AP182" i="6"/>
  <c r="AP159" i="6"/>
  <c r="AP99" i="6"/>
  <c r="AP104" i="6" s="1"/>
  <c r="AP106" i="6" s="1"/>
  <c r="AP107" i="6" s="1"/>
  <c r="AP69" i="6"/>
  <c r="AP72" i="6" s="1"/>
  <c r="AP9" i="13"/>
  <c r="AP26" i="13" s="1"/>
  <c r="AP28" i="13" s="1"/>
  <c r="AP30" i="13" s="1"/>
  <c r="AP58" i="12" l="1"/>
  <c r="AP140" i="6"/>
  <c r="AP38" i="13"/>
  <c r="AQ25" i="13"/>
  <c r="AP60" i="12" l="1"/>
  <c r="AP59" i="12"/>
  <c r="AP39" i="13"/>
  <c r="AP62" i="6"/>
  <c r="AP63" i="6" s="1"/>
  <c r="AP61" i="12" l="1"/>
  <c r="AP81" i="6"/>
  <c r="AP82" i="6" s="1"/>
  <c r="AP83" i="6" s="1"/>
  <c r="AP85" i="6" s="1"/>
  <c r="AP162" i="6"/>
  <c r="AP89" i="6"/>
  <c r="AP161" i="6"/>
  <c r="AP148" i="6"/>
  <c r="AP186" i="6"/>
  <c r="AQ57" i="12" l="1"/>
  <c r="AP53" i="6"/>
  <c r="AP54" i="6" s="1"/>
  <c r="AP58" i="6" s="1"/>
  <c r="AQ84" i="6"/>
  <c r="AP38" i="6"/>
  <c r="AP94" i="6"/>
  <c r="AP95" i="6" s="1"/>
  <c r="AP91" i="6"/>
  <c r="AP90" i="6"/>
  <c r="AQ62" i="12" l="1"/>
  <c r="AQ19" i="6" s="1"/>
  <c r="AP185" i="6"/>
  <c r="AP151" i="6"/>
  <c r="AP187" i="6"/>
  <c r="AP64" i="6"/>
  <c r="AP142" i="6"/>
  <c r="AP144" i="6"/>
  <c r="AP42" i="6"/>
  <c r="AP139" i="6"/>
  <c r="AP189" i="6"/>
  <c r="AP188" i="6"/>
  <c r="AP96" i="6"/>
  <c r="AP109" i="6" s="1"/>
  <c r="AP110" i="6" s="1"/>
  <c r="AQ20" i="6" l="1"/>
  <c r="AQ130" i="6"/>
  <c r="AP46" i="6"/>
  <c r="AP141" i="6"/>
  <c r="AQ28" i="6" l="1"/>
  <c r="AQ131" i="6"/>
  <c r="AP149" i="6"/>
  <c r="AP150" i="6"/>
  <c r="AP183" i="6"/>
  <c r="AP160" i="6"/>
  <c r="AP65" i="6"/>
  <c r="AP166" i="6"/>
  <c r="AP184" i="6"/>
  <c r="AP147" i="6"/>
  <c r="AQ30" i="6" l="1"/>
  <c r="AQ32" i="6" l="1"/>
  <c r="AR29" i="6" s="1"/>
  <c r="AQ31" i="6"/>
  <c r="AQ33" i="6" s="1"/>
  <c r="AQ173" i="6" l="1"/>
  <c r="AQ190" i="6" s="1"/>
  <c r="AQ21" i="6"/>
  <c r="AQ36" i="12"/>
  <c r="AQ39" i="12" s="1"/>
  <c r="AQ41" i="12" s="1"/>
  <c r="AQ42" i="12" s="1"/>
  <c r="AQ22" i="6" l="1"/>
  <c r="AQ132" i="6"/>
  <c r="AQ69" i="6" l="1"/>
  <c r="AQ72" i="6" s="1"/>
  <c r="AQ9" i="13"/>
  <c r="AQ26" i="13" s="1"/>
  <c r="AQ28" i="13" s="1"/>
  <c r="AQ30" i="13" s="1"/>
  <c r="AQ182" i="6"/>
  <c r="AQ159" i="6"/>
  <c r="AQ133" i="6"/>
  <c r="AQ99" i="6"/>
  <c r="AQ104" i="6" s="1"/>
  <c r="AQ106" i="6" s="1"/>
  <c r="AQ107" i="6" s="1"/>
  <c r="AQ181" i="6"/>
  <c r="AQ58" i="12" l="1"/>
  <c r="AQ140" i="6"/>
  <c r="AR25" i="13"/>
  <c r="AQ38" i="13"/>
  <c r="AQ60" i="12" l="1"/>
  <c r="AQ59" i="12"/>
  <c r="AQ39" i="13"/>
  <c r="AQ62" i="6"/>
  <c r="AQ63" i="6" s="1"/>
  <c r="AQ61" i="12" l="1"/>
  <c r="AQ81" i="6"/>
  <c r="AQ82" i="6" s="1"/>
  <c r="AQ83" i="6" s="1"/>
  <c r="AQ85" i="6" s="1"/>
  <c r="AQ162" i="6"/>
  <c r="AQ89" i="6"/>
  <c r="AQ148" i="6"/>
  <c r="AQ186" i="6"/>
  <c r="AQ161" i="6"/>
  <c r="AR57" i="12" l="1"/>
  <c r="AQ53" i="6"/>
  <c r="AQ54" i="6" s="1"/>
  <c r="AQ58" i="6" s="1"/>
  <c r="AQ38" i="6"/>
  <c r="AR84" i="6"/>
  <c r="AQ94" i="6"/>
  <c r="AQ95" i="6" s="1"/>
  <c r="AQ90" i="6"/>
  <c r="AQ91" i="6"/>
  <c r="AR62" i="12" l="1"/>
  <c r="AR19" i="6" s="1"/>
  <c r="AQ185" i="6"/>
  <c r="AQ151" i="6"/>
  <c r="AQ187" i="6"/>
  <c r="AQ64" i="6"/>
  <c r="AQ139" i="6"/>
  <c r="AQ189" i="6"/>
  <c r="AQ188" i="6"/>
  <c r="AQ144" i="6"/>
  <c r="AQ42" i="6"/>
  <c r="AQ142" i="6"/>
  <c r="AQ96" i="6"/>
  <c r="AQ109" i="6" s="1"/>
  <c r="AQ110" i="6" s="1"/>
  <c r="AR20" i="6" l="1"/>
  <c r="AR130" i="6"/>
  <c r="AQ46" i="6"/>
  <c r="AQ141" i="6"/>
  <c r="AR28" i="6" l="1"/>
  <c r="AR131" i="6"/>
  <c r="AQ149" i="6"/>
  <c r="AQ150" i="6"/>
  <c r="AQ183" i="6"/>
  <c r="AQ160" i="6"/>
  <c r="AQ184" i="6"/>
  <c r="AQ65" i="6"/>
  <c r="AQ147" i="6"/>
  <c r="AQ166" i="6"/>
  <c r="AR30" i="6" l="1"/>
  <c r="AR32" i="6" l="1"/>
  <c r="AS29" i="6" s="1"/>
  <c r="AR31" i="6"/>
  <c r="AR33" i="6" s="1"/>
  <c r="AR21" i="6" l="1"/>
  <c r="AR36" i="12"/>
  <c r="AR39" i="12" s="1"/>
  <c r="AR41" i="12" s="1"/>
  <c r="AR42" i="12" s="1"/>
  <c r="AR173" i="6"/>
  <c r="AR190" i="6" s="1"/>
  <c r="AR22" i="6" l="1"/>
  <c r="AR132" i="6"/>
  <c r="AR9" i="13" l="1"/>
  <c r="AR26" i="13" s="1"/>
  <c r="AR28" i="13" s="1"/>
  <c r="AR30" i="13" s="1"/>
  <c r="AR133" i="6"/>
  <c r="AR69" i="6"/>
  <c r="AR72" i="6" s="1"/>
  <c r="AR159" i="6"/>
  <c r="AR99" i="6"/>
  <c r="AR104" i="6" s="1"/>
  <c r="AR106" i="6" s="1"/>
  <c r="AR107" i="6" s="1"/>
  <c r="AR182" i="6"/>
  <c r="AR181" i="6"/>
  <c r="AS25" i="13" l="1"/>
  <c r="AR38" i="13"/>
  <c r="AR58" i="12"/>
  <c r="AR140" i="6"/>
  <c r="AR39" i="13" l="1"/>
  <c r="AR62" i="6"/>
  <c r="AR63" i="6" s="1"/>
  <c r="AR60" i="12"/>
  <c r="AR59" i="12"/>
  <c r="AR162" i="6" l="1"/>
  <c r="AR89" i="6"/>
  <c r="AR148" i="6"/>
  <c r="AR186" i="6"/>
  <c r="AR161" i="6"/>
  <c r="AR61" i="12"/>
  <c r="AR81" i="6"/>
  <c r="AR82" i="6" s="1"/>
  <c r="AR83" i="6" s="1"/>
  <c r="AR85" i="6" s="1"/>
  <c r="AR91" i="6" l="1"/>
  <c r="AR90" i="6"/>
  <c r="AR94" i="6"/>
  <c r="AR95" i="6" s="1"/>
  <c r="AS57" i="12"/>
  <c r="AR53" i="6"/>
  <c r="AR54" i="6" s="1"/>
  <c r="AR58" i="6" s="1"/>
  <c r="AR38" i="6"/>
  <c r="AS84" i="6"/>
  <c r="AS62" i="12" l="1"/>
  <c r="AS19" i="6" s="1"/>
  <c r="AR185" i="6"/>
  <c r="AR151" i="6"/>
  <c r="AR187" i="6"/>
  <c r="AR64" i="6"/>
  <c r="AR189" i="6"/>
  <c r="AR42" i="6"/>
  <c r="AR144" i="6"/>
  <c r="AR142" i="6"/>
  <c r="AR188" i="6"/>
  <c r="AR139" i="6"/>
  <c r="AR96" i="6"/>
  <c r="AR109" i="6" s="1"/>
  <c r="AR110" i="6" s="1"/>
  <c r="AS20" i="6" l="1"/>
  <c r="AS130" i="6"/>
  <c r="AR46" i="6"/>
  <c r="AR141" i="6"/>
  <c r="AS131" i="6" l="1"/>
  <c r="AS28" i="6"/>
  <c r="AR149" i="6"/>
  <c r="AR150" i="6"/>
  <c r="AR183" i="6"/>
  <c r="AR160" i="6"/>
  <c r="AR147" i="6"/>
  <c r="AR166" i="6"/>
  <c r="AR65" i="6"/>
  <c r="AR184" i="6"/>
  <c r="AS30" i="6" l="1"/>
  <c r="AS32" i="6" l="1"/>
  <c r="AT29" i="6" s="1"/>
  <c r="AS31" i="6"/>
  <c r="AS33" i="6" s="1"/>
  <c r="AS173" i="6" l="1"/>
  <c r="AS190" i="6" s="1"/>
  <c r="AS36" i="12"/>
  <c r="AS39" i="12" s="1"/>
  <c r="AS41" i="12" s="1"/>
  <c r="AS42" i="12" s="1"/>
  <c r="AS21" i="6"/>
  <c r="AS22" i="6" l="1"/>
  <c r="AS132" i="6"/>
  <c r="AS9" i="13" l="1"/>
  <c r="AS26" i="13" s="1"/>
  <c r="AS28" i="13" s="1"/>
  <c r="AS30" i="13" s="1"/>
  <c r="AS133" i="6"/>
  <c r="AS159" i="6"/>
  <c r="AS69" i="6"/>
  <c r="AS72" i="6" s="1"/>
  <c r="AS99" i="6"/>
  <c r="AS104" i="6" s="1"/>
  <c r="AS106" i="6" s="1"/>
  <c r="AS107" i="6" s="1"/>
  <c r="AS182" i="6"/>
  <c r="AS181" i="6"/>
  <c r="AT25" i="13" l="1"/>
  <c r="AS38" i="13"/>
  <c r="AS58" i="12"/>
  <c r="AS140" i="6"/>
  <c r="AS39" i="13" l="1"/>
  <c r="AS62" i="6"/>
  <c r="AS63" i="6" s="1"/>
  <c r="AS59" i="12"/>
  <c r="AS60" i="12"/>
  <c r="AS162" i="6" l="1"/>
  <c r="AS89" i="6"/>
  <c r="AS148" i="6"/>
  <c r="AS186" i="6"/>
  <c r="AS161" i="6"/>
  <c r="AS61" i="12"/>
  <c r="AS81" i="6"/>
  <c r="AS82" i="6" s="1"/>
  <c r="AS83" i="6" s="1"/>
  <c r="AS85" i="6" s="1"/>
  <c r="AS90" i="6" l="1"/>
  <c r="AS91" i="6"/>
  <c r="AS94" i="6"/>
  <c r="AS95" i="6" s="1"/>
  <c r="AT57" i="12"/>
  <c r="AS53" i="6"/>
  <c r="AS54" i="6" s="1"/>
  <c r="AS58" i="6" s="1"/>
  <c r="AS38" i="6"/>
  <c r="AT84" i="6"/>
  <c r="AT62" i="12" l="1"/>
  <c r="AT19" i="6" s="1"/>
  <c r="AS185" i="6"/>
  <c r="AS64" i="6"/>
  <c r="AS187" i="6"/>
  <c r="AS151" i="6"/>
  <c r="AS189" i="6"/>
  <c r="AS188" i="6"/>
  <c r="AS42" i="6"/>
  <c r="AS139" i="6"/>
  <c r="AS142" i="6"/>
  <c r="AS144" i="6"/>
  <c r="AS96" i="6"/>
  <c r="AS109" i="6" s="1"/>
  <c r="AS110" i="6" s="1"/>
  <c r="AT20" i="6" l="1"/>
  <c r="AT130" i="6"/>
  <c r="AS46" i="6"/>
  <c r="AS141" i="6"/>
  <c r="AT28" i="6" l="1"/>
  <c r="AT131" i="6"/>
  <c r="AS149" i="6"/>
  <c r="AS150" i="6"/>
  <c r="AS160" i="6"/>
  <c r="AS183" i="6"/>
  <c r="AS184" i="6"/>
  <c r="AS65" i="6"/>
  <c r="AS166" i="6"/>
  <c r="AS147" i="6"/>
  <c r="AT30" i="6" l="1"/>
  <c r="AT32" i="6" l="1"/>
  <c r="AU29" i="6" s="1"/>
  <c r="AT31" i="6"/>
  <c r="AT33" i="6" s="1"/>
  <c r="AT173" i="6" l="1"/>
  <c r="AT190" i="6" s="1"/>
  <c r="AT36" i="12"/>
  <c r="AT39" i="12" s="1"/>
  <c r="AT41" i="12" s="1"/>
  <c r="AT42" i="12" s="1"/>
  <c r="AT21" i="6"/>
  <c r="AT22" i="6" l="1"/>
  <c r="AT132" i="6"/>
  <c r="AT159" i="6" l="1"/>
  <c r="AT182" i="6"/>
  <c r="AT133" i="6"/>
  <c r="AT181" i="6"/>
  <c r="AT99" i="6"/>
  <c r="AT104" i="6" s="1"/>
  <c r="AT106" i="6" s="1"/>
  <c r="AT107" i="6" s="1"/>
  <c r="AT69" i="6"/>
  <c r="AT72" i="6" s="1"/>
  <c r="AT9" i="13"/>
  <c r="AT26" i="13" s="1"/>
  <c r="AT28" i="13" s="1"/>
  <c r="AT30" i="13" s="1"/>
  <c r="AT58" i="12" l="1"/>
  <c r="AT140" i="6"/>
  <c r="AT38" i="13"/>
  <c r="AU25" i="13"/>
  <c r="AT59" i="12" l="1"/>
  <c r="AT60" i="12"/>
  <c r="AT39" i="13"/>
  <c r="AT62" i="6"/>
  <c r="AT63" i="6" s="1"/>
  <c r="AT61" i="12" l="1"/>
  <c r="AT81" i="6"/>
  <c r="AT82" i="6" s="1"/>
  <c r="AT83" i="6" s="1"/>
  <c r="AT85" i="6" s="1"/>
  <c r="AT162" i="6"/>
  <c r="AT89" i="6"/>
  <c r="AT148" i="6"/>
  <c r="AT186" i="6"/>
  <c r="AT161" i="6"/>
  <c r="AU57" i="12" l="1"/>
  <c r="AT53" i="6"/>
  <c r="AT54" i="6" s="1"/>
  <c r="AT58" i="6" s="1"/>
  <c r="AT38" i="6"/>
  <c r="AU84" i="6"/>
  <c r="AT91" i="6"/>
  <c r="AT90" i="6"/>
  <c r="AT94" i="6"/>
  <c r="AT95" i="6" s="1"/>
  <c r="AU62" i="12" l="1"/>
  <c r="AU19" i="6" s="1"/>
  <c r="AT185" i="6"/>
  <c r="AT151" i="6"/>
  <c r="AT187" i="6"/>
  <c r="AT64" i="6"/>
  <c r="AT188" i="6"/>
  <c r="AT189" i="6"/>
  <c r="AT142" i="6"/>
  <c r="AT139" i="6"/>
  <c r="AT144" i="6"/>
  <c r="AT42" i="6"/>
  <c r="AT96" i="6"/>
  <c r="AT109" i="6" s="1"/>
  <c r="AT110" i="6" s="1"/>
  <c r="AU20" i="6" l="1"/>
  <c r="AU130" i="6"/>
  <c r="AT141" i="6"/>
  <c r="AT46" i="6"/>
  <c r="AU28" i="6" l="1"/>
  <c r="AU131" i="6"/>
  <c r="AT149" i="6"/>
  <c r="AT150" i="6"/>
  <c r="AT160" i="6"/>
  <c r="AT183" i="6"/>
  <c r="AT147" i="6"/>
  <c r="AT184" i="6"/>
  <c r="AT166" i="6"/>
  <c r="AT65" i="6"/>
  <c r="AU30" i="6" l="1"/>
  <c r="AU32" i="6" l="1"/>
  <c r="AV29" i="6" s="1"/>
  <c r="AU31" i="6"/>
  <c r="AU33" i="6" s="1"/>
  <c r="AU173" i="6" l="1"/>
  <c r="AU190" i="6" s="1"/>
  <c r="AU21" i="6"/>
  <c r="AU36" i="12"/>
  <c r="AU39" i="12" s="1"/>
  <c r="AU41" i="12" s="1"/>
  <c r="AU42" i="12" s="1"/>
  <c r="AU22" i="6" l="1"/>
  <c r="AU132" i="6"/>
  <c r="AU9" i="13" l="1"/>
  <c r="AU26" i="13" s="1"/>
  <c r="AU28" i="13" s="1"/>
  <c r="AU30" i="13" s="1"/>
  <c r="AU69" i="6"/>
  <c r="AU72" i="6" s="1"/>
  <c r="AU99" i="6"/>
  <c r="AU104" i="6" s="1"/>
  <c r="AU106" i="6" s="1"/>
  <c r="AU107" i="6" s="1"/>
  <c r="AU182" i="6"/>
  <c r="AU159" i="6"/>
  <c r="AU133" i="6"/>
  <c r="AU181" i="6"/>
  <c r="AV25" i="13" l="1"/>
  <c r="AU38" i="13"/>
  <c r="AU58" i="12"/>
  <c r="AU140" i="6"/>
  <c r="AU39" i="13" l="1"/>
  <c r="AU62" i="6"/>
  <c r="AU63" i="6" s="1"/>
  <c r="AU59" i="12"/>
  <c r="AU60" i="12"/>
  <c r="AU162" i="6" l="1"/>
  <c r="AU89" i="6"/>
  <c r="AU161" i="6"/>
  <c r="AU148" i="6"/>
  <c r="AU186" i="6"/>
  <c r="AU61" i="12"/>
  <c r="AU81" i="6"/>
  <c r="AU82" i="6" s="1"/>
  <c r="AU83" i="6" s="1"/>
  <c r="AU85" i="6" s="1"/>
  <c r="AU91" i="6" l="1"/>
  <c r="AU90" i="6"/>
  <c r="AU94" i="6"/>
  <c r="AU95" i="6" s="1"/>
  <c r="AV57" i="12"/>
  <c r="AU53" i="6"/>
  <c r="AU54" i="6" s="1"/>
  <c r="AU58" i="6" s="1"/>
  <c r="AU38" i="6"/>
  <c r="AV84" i="6"/>
  <c r="AV62" i="12" l="1"/>
  <c r="AV19" i="6" s="1"/>
  <c r="AU185" i="6"/>
  <c r="AU64" i="6"/>
  <c r="AU187" i="6"/>
  <c r="AU151" i="6"/>
  <c r="AU139" i="6"/>
  <c r="AU42" i="6"/>
  <c r="AU144" i="6"/>
  <c r="AU142" i="6"/>
  <c r="AU188" i="6"/>
  <c r="AU189" i="6"/>
  <c r="AU96" i="6"/>
  <c r="AU109" i="6" s="1"/>
  <c r="AU110" i="6" s="1"/>
  <c r="AV20" i="6" l="1"/>
  <c r="AV130" i="6"/>
  <c r="AU141" i="6"/>
  <c r="AU46" i="6"/>
  <c r="AV131" i="6" l="1"/>
  <c r="AV28" i="6"/>
  <c r="AU149" i="6"/>
  <c r="AU150" i="6"/>
  <c r="AU183" i="6"/>
  <c r="AU160" i="6"/>
  <c r="AU147" i="6"/>
  <c r="AU184" i="6"/>
  <c r="AU166" i="6"/>
  <c r="AU65" i="6"/>
  <c r="AV30" i="6" l="1"/>
  <c r="AV32" i="6" l="1"/>
  <c r="AW29" i="6" s="1"/>
  <c r="AV31" i="6"/>
  <c r="AV33" i="6" s="1"/>
  <c r="AV173" i="6" l="1"/>
  <c r="AV190" i="6" s="1"/>
  <c r="AV21" i="6"/>
  <c r="AV36" i="12"/>
  <c r="AV39" i="12" s="1"/>
  <c r="AV41" i="12" s="1"/>
  <c r="AV42" i="12" s="1"/>
  <c r="AV22" i="6" l="1"/>
  <c r="AV132" i="6"/>
  <c r="AV159" i="6" l="1"/>
  <c r="AV69" i="6"/>
  <c r="AV72" i="6" s="1"/>
  <c r="AV9" i="13"/>
  <c r="AV26" i="13" s="1"/>
  <c r="AV28" i="13" s="1"/>
  <c r="AV30" i="13" s="1"/>
  <c r="AV99" i="6"/>
  <c r="AV104" i="6" s="1"/>
  <c r="AV106" i="6" s="1"/>
  <c r="AV107" i="6" s="1"/>
  <c r="AV182" i="6"/>
  <c r="AV133" i="6"/>
  <c r="AV181" i="6"/>
  <c r="AV58" i="12" l="1"/>
  <c r="AV140" i="6"/>
  <c r="AV38" i="13"/>
  <c r="AW25" i="13"/>
  <c r="AV59" i="12" l="1"/>
  <c r="AV60" i="12"/>
  <c r="AV39" i="13"/>
  <c r="AV62" i="6"/>
  <c r="AV63" i="6" s="1"/>
  <c r="AV61" i="12" l="1"/>
  <c r="AV81" i="6"/>
  <c r="AV82" i="6" s="1"/>
  <c r="AV83" i="6" s="1"/>
  <c r="AV85" i="6" s="1"/>
  <c r="AV162" i="6"/>
  <c r="AV89" i="6"/>
  <c r="AV161" i="6"/>
  <c r="AV148" i="6"/>
  <c r="AV186" i="6"/>
  <c r="AW57" i="12" l="1"/>
  <c r="AV53" i="6"/>
  <c r="AV54" i="6" s="1"/>
  <c r="AV58" i="6" s="1"/>
  <c r="AV38" i="6"/>
  <c r="AW84" i="6"/>
  <c r="AV90" i="6"/>
  <c r="AV94" i="6"/>
  <c r="AV95" i="6" s="1"/>
  <c r="AV91" i="6"/>
  <c r="AW62" i="12" l="1"/>
  <c r="AW19" i="6" s="1"/>
  <c r="AV185" i="6"/>
  <c r="AV187" i="6"/>
  <c r="AV151" i="6"/>
  <c r="AV64" i="6"/>
  <c r="AV142" i="6"/>
  <c r="AV139" i="6"/>
  <c r="AV188" i="6"/>
  <c r="AV189" i="6"/>
  <c r="AV144" i="6"/>
  <c r="AV42" i="6"/>
  <c r="AV96" i="6"/>
  <c r="AV109" i="6" s="1"/>
  <c r="AV110" i="6" s="1"/>
  <c r="AW20" i="6" l="1"/>
  <c r="AW130" i="6"/>
  <c r="AV46" i="6"/>
  <c r="AV141" i="6"/>
  <c r="AW28" i="6" l="1"/>
  <c r="AW131" i="6"/>
  <c r="AV149" i="6"/>
  <c r="AV150" i="6"/>
  <c r="AV160" i="6"/>
  <c r="AV183" i="6"/>
  <c r="AV147" i="6"/>
  <c r="AV65" i="6"/>
  <c r="AV166" i="6"/>
  <c r="AV184" i="6"/>
  <c r="AW30" i="6" l="1"/>
  <c r="AW32" i="6" l="1"/>
  <c r="AX29" i="6" s="1"/>
  <c r="AW31" i="6"/>
  <c r="AW33" i="6" s="1"/>
  <c r="AW173" i="6" l="1"/>
  <c r="AW190" i="6" s="1"/>
  <c r="AW21" i="6"/>
  <c r="AW36" i="12"/>
  <c r="AW39" i="12" s="1"/>
  <c r="AW41" i="12" s="1"/>
  <c r="AW42" i="12" s="1"/>
  <c r="AW22" i="6" l="1"/>
  <c r="AW132" i="6"/>
  <c r="AW9" i="13" l="1"/>
  <c r="AW26" i="13" s="1"/>
  <c r="AW28" i="13" s="1"/>
  <c r="AW30" i="13" s="1"/>
  <c r="AW133" i="6"/>
  <c r="AW159" i="6"/>
  <c r="AW99" i="6"/>
  <c r="AW104" i="6" s="1"/>
  <c r="AW106" i="6" s="1"/>
  <c r="AW107" i="6" s="1"/>
  <c r="AW69" i="6"/>
  <c r="AW72" i="6" s="1"/>
  <c r="AW182" i="6"/>
  <c r="AW181" i="6"/>
  <c r="AW38" i="13" l="1"/>
  <c r="AX25" i="13"/>
  <c r="AW58" i="12"/>
  <c r="AW140" i="6"/>
  <c r="AW39" i="13" l="1"/>
  <c r="AW62" i="6"/>
  <c r="AW63" i="6" s="1"/>
  <c r="AW59" i="12"/>
  <c r="AW60" i="12"/>
  <c r="AW162" i="6" l="1"/>
  <c r="AW89" i="6"/>
  <c r="AW148" i="6"/>
  <c r="AW186" i="6"/>
  <c r="AW161" i="6"/>
  <c r="AW61" i="12"/>
  <c r="AW81" i="6"/>
  <c r="AW82" i="6" s="1"/>
  <c r="AW83" i="6" s="1"/>
  <c r="AW85" i="6" s="1"/>
  <c r="AW91" i="6" l="1"/>
  <c r="AW90" i="6"/>
  <c r="AW94" i="6"/>
  <c r="AW95" i="6" s="1"/>
  <c r="AX57" i="12"/>
  <c r="AW53" i="6"/>
  <c r="AW54" i="6" s="1"/>
  <c r="AW58" i="6" s="1"/>
  <c r="AW38" i="6"/>
  <c r="AX84" i="6"/>
  <c r="AX62" i="12" l="1"/>
  <c r="AX19" i="6" s="1"/>
  <c r="AW185" i="6"/>
  <c r="AW64" i="6"/>
  <c r="AW151" i="6"/>
  <c r="AW187" i="6"/>
  <c r="AW142" i="6"/>
  <c r="AW42" i="6"/>
  <c r="AW189" i="6"/>
  <c r="AW188" i="6"/>
  <c r="AW139" i="6"/>
  <c r="AW144" i="6"/>
  <c r="AW96" i="6"/>
  <c r="AW109" i="6" s="1"/>
  <c r="AW110" i="6" s="1"/>
  <c r="AX20" i="6" l="1"/>
  <c r="AX130" i="6"/>
  <c r="AW46" i="6"/>
  <c r="AW141" i="6"/>
  <c r="AX131" i="6" l="1"/>
  <c r="AX28" i="6"/>
  <c r="AW149" i="6"/>
  <c r="AW150" i="6"/>
  <c r="AW160" i="6"/>
  <c r="AW183" i="6"/>
  <c r="AW65" i="6"/>
  <c r="AW147" i="6"/>
  <c r="AW184" i="6"/>
  <c r="AW166" i="6"/>
  <c r="AX30" i="6" l="1"/>
  <c r="AX32" i="6" l="1"/>
  <c r="AY29" i="6" s="1"/>
  <c r="AX31" i="6"/>
  <c r="AX33" i="6" s="1"/>
  <c r="AX36" i="12" l="1"/>
  <c r="AX39" i="12" s="1"/>
  <c r="AX41" i="12" s="1"/>
  <c r="AX42" i="12" s="1"/>
  <c r="AX173" i="6"/>
  <c r="AX190" i="6" s="1"/>
  <c r="AX21" i="6"/>
  <c r="AX22" i="6" l="1"/>
  <c r="AX132" i="6"/>
  <c r="AX159" i="6" l="1"/>
  <c r="AX9" i="13"/>
  <c r="AX26" i="13" s="1"/>
  <c r="AX28" i="13" s="1"/>
  <c r="AX30" i="13" s="1"/>
  <c r="AX181" i="6"/>
  <c r="AX69" i="6"/>
  <c r="AX72" i="6" s="1"/>
  <c r="AX182" i="6"/>
  <c r="AX133" i="6"/>
  <c r="AX99" i="6"/>
  <c r="AX104" i="6" s="1"/>
  <c r="AX106" i="6" s="1"/>
  <c r="AX107" i="6" s="1"/>
  <c r="AY25" i="13" l="1"/>
  <c r="AX38" i="13"/>
  <c r="AX58" i="12"/>
  <c r="AX140" i="6"/>
  <c r="AX39" i="13" l="1"/>
  <c r="AX62" i="6"/>
  <c r="AX63" i="6" s="1"/>
  <c r="AX59" i="12"/>
  <c r="AX60" i="12"/>
  <c r="AX162" i="6" l="1"/>
  <c r="AX89" i="6"/>
  <c r="AX161" i="6"/>
  <c r="AX148" i="6"/>
  <c r="AX186" i="6"/>
  <c r="AX61" i="12"/>
  <c r="AX81" i="6"/>
  <c r="AX82" i="6" s="1"/>
  <c r="AX83" i="6" s="1"/>
  <c r="AX85" i="6" s="1"/>
  <c r="AX94" i="6" l="1"/>
  <c r="AX95" i="6" s="1"/>
  <c r="AX91" i="6"/>
  <c r="AX90" i="6"/>
  <c r="AY57" i="12"/>
  <c r="AX53" i="6"/>
  <c r="AX54" i="6" s="1"/>
  <c r="AX58" i="6" s="1"/>
  <c r="AY84" i="6"/>
  <c r="AX38" i="6"/>
  <c r="AY62" i="12" l="1"/>
  <c r="AY19" i="6" s="1"/>
  <c r="AX185" i="6"/>
  <c r="AX64" i="6"/>
  <c r="AX151" i="6"/>
  <c r="AX187" i="6"/>
  <c r="AX189" i="6"/>
  <c r="AX188" i="6"/>
  <c r="AX142" i="6"/>
  <c r="AX144" i="6"/>
  <c r="AX139" i="6"/>
  <c r="AX42" i="6"/>
  <c r="AX96" i="6"/>
  <c r="AX109" i="6" s="1"/>
  <c r="AX110" i="6" s="1"/>
  <c r="AY20" i="6" l="1"/>
  <c r="AY130" i="6"/>
  <c r="AX141" i="6"/>
  <c r="AX46" i="6"/>
  <c r="AY131" i="6" l="1"/>
  <c r="AY28" i="6"/>
  <c r="AX149" i="6"/>
  <c r="AX150" i="6"/>
  <c r="AX160" i="6"/>
  <c r="AX183" i="6"/>
  <c r="AX147" i="6"/>
  <c r="AX65" i="6"/>
  <c r="AX184" i="6"/>
  <c r="AX166" i="6"/>
  <c r="AY30" i="6" l="1"/>
  <c r="AY32" i="6" l="1"/>
  <c r="AZ29" i="6" s="1"/>
  <c r="AY31" i="6"/>
  <c r="AY33" i="6" s="1"/>
  <c r="AY173" i="6" l="1"/>
  <c r="AY190" i="6" s="1"/>
  <c r="AY21" i="6"/>
  <c r="AY36" i="12"/>
  <c r="AY39" i="12" s="1"/>
  <c r="AY41" i="12" s="1"/>
  <c r="AY42" i="12" s="1"/>
  <c r="AY22" i="6" l="1"/>
  <c r="AY132" i="6"/>
  <c r="AY99" i="6" l="1"/>
  <c r="AY104" i="6" s="1"/>
  <c r="AY106" i="6" s="1"/>
  <c r="AY107" i="6" s="1"/>
  <c r="AY182" i="6"/>
  <c r="AY181" i="6"/>
  <c r="AY9" i="13"/>
  <c r="AY26" i="13" s="1"/>
  <c r="AY159" i="6"/>
  <c r="AY133" i="6"/>
  <c r="AY69" i="6"/>
  <c r="AY72" i="6" s="1"/>
  <c r="AY10" i="13"/>
  <c r="AY20" i="13" s="1"/>
  <c r="AY58" i="12" l="1"/>
  <c r="AY140" i="6"/>
  <c r="AY27" i="13"/>
  <c r="AY28" i="13" s="1"/>
  <c r="AY21" i="13"/>
  <c r="AY60" i="12" l="1"/>
  <c r="AY59" i="12"/>
  <c r="AY37" i="13"/>
  <c r="AZ19" i="13"/>
  <c r="AZ21" i="13" s="1"/>
  <c r="AY22" i="13"/>
  <c r="AY29" i="13" s="1"/>
  <c r="AY61" i="12" l="1"/>
  <c r="AY81" i="6"/>
  <c r="AY82" i="6" s="1"/>
  <c r="AY83" i="6" s="1"/>
  <c r="AY85" i="6" s="1"/>
  <c r="AY61" i="6"/>
  <c r="BA19" i="13"/>
  <c r="BA21" i="13" s="1"/>
  <c r="AZ37" i="13"/>
  <c r="AZ22" i="13"/>
  <c r="AZ29" i="13" s="1"/>
  <c r="AY30" i="13"/>
  <c r="AY33" i="13"/>
  <c r="AZ57" i="12" l="1"/>
  <c r="AY53" i="6"/>
  <c r="AZ84" i="6"/>
  <c r="AY38" i="6"/>
  <c r="BA37" i="13"/>
  <c r="BB19" i="13"/>
  <c r="BB21" i="13" s="1"/>
  <c r="BA22" i="13"/>
  <c r="BA29" i="13" s="1"/>
  <c r="AZ61" i="6"/>
  <c r="AZ25" i="13"/>
  <c r="AY38" i="13"/>
  <c r="AZ31" i="13"/>
  <c r="AZ33" i="13" s="1"/>
  <c r="AY51" i="6"/>
  <c r="AY54" i="6" l="1"/>
  <c r="AY142" i="6" s="1"/>
  <c r="AZ62" i="12"/>
  <c r="AZ19" i="6" s="1"/>
  <c r="AY42" i="6"/>
  <c r="AY189" i="6"/>
  <c r="AY188" i="6"/>
  <c r="AY144" i="6"/>
  <c r="BA61" i="6"/>
  <c r="BB22" i="13"/>
  <c r="BB29" i="13" s="1"/>
  <c r="BB37" i="13"/>
  <c r="BC19" i="13"/>
  <c r="BC21" i="13" s="1"/>
  <c r="AY39" i="13"/>
  <c r="AY62" i="6"/>
  <c r="AY63" i="6" s="1"/>
  <c r="AZ51" i="6"/>
  <c r="BA31" i="13"/>
  <c r="BA33" i="13" s="1"/>
  <c r="AY58" i="6" l="1"/>
  <c r="AY64" i="6" s="1"/>
  <c r="AY139" i="6"/>
  <c r="AZ130" i="6"/>
  <c r="AZ20" i="6"/>
  <c r="AY46" i="6"/>
  <c r="AY150" i="6" s="1"/>
  <c r="AY141" i="6"/>
  <c r="BB61" i="6"/>
  <c r="BC37" i="13"/>
  <c r="BD19" i="13"/>
  <c r="BD21" i="13" s="1"/>
  <c r="BC22" i="13"/>
  <c r="BC29" i="13" s="1"/>
  <c r="AY162" i="6"/>
  <c r="AY89" i="6"/>
  <c r="AY186" i="6"/>
  <c r="AY161" i="6"/>
  <c r="AY148" i="6"/>
  <c r="BB31" i="13"/>
  <c r="BB33" i="13" s="1"/>
  <c r="BA51" i="6"/>
  <c r="AY151" i="6" l="1"/>
  <c r="AY187" i="6"/>
  <c r="AY185" i="6"/>
  <c r="AZ131" i="6"/>
  <c r="AZ28" i="6"/>
  <c r="AY149" i="6"/>
  <c r="AY183" i="6"/>
  <c r="AY160" i="6"/>
  <c r="AY147" i="6"/>
  <c r="AY166" i="6"/>
  <c r="AY65" i="6"/>
  <c r="AY184" i="6"/>
  <c r="BC61" i="6"/>
  <c r="BD37" i="13"/>
  <c r="BD22" i="13"/>
  <c r="BD29" i="13" s="1"/>
  <c r="BE19" i="13"/>
  <c r="BE21" i="13" s="1"/>
  <c r="AY91" i="6"/>
  <c r="AY90" i="6"/>
  <c r="AY94" i="6"/>
  <c r="AY95" i="6" s="1"/>
  <c r="BB51" i="6"/>
  <c r="BC31" i="13"/>
  <c r="BC33" i="13" s="1"/>
  <c r="AZ30" i="6" l="1"/>
  <c r="BD61" i="6"/>
  <c r="BE37" i="13"/>
  <c r="BF19" i="13"/>
  <c r="BF21" i="13" s="1"/>
  <c r="BE22" i="13"/>
  <c r="BE29" i="13" s="1"/>
  <c r="BC51" i="6"/>
  <c r="BD31" i="13"/>
  <c r="BD33" i="13" s="1"/>
  <c r="AY96" i="6"/>
  <c r="AY109" i="6" s="1"/>
  <c r="AY110" i="6" s="1"/>
  <c r="BE61" i="6" l="1"/>
  <c r="BF37" i="13"/>
  <c r="BG19" i="13"/>
  <c r="BG21" i="13" s="1"/>
  <c r="BF22" i="13"/>
  <c r="BF29" i="13" s="1"/>
  <c r="BD51" i="6"/>
  <c r="BE31" i="13"/>
  <c r="BE33" i="13" s="1"/>
  <c r="AZ32" i="6"/>
  <c r="BA29" i="6" s="1"/>
  <c r="AZ31" i="6"/>
  <c r="AZ33" i="6" s="1"/>
  <c r="BF61" i="6" l="1"/>
  <c r="BG37" i="13"/>
  <c r="BH19" i="13"/>
  <c r="BH21" i="13" s="1"/>
  <c r="BG22" i="13"/>
  <c r="BG29" i="13" s="1"/>
  <c r="BF31" i="13"/>
  <c r="BF33" i="13" s="1"/>
  <c r="BE51" i="6"/>
  <c r="AZ173" i="6"/>
  <c r="AZ190" i="6" s="1"/>
  <c r="AZ21" i="6"/>
  <c r="AZ36" i="12"/>
  <c r="AZ39" i="12" s="1"/>
  <c r="AZ41" i="12" s="1"/>
  <c r="AZ42" i="12" s="1"/>
  <c r="BG61" i="6" l="1"/>
  <c r="BI19" i="13"/>
  <c r="BH37" i="13"/>
  <c r="BH22" i="13"/>
  <c r="BH29" i="13" s="1"/>
  <c r="BF51" i="6"/>
  <c r="BG31" i="13"/>
  <c r="BG33" i="13" s="1"/>
  <c r="AZ22" i="6"/>
  <c r="AZ132" i="6"/>
  <c r="BH61" i="6" l="1"/>
  <c r="BG51" i="6"/>
  <c r="BH31" i="13"/>
  <c r="BH33" i="13" s="1"/>
  <c r="AZ69" i="6"/>
  <c r="AZ72" i="6" s="1"/>
  <c r="AZ182" i="6"/>
  <c r="AZ133" i="6"/>
  <c r="AZ159" i="6"/>
  <c r="AZ9" i="13"/>
  <c r="AZ26" i="13" s="1"/>
  <c r="AZ28" i="13" s="1"/>
  <c r="AZ30" i="13" s="1"/>
  <c r="AZ99" i="6"/>
  <c r="AZ104" i="6" s="1"/>
  <c r="AZ106" i="6" s="1"/>
  <c r="AZ107" i="6" s="1"/>
  <c r="AZ181" i="6"/>
  <c r="BI31" i="13" l="1"/>
  <c r="BH51" i="6"/>
  <c r="AZ58" i="12"/>
  <c r="AZ140" i="6"/>
  <c r="AZ38" i="13"/>
  <c r="BA25" i="13"/>
  <c r="BI32" i="13" l="1"/>
  <c r="AZ59" i="12"/>
  <c r="AZ60" i="12"/>
  <c r="AZ39" i="13"/>
  <c r="AZ62" i="6"/>
  <c r="AZ63" i="6" s="1"/>
  <c r="BI80" i="6" l="1"/>
  <c r="BI111" i="6"/>
  <c r="AZ61" i="12"/>
  <c r="AZ81" i="6"/>
  <c r="AZ82" i="6" s="1"/>
  <c r="AZ83" i="6" s="1"/>
  <c r="AZ85" i="6" s="1"/>
  <c r="AZ162" i="6"/>
  <c r="AZ89" i="6"/>
  <c r="AZ186" i="6"/>
  <c r="AZ148" i="6"/>
  <c r="AZ161" i="6"/>
  <c r="BA57" i="12" l="1"/>
  <c r="AZ53" i="6"/>
  <c r="AZ54" i="6" s="1"/>
  <c r="AZ58" i="6" s="1"/>
  <c r="AZ38" i="6"/>
  <c r="BA84" i="6"/>
  <c r="AZ90" i="6"/>
  <c r="AZ91" i="6"/>
  <c r="AZ94" i="6"/>
  <c r="AZ95" i="6" s="1"/>
  <c r="BA62" i="12" l="1"/>
  <c r="BA19" i="6" s="1"/>
  <c r="AZ185" i="6"/>
  <c r="AZ64" i="6"/>
  <c r="AZ151" i="6"/>
  <c r="AZ187" i="6"/>
  <c r="AZ144" i="6"/>
  <c r="AZ139" i="6"/>
  <c r="AZ188" i="6"/>
  <c r="AZ42" i="6"/>
  <c r="AZ142" i="6"/>
  <c r="AZ189" i="6"/>
  <c r="AZ96" i="6"/>
  <c r="AZ109" i="6" s="1"/>
  <c r="AZ110" i="6" s="1"/>
  <c r="BA20" i="6" l="1"/>
  <c r="BA130" i="6"/>
  <c r="AZ46" i="6"/>
  <c r="AZ141" i="6"/>
  <c r="BA131" i="6" l="1"/>
  <c r="BA28" i="6"/>
  <c r="AZ149" i="6"/>
  <c r="AZ150" i="6"/>
  <c r="AZ160" i="6"/>
  <c r="AZ183" i="6"/>
  <c r="AZ166" i="6"/>
  <c r="AZ147" i="6"/>
  <c r="AZ184" i="6"/>
  <c r="AZ65" i="6"/>
  <c r="BA30" i="6" l="1"/>
  <c r="BA32" i="6" l="1"/>
  <c r="BB29" i="6" s="1"/>
  <c r="BA31" i="6"/>
  <c r="BA33" i="6" s="1"/>
  <c r="BA173" i="6" l="1"/>
  <c r="BA190" i="6" s="1"/>
  <c r="BA36" i="12"/>
  <c r="BA39" i="12" s="1"/>
  <c r="BA41" i="12" s="1"/>
  <c r="BA42" i="12" s="1"/>
  <c r="BA21" i="6"/>
  <c r="BA22" i="6" l="1"/>
  <c r="BA132" i="6"/>
  <c r="BA182" i="6" l="1"/>
  <c r="BA181" i="6"/>
  <c r="BA69" i="6"/>
  <c r="BA72" i="6" s="1"/>
  <c r="BA99" i="6"/>
  <c r="BA104" i="6" s="1"/>
  <c r="BA106" i="6" s="1"/>
  <c r="BA107" i="6" s="1"/>
  <c r="BA159" i="6"/>
  <c r="BA133" i="6"/>
  <c r="BA9" i="13"/>
  <c r="BA26" i="13" s="1"/>
  <c r="BA28" i="13" s="1"/>
  <c r="BA30" i="13" s="1"/>
  <c r="BA58" i="12" l="1"/>
  <c r="BA140" i="6"/>
  <c r="BA38" i="13"/>
  <c r="BB25" i="13"/>
  <c r="BA59" i="12" l="1"/>
  <c r="BA60" i="12"/>
  <c r="BA39" i="13"/>
  <c r="BA62" i="6"/>
  <c r="BA63" i="6" s="1"/>
  <c r="BA61" i="12" l="1"/>
  <c r="BA81" i="6"/>
  <c r="BA82" i="6" s="1"/>
  <c r="BA83" i="6" s="1"/>
  <c r="BA85" i="6" s="1"/>
  <c r="BA162" i="6"/>
  <c r="BA89" i="6"/>
  <c r="BA148" i="6"/>
  <c r="BA186" i="6"/>
  <c r="BA161" i="6"/>
  <c r="BB57" i="12" l="1"/>
  <c r="BA53" i="6"/>
  <c r="BA54" i="6" s="1"/>
  <c r="BA58" i="6" s="1"/>
  <c r="BB84" i="6"/>
  <c r="BA38" i="6"/>
  <c r="BA90" i="6"/>
  <c r="BA91" i="6"/>
  <c r="BA94" i="6"/>
  <c r="BA95" i="6" s="1"/>
  <c r="BB62" i="12" l="1"/>
  <c r="BB19" i="6" s="1"/>
  <c r="BA185" i="6"/>
  <c r="BA64" i="6"/>
  <c r="BA151" i="6"/>
  <c r="BA187" i="6"/>
  <c r="BA142" i="6"/>
  <c r="BA139" i="6"/>
  <c r="BA42" i="6"/>
  <c r="BA189" i="6"/>
  <c r="BA188" i="6"/>
  <c r="BA144" i="6"/>
  <c r="BA96" i="6"/>
  <c r="BA109" i="6" s="1"/>
  <c r="BA110" i="6" s="1"/>
  <c r="BB20" i="6" l="1"/>
  <c r="BB130" i="6"/>
  <c r="BA141" i="6"/>
  <c r="BA46" i="6"/>
  <c r="BB131" i="6" l="1"/>
  <c r="BB28" i="6"/>
  <c r="BA149" i="6"/>
  <c r="BA150" i="6"/>
  <c r="BA160" i="6"/>
  <c r="BA183" i="6"/>
  <c r="BA147" i="6"/>
  <c r="BA166" i="6"/>
  <c r="BA65" i="6"/>
  <c r="BA184" i="6"/>
  <c r="BB30" i="6" l="1"/>
  <c r="BB32" i="6" l="1"/>
  <c r="BC29" i="6" s="1"/>
  <c r="BB31" i="6"/>
  <c r="BB33" i="6" s="1"/>
  <c r="BB173" i="6" l="1"/>
  <c r="BB190" i="6" s="1"/>
  <c r="BB36" i="12"/>
  <c r="BB39" i="12" s="1"/>
  <c r="BB41" i="12" s="1"/>
  <c r="BB42" i="12" s="1"/>
  <c r="BB21" i="6"/>
  <c r="BB22" i="6" l="1"/>
  <c r="BB132" i="6"/>
  <c r="BB9" i="13" l="1"/>
  <c r="BB26" i="13" s="1"/>
  <c r="BB28" i="13" s="1"/>
  <c r="BB30" i="13" s="1"/>
  <c r="BB69" i="6"/>
  <c r="BB72" i="6" s="1"/>
  <c r="BB182" i="6"/>
  <c r="BB99" i="6"/>
  <c r="BB104" i="6" s="1"/>
  <c r="BB106" i="6" s="1"/>
  <c r="BB107" i="6" s="1"/>
  <c r="BB133" i="6"/>
  <c r="BB181" i="6"/>
  <c r="BB159" i="6"/>
  <c r="BC25" i="13" l="1"/>
  <c r="BB38" i="13"/>
  <c r="BB58" i="12"/>
  <c r="BB140" i="6"/>
  <c r="BB39" i="13" l="1"/>
  <c r="BB62" i="6"/>
  <c r="BB63" i="6" s="1"/>
  <c r="BB59" i="12"/>
  <c r="BB60" i="12"/>
  <c r="BB162" i="6" l="1"/>
  <c r="BB89" i="6"/>
  <c r="BB148" i="6"/>
  <c r="BB186" i="6"/>
  <c r="BB161" i="6"/>
  <c r="BB61" i="12"/>
  <c r="BB81" i="6"/>
  <c r="BB82" i="6" s="1"/>
  <c r="BB83" i="6" s="1"/>
  <c r="BB85" i="6" s="1"/>
  <c r="BB94" i="6" l="1"/>
  <c r="BB95" i="6" s="1"/>
  <c r="BB91" i="6"/>
  <c r="BB90" i="6"/>
  <c r="BC57" i="12"/>
  <c r="BB53" i="6"/>
  <c r="BB54" i="6" s="1"/>
  <c r="BB58" i="6" s="1"/>
  <c r="BC84" i="6"/>
  <c r="BB38" i="6"/>
  <c r="BC62" i="12" l="1"/>
  <c r="BC19" i="6" s="1"/>
  <c r="BB185" i="6"/>
  <c r="BB151" i="6"/>
  <c r="BB64" i="6"/>
  <c r="BB187" i="6"/>
  <c r="BB188" i="6"/>
  <c r="BB42" i="6"/>
  <c r="BB139" i="6"/>
  <c r="BB189" i="6"/>
  <c r="BB144" i="6"/>
  <c r="BB142" i="6"/>
  <c r="BB96" i="6"/>
  <c r="BB109" i="6" s="1"/>
  <c r="BB110" i="6" s="1"/>
  <c r="BC20" i="6" l="1"/>
  <c r="BC130" i="6"/>
  <c r="BB46" i="6"/>
  <c r="BB141" i="6"/>
  <c r="BC28" i="6" l="1"/>
  <c r="BC131" i="6"/>
  <c r="BB149" i="6"/>
  <c r="BB150" i="6"/>
  <c r="BB183" i="6"/>
  <c r="BB160" i="6"/>
  <c r="BB65" i="6"/>
  <c r="BB147" i="6"/>
  <c r="BB184" i="6"/>
  <c r="BB166" i="6"/>
  <c r="BC30" i="6" l="1"/>
  <c r="BC32" i="6" l="1"/>
  <c r="BD29" i="6" s="1"/>
  <c r="BC31" i="6"/>
  <c r="BC33" i="6" s="1"/>
  <c r="BC173" i="6" l="1"/>
  <c r="BC190" i="6" s="1"/>
  <c r="BC36" i="12"/>
  <c r="BC39" i="12" s="1"/>
  <c r="BC41" i="12" s="1"/>
  <c r="BC42" i="12" s="1"/>
  <c r="BC21" i="6"/>
  <c r="BC22" i="6" l="1"/>
  <c r="BC132" i="6"/>
  <c r="BC9" i="13" l="1"/>
  <c r="BC26" i="13" s="1"/>
  <c r="BC28" i="13" s="1"/>
  <c r="BC30" i="13" s="1"/>
  <c r="BC69" i="6"/>
  <c r="BC72" i="6" s="1"/>
  <c r="BC159" i="6"/>
  <c r="BC181" i="6"/>
  <c r="BC182" i="6"/>
  <c r="BC99" i="6"/>
  <c r="BC104" i="6" s="1"/>
  <c r="BC106" i="6" s="1"/>
  <c r="BC107" i="6" s="1"/>
  <c r="BC133" i="6"/>
  <c r="BC38" i="13" l="1"/>
  <c r="BD25" i="13"/>
  <c r="BC58" i="12"/>
  <c r="BC140" i="6"/>
  <c r="BC39" i="13" l="1"/>
  <c r="BC62" i="6"/>
  <c r="BC63" i="6" s="1"/>
  <c r="BC59" i="12"/>
  <c r="BC60" i="12"/>
  <c r="BC162" i="6" l="1"/>
  <c r="BC89" i="6"/>
  <c r="BC148" i="6"/>
  <c r="BC186" i="6"/>
  <c r="BC161" i="6"/>
  <c r="BC61" i="12"/>
  <c r="BC81" i="6"/>
  <c r="BC82" i="6" s="1"/>
  <c r="BC83" i="6" s="1"/>
  <c r="BC85" i="6" s="1"/>
  <c r="BC94" i="6" l="1"/>
  <c r="BC95" i="6" s="1"/>
  <c r="BC91" i="6"/>
  <c r="BC90" i="6"/>
  <c r="BD57" i="12"/>
  <c r="BC53" i="6"/>
  <c r="BC54" i="6" s="1"/>
  <c r="BC58" i="6" s="1"/>
  <c r="BD84" i="6"/>
  <c r="BC38" i="6"/>
  <c r="BD62" i="12" l="1"/>
  <c r="BD19" i="6" s="1"/>
  <c r="BC185" i="6"/>
  <c r="BC64" i="6"/>
  <c r="BC151" i="6"/>
  <c r="BC187" i="6"/>
  <c r="BC42" i="6"/>
  <c r="BC142" i="6"/>
  <c r="BC189" i="6"/>
  <c r="BC144" i="6"/>
  <c r="BC188" i="6"/>
  <c r="BC139" i="6"/>
  <c r="BC96" i="6"/>
  <c r="BC109" i="6" s="1"/>
  <c r="BC110" i="6" s="1"/>
  <c r="BD130" i="6" l="1"/>
  <c r="BD20" i="6"/>
  <c r="BC46" i="6"/>
  <c r="BC141" i="6"/>
  <c r="BD28" i="6" l="1"/>
  <c r="BD131" i="6"/>
  <c r="BC149" i="6"/>
  <c r="BC150" i="6"/>
  <c r="BC160" i="6"/>
  <c r="BC183" i="6"/>
  <c r="BC147" i="6"/>
  <c r="BC166" i="6"/>
  <c r="BC184" i="6"/>
  <c r="BC65" i="6"/>
  <c r="BD30" i="6" l="1"/>
  <c r="BD32" i="6" l="1"/>
  <c r="BE29" i="6" s="1"/>
  <c r="BD31" i="6"/>
  <c r="BD33" i="6" s="1"/>
  <c r="BD173" i="6" l="1"/>
  <c r="BD190" i="6" s="1"/>
  <c r="BD21" i="6"/>
  <c r="BD36" i="12"/>
  <c r="BD39" i="12" s="1"/>
  <c r="BD41" i="12" s="1"/>
  <c r="BD42" i="12" s="1"/>
  <c r="BD22" i="6" l="1"/>
  <c r="BD132" i="6"/>
  <c r="BD69" i="6" l="1"/>
  <c r="BD72" i="6" s="1"/>
  <c r="BD9" i="13"/>
  <c r="BD26" i="13" s="1"/>
  <c r="BD28" i="13" s="1"/>
  <c r="BD30" i="13" s="1"/>
  <c r="BD133" i="6"/>
  <c r="BD159" i="6"/>
  <c r="BD181" i="6"/>
  <c r="BD182" i="6"/>
  <c r="BD99" i="6"/>
  <c r="BD104" i="6" s="1"/>
  <c r="BD106" i="6" s="1"/>
  <c r="BD107" i="6" s="1"/>
  <c r="BD58" i="12" l="1"/>
  <c r="BD140" i="6"/>
  <c r="BD38" i="13"/>
  <c r="BE25" i="13"/>
  <c r="BD60" i="12" l="1"/>
  <c r="BD59" i="12"/>
  <c r="BD39" i="13"/>
  <c r="BD62" i="6"/>
  <c r="BD63" i="6" s="1"/>
  <c r="BD61" i="12" l="1"/>
  <c r="BD81" i="6"/>
  <c r="BD82" i="6" s="1"/>
  <c r="BD83" i="6" s="1"/>
  <c r="BD85" i="6" s="1"/>
  <c r="BD162" i="6"/>
  <c r="BD89" i="6"/>
  <c r="BD148" i="6"/>
  <c r="BD161" i="6"/>
  <c r="BD186" i="6"/>
  <c r="BE57" i="12" l="1"/>
  <c r="BD53" i="6"/>
  <c r="BD54" i="6" s="1"/>
  <c r="BD58" i="6" s="1"/>
  <c r="BE84" i="6"/>
  <c r="BD38" i="6"/>
  <c r="BD91" i="6"/>
  <c r="BD90" i="6"/>
  <c r="BD94" i="6"/>
  <c r="BD95" i="6" s="1"/>
  <c r="BE62" i="12" l="1"/>
  <c r="BE19" i="6" s="1"/>
  <c r="BD185" i="6"/>
  <c r="BD151" i="6"/>
  <c r="BD64" i="6"/>
  <c r="BD187" i="6"/>
  <c r="BD139" i="6"/>
  <c r="BD142" i="6"/>
  <c r="BD144" i="6"/>
  <c r="BD42" i="6"/>
  <c r="BD189" i="6"/>
  <c r="BD188" i="6"/>
  <c r="BD96" i="6"/>
  <c r="BD109" i="6" s="1"/>
  <c r="BD110" i="6" s="1"/>
  <c r="BE20" i="6" l="1"/>
  <c r="BE130" i="6"/>
  <c r="BD141" i="6"/>
  <c r="BD46" i="6"/>
  <c r="BE131" i="6" l="1"/>
  <c r="BE28" i="6"/>
  <c r="BD149" i="6"/>
  <c r="BD150" i="6"/>
  <c r="BD183" i="6"/>
  <c r="BD160" i="6"/>
  <c r="BD184" i="6"/>
  <c r="BD147" i="6"/>
  <c r="BD65" i="6"/>
  <c r="BD166" i="6"/>
  <c r="BE30" i="6" l="1"/>
  <c r="BE32" i="6" l="1"/>
  <c r="BF29" i="6" s="1"/>
  <c r="BE31" i="6"/>
  <c r="BE33" i="6" s="1"/>
  <c r="BE173" i="6" l="1"/>
  <c r="BE190" i="6" s="1"/>
  <c r="BE36" i="12"/>
  <c r="BE39" i="12" s="1"/>
  <c r="BE41" i="12" s="1"/>
  <c r="BE42" i="12" s="1"/>
  <c r="BE21" i="6"/>
  <c r="BE22" i="6" l="1"/>
  <c r="BE132" i="6"/>
  <c r="BE99" i="6" l="1"/>
  <c r="BE104" i="6" s="1"/>
  <c r="BE106" i="6" s="1"/>
  <c r="BE107" i="6" s="1"/>
  <c r="BE159" i="6"/>
  <c r="BE133" i="6"/>
  <c r="BE181" i="6"/>
  <c r="BE9" i="13"/>
  <c r="BE26" i="13" s="1"/>
  <c r="BE28" i="13" s="1"/>
  <c r="BE30" i="13" s="1"/>
  <c r="BE69" i="6"/>
  <c r="BE72" i="6" s="1"/>
  <c r="BE182" i="6"/>
  <c r="BF25" i="13" l="1"/>
  <c r="BE38" i="13"/>
  <c r="BE58" i="12"/>
  <c r="BE140" i="6"/>
  <c r="BE39" i="13" l="1"/>
  <c r="BE62" i="6"/>
  <c r="BE63" i="6" s="1"/>
  <c r="BE60" i="12"/>
  <c r="BE59" i="12"/>
  <c r="BE162" i="6" l="1"/>
  <c r="BE89" i="6"/>
  <c r="BE148" i="6"/>
  <c r="BE186" i="6"/>
  <c r="BE161" i="6"/>
  <c r="BE61" i="12"/>
  <c r="BE81" i="6"/>
  <c r="BE82" i="6" s="1"/>
  <c r="BE83" i="6" s="1"/>
  <c r="BE85" i="6" s="1"/>
  <c r="BE91" i="6" l="1"/>
  <c r="BE90" i="6"/>
  <c r="BE94" i="6"/>
  <c r="BE95" i="6" s="1"/>
  <c r="BF57" i="12"/>
  <c r="BE53" i="6"/>
  <c r="BE54" i="6" s="1"/>
  <c r="BE58" i="6" s="1"/>
  <c r="BF84" i="6"/>
  <c r="BE38" i="6"/>
  <c r="BF62" i="12" l="1"/>
  <c r="BF19" i="6" s="1"/>
  <c r="BE185" i="6"/>
  <c r="BE64" i="6"/>
  <c r="BE151" i="6"/>
  <c r="BE187" i="6"/>
  <c r="BE139" i="6"/>
  <c r="BE142" i="6"/>
  <c r="BE42" i="6"/>
  <c r="BE189" i="6"/>
  <c r="BE188" i="6"/>
  <c r="BE144" i="6"/>
  <c r="BE96" i="6"/>
  <c r="BE109" i="6" s="1"/>
  <c r="BE110" i="6" s="1"/>
  <c r="BF20" i="6" l="1"/>
  <c r="BF130" i="6"/>
  <c r="BE46" i="6"/>
  <c r="BE141" i="6"/>
  <c r="BF28" i="6" l="1"/>
  <c r="BF131" i="6"/>
  <c r="BE149" i="6"/>
  <c r="BE150" i="6"/>
  <c r="BE183" i="6"/>
  <c r="BE160" i="6"/>
  <c r="BE65" i="6"/>
  <c r="BE184" i="6"/>
  <c r="BE147" i="6"/>
  <c r="BE166" i="6"/>
  <c r="BF30" i="6" l="1"/>
  <c r="BF32" i="6" l="1"/>
  <c r="BG29" i="6" s="1"/>
  <c r="BF31" i="6"/>
  <c r="BF33" i="6" s="1"/>
  <c r="BF173" i="6" l="1"/>
  <c r="BF190" i="6" s="1"/>
  <c r="BF36" i="12"/>
  <c r="BF39" i="12" s="1"/>
  <c r="BF41" i="12" s="1"/>
  <c r="BF42" i="12" s="1"/>
  <c r="BF21" i="6"/>
  <c r="BF22" i="6" l="1"/>
  <c r="BF132" i="6"/>
  <c r="BF159" i="6" l="1"/>
  <c r="BF182" i="6"/>
  <c r="BF99" i="6"/>
  <c r="BF104" i="6" s="1"/>
  <c r="BF106" i="6" s="1"/>
  <c r="BF107" i="6" s="1"/>
  <c r="BF69" i="6"/>
  <c r="BF72" i="6" s="1"/>
  <c r="BF9" i="13"/>
  <c r="BF26" i="13" s="1"/>
  <c r="BF28" i="13" s="1"/>
  <c r="BF30" i="13" s="1"/>
  <c r="BF133" i="6"/>
  <c r="BF181" i="6"/>
  <c r="BF58" i="12" l="1"/>
  <c r="BF140" i="6"/>
  <c r="BG25" i="13"/>
  <c r="BF38" i="13"/>
  <c r="BF60" i="12" l="1"/>
  <c r="BF59" i="12"/>
  <c r="BF39" i="13"/>
  <c r="BF62" i="6"/>
  <c r="BF63" i="6" s="1"/>
  <c r="BF61" i="12" l="1"/>
  <c r="BF81" i="6"/>
  <c r="BF82" i="6" s="1"/>
  <c r="BF83" i="6" s="1"/>
  <c r="BF85" i="6" s="1"/>
  <c r="BF162" i="6"/>
  <c r="BF89" i="6"/>
  <c r="BF161" i="6"/>
  <c r="BF186" i="6"/>
  <c r="BF148" i="6"/>
  <c r="BG57" i="12" l="1"/>
  <c r="BF53" i="6"/>
  <c r="BF54" i="6" s="1"/>
  <c r="BF58" i="6" s="1"/>
  <c r="BG84" i="6"/>
  <c r="BF38" i="6"/>
  <c r="BF91" i="6"/>
  <c r="BF90" i="6"/>
  <c r="BF94" i="6"/>
  <c r="BF95" i="6" s="1"/>
  <c r="BG62" i="12" l="1"/>
  <c r="BG19" i="6" s="1"/>
  <c r="BF185" i="6"/>
  <c r="BF64" i="6"/>
  <c r="BF151" i="6"/>
  <c r="BF187" i="6"/>
  <c r="BF188" i="6"/>
  <c r="BF142" i="6"/>
  <c r="BF139" i="6"/>
  <c r="BF42" i="6"/>
  <c r="BF189" i="6"/>
  <c r="BF144" i="6"/>
  <c r="BF96" i="6"/>
  <c r="BF109" i="6" s="1"/>
  <c r="BF110" i="6" s="1"/>
  <c r="BG20" i="6" l="1"/>
  <c r="BG130" i="6"/>
  <c r="BF46" i="6"/>
  <c r="BF141" i="6"/>
  <c r="BG131" i="6" l="1"/>
  <c r="BG28" i="6"/>
  <c r="BF149" i="6"/>
  <c r="BF150" i="6"/>
  <c r="BF183" i="6"/>
  <c r="BF160" i="6"/>
  <c r="BF147" i="6"/>
  <c r="BF65" i="6"/>
  <c r="BF184" i="6"/>
  <c r="BF166" i="6"/>
  <c r="BG30" i="6" l="1"/>
  <c r="BG32" i="6" l="1"/>
  <c r="BH29" i="6" s="1"/>
  <c r="BG31" i="6"/>
  <c r="BG33" i="6" s="1"/>
  <c r="BG173" i="6" l="1"/>
  <c r="BG190" i="6" s="1"/>
  <c r="BG36" i="12"/>
  <c r="BG39" i="12" s="1"/>
  <c r="BG41" i="12" s="1"/>
  <c r="BG42" i="12" s="1"/>
  <c r="BG21" i="6"/>
  <c r="BG22" i="6" l="1"/>
  <c r="BG132" i="6"/>
  <c r="BG9" i="13" l="1"/>
  <c r="BG26" i="13" s="1"/>
  <c r="BG28" i="13" s="1"/>
  <c r="BG30" i="13" s="1"/>
  <c r="BG133" i="6"/>
  <c r="BG159" i="6"/>
  <c r="BG181" i="6"/>
  <c r="BG182" i="6"/>
  <c r="BG99" i="6"/>
  <c r="BG104" i="6" s="1"/>
  <c r="BG106" i="6" s="1"/>
  <c r="BG107" i="6" s="1"/>
  <c r="BG69" i="6"/>
  <c r="BG72" i="6" s="1"/>
  <c r="BG38" i="13" l="1"/>
  <c r="BH25" i="13"/>
  <c r="BG58" i="12"/>
  <c r="BG140" i="6"/>
  <c r="BG39" i="13" l="1"/>
  <c r="BG62" i="6"/>
  <c r="BG63" i="6" s="1"/>
  <c r="BG59" i="12"/>
  <c r="BG60" i="12"/>
  <c r="BG162" i="6" l="1"/>
  <c r="BG89" i="6"/>
  <c r="BG148" i="6"/>
  <c r="BG161" i="6"/>
  <c r="BG186" i="6"/>
  <c r="BG61" i="12"/>
  <c r="BG81" i="6"/>
  <c r="BG82" i="6" s="1"/>
  <c r="BG83" i="6" s="1"/>
  <c r="BG85" i="6" s="1"/>
  <c r="BG91" i="6" l="1"/>
  <c r="BG90" i="6"/>
  <c r="BG94" i="6"/>
  <c r="BG95" i="6" s="1"/>
  <c r="BH57" i="12"/>
  <c r="BG53" i="6"/>
  <c r="BG54" i="6" s="1"/>
  <c r="BG58" i="6" s="1"/>
  <c r="BG38" i="6"/>
  <c r="BH84" i="6"/>
  <c r="BG96" i="6" l="1"/>
  <c r="BG109" i="6" s="1"/>
  <c r="BG110" i="6" s="1"/>
  <c r="BH62" i="12"/>
  <c r="BH19" i="6" s="1"/>
  <c r="BG185" i="6"/>
  <c r="BG64" i="6"/>
  <c r="BG187" i="6"/>
  <c r="BG151" i="6"/>
  <c r="BG142" i="6"/>
  <c r="BG188" i="6"/>
  <c r="BG144" i="6"/>
  <c r="BG189" i="6"/>
  <c r="BG139" i="6"/>
  <c r="BG42" i="6"/>
  <c r="BH20" i="6" l="1"/>
  <c r="BH130" i="6"/>
  <c r="BG141" i="6"/>
  <c r="BG46" i="6"/>
  <c r="BH28" i="6" l="1"/>
  <c r="BH131" i="6"/>
  <c r="BG149" i="6"/>
  <c r="BG150" i="6"/>
  <c r="BG160" i="6"/>
  <c r="BG183" i="6"/>
  <c r="BG184" i="6"/>
  <c r="BG166" i="6"/>
  <c r="BG65" i="6"/>
  <c r="BG147" i="6"/>
  <c r="BH30" i="6" l="1"/>
  <c r="BH32" i="6" l="1"/>
  <c r="BI29" i="6" s="1"/>
  <c r="BH31" i="6"/>
  <c r="BH33" i="6" s="1"/>
  <c r="BH21" i="6" l="1"/>
  <c r="BH36" i="12"/>
  <c r="BH39" i="12" s="1"/>
  <c r="BH41" i="12" s="1"/>
  <c r="BH42" i="12" s="1"/>
  <c r="BH173" i="6"/>
  <c r="BH190" i="6" s="1"/>
  <c r="BH22" i="6" l="1"/>
  <c r="BH132" i="6"/>
  <c r="BH69" i="6" l="1"/>
  <c r="BH72" i="6" s="1"/>
  <c r="BH182" i="6"/>
  <c r="BH9" i="13"/>
  <c r="BH26" i="13" s="1"/>
  <c r="BH28" i="13" s="1"/>
  <c r="BH30" i="13" s="1"/>
  <c r="BH133" i="6"/>
  <c r="BH99" i="6"/>
  <c r="BH104" i="6" s="1"/>
  <c r="BH106" i="6" s="1"/>
  <c r="BH107" i="6" s="1"/>
  <c r="BH159" i="6"/>
  <c r="BH181" i="6"/>
  <c r="BI25" i="13" l="1"/>
  <c r="BH38" i="13"/>
  <c r="BH58" i="12"/>
  <c r="BH140" i="6"/>
  <c r="BH39" i="13" l="1"/>
  <c r="BH62" i="6"/>
  <c r="BH63" i="6" s="1"/>
  <c r="BH162" i="6" s="1"/>
  <c r="BH59" i="12"/>
  <c r="BH60" i="12"/>
  <c r="BH89" i="6" l="1"/>
  <c r="BH94" i="6" s="1"/>
  <c r="BH95" i="6" s="1"/>
  <c r="BH186" i="6"/>
  <c r="BH148" i="6"/>
  <c r="BH161" i="6"/>
  <c r="BH61" i="12"/>
  <c r="BH81" i="6"/>
  <c r="BH82" i="6" s="1"/>
  <c r="BH83" i="6" s="1"/>
  <c r="BH85" i="6" s="1"/>
  <c r="BI57" i="12" l="1"/>
  <c r="BI62" i="12" s="1"/>
  <c r="BI19" i="6" s="1"/>
  <c r="BH53" i="6"/>
  <c r="BH54" i="6" s="1"/>
  <c r="BH58" i="6" s="1"/>
  <c r="BI84" i="6"/>
  <c r="BH38" i="6"/>
  <c r="BH90" i="6"/>
  <c r="BH91" i="6"/>
  <c r="BH96" i="6" l="1"/>
  <c r="BH109" i="6" s="1"/>
  <c r="BH110" i="6" s="1"/>
  <c r="BH185" i="6"/>
  <c r="BH151" i="6"/>
  <c r="BH64" i="6"/>
  <c r="BH187" i="6"/>
  <c r="BH188" i="6"/>
  <c r="BH142" i="6"/>
  <c r="BH189" i="6"/>
  <c r="BH139" i="6"/>
  <c r="BH144" i="6"/>
  <c r="BH42" i="6"/>
  <c r="BI20" i="6"/>
  <c r="BI130" i="6"/>
  <c r="BH141" i="6" l="1"/>
  <c r="BH46" i="6"/>
  <c r="BI131" i="6"/>
  <c r="BI28" i="6"/>
  <c r="BH149" i="6" l="1"/>
  <c r="BH150" i="6"/>
  <c r="BH160" i="6"/>
  <c r="BH183" i="6"/>
  <c r="BH166" i="6"/>
  <c r="BH147" i="6"/>
  <c r="BH65" i="6"/>
  <c r="BH184" i="6"/>
  <c r="BI30" i="6"/>
  <c r="BI32" i="6" l="1"/>
  <c r="BJ29" i="6" s="1"/>
  <c r="BI31" i="6"/>
  <c r="BI33" i="6" s="1"/>
  <c r="BI173" i="6" l="1"/>
  <c r="BI190" i="6" s="1"/>
  <c r="BI21" i="6"/>
  <c r="BI36" i="12"/>
  <c r="BI39" i="12" s="1"/>
  <c r="BI41" i="12" s="1"/>
  <c r="BI42" i="12" s="1"/>
  <c r="BI22" i="6" l="1"/>
  <c r="BI132" i="6"/>
  <c r="BI181" i="6" l="1"/>
  <c r="BI159" i="6"/>
  <c r="BI9" i="13"/>
  <c r="BI26" i="13" s="1"/>
  <c r="BI182" i="6"/>
  <c r="BI69" i="6"/>
  <c r="BI72" i="6" s="1"/>
  <c r="BI133" i="6"/>
  <c r="BI99" i="6"/>
  <c r="BI104" i="6" s="1"/>
  <c r="BI106" i="6" s="1"/>
  <c r="BI107" i="6" s="1"/>
  <c r="BI10" i="13"/>
  <c r="BI20" i="13" s="1"/>
  <c r="BI58" i="12" l="1"/>
  <c r="BI140" i="6"/>
  <c r="BI21" i="13"/>
  <c r="BI27" i="13"/>
  <c r="BI28" i="13" s="1"/>
  <c r="BI59" i="12" l="1"/>
  <c r="BI60" i="12"/>
  <c r="BI37" i="13"/>
  <c r="BI22" i="13"/>
  <c r="BI29" i="13" s="1"/>
  <c r="BJ19" i="13"/>
  <c r="BI61" i="12" l="1"/>
  <c r="BI81" i="6"/>
  <c r="BI82" i="6" s="1"/>
  <c r="BI83" i="6" s="1"/>
  <c r="BI85" i="6" s="1"/>
  <c r="BI61" i="6"/>
  <c r="BI30" i="13"/>
  <c r="BI33" i="13"/>
  <c r="BJ57" i="12" l="1"/>
  <c r="BI53" i="6"/>
  <c r="BJ84" i="6"/>
  <c r="BI38" i="6"/>
  <c r="BI38" i="13"/>
  <c r="BJ25" i="13"/>
  <c r="BJ31" i="13"/>
  <c r="BI51" i="6"/>
  <c r="BJ62" i="12" l="1"/>
  <c r="BJ19" i="6" s="1"/>
  <c r="BI144" i="6"/>
  <c r="BI189" i="6"/>
  <c r="BI42" i="6"/>
  <c r="BI188" i="6"/>
  <c r="BI39" i="13"/>
  <c r="BI62" i="6"/>
  <c r="BI63" i="6" s="1"/>
  <c r="BJ32" i="13"/>
  <c r="BI54" i="6"/>
  <c r="BI58" i="6" l="1"/>
  <c r="BI142" i="6"/>
  <c r="BI139" i="6"/>
  <c r="BJ130" i="6"/>
  <c r="BJ20" i="6"/>
  <c r="BI46" i="6"/>
  <c r="BI141" i="6"/>
  <c r="BI162" i="6"/>
  <c r="BI89" i="6"/>
  <c r="BI148" i="6"/>
  <c r="BI186" i="6"/>
  <c r="BI161" i="6"/>
  <c r="BJ80" i="6"/>
  <c r="BJ111" i="6"/>
  <c r="BI151" i="6" l="1"/>
  <c r="BI187" i="6"/>
  <c r="BI64" i="6"/>
  <c r="BI65" i="6" s="1"/>
  <c r="BI185" i="6"/>
  <c r="BI150" i="6"/>
  <c r="BI149" i="6"/>
  <c r="BJ131" i="6"/>
  <c r="BJ28" i="6"/>
  <c r="BI160" i="6"/>
  <c r="BI183" i="6"/>
  <c r="BI147" i="6"/>
  <c r="BI184" i="6"/>
  <c r="BI166" i="6"/>
  <c r="BI90" i="6"/>
  <c r="BI91" i="6"/>
  <c r="BI94" i="6"/>
  <c r="BI95" i="6" s="1"/>
  <c r="BJ30" i="6" l="1"/>
  <c r="BI96" i="6"/>
  <c r="BI109" i="6" s="1"/>
  <c r="BI110" i="6" s="1"/>
  <c r="BJ32" i="6" l="1"/>
  <c r="BK29" i="6" s="1"/>
  <c r="BJ31" i="6"/>
  <c r="BJ33" i="6" s="1"/>
  <c r="BJ21" i="6" l="1"/>
  <c r="BJ173" i="6"/>
  <c r="BJ190" i="6" s="1"/>
  <c r="BJ36" i="12"/>
  <c r="BJ39" i="12" s="1"/>
  <c r="BJ41" i="12" s="1"/>
  <c r="BJ42" i="12" s="1"/>
  <c r="BJ22" i="6" l="1"/>
  <c r="BJ132" i="6"/>
  <c r="BJ133" i="6" l="1"/>
  <c r="BJ9" i="13"/>
  <c r="BJ26" i="13" s="1"/>
  <c r="BJ182" i="6"/>
  <c r="BJ10" i="13"/>
  <c r="BJ20" i="13" s="1"/>
  <c r="BJ181" i="6"/>
  <c r="BJ69" i="6"/>
  <c r="BJ72" i="6" s="1"/>
  <c r="BJ99" i="6"/>
  <c r="BJ104" i="6" s="1"/>
  <c r="BJ106" i="6" s="1"/>
  <c r="BJ107" i="6" s="1"/>
  <c r="BJ159" i="6"/>
  <c r="BJ21" i="13" l="1"/>
  <c r="BJ27" i="13"/>
  <c r="BJ28" i="13" s="1"/>
  <c r="BJ58" i="12"/>
  <c r="BJ140" i="6"/>
  <c r="BK19" i="13" l="1"/>
  <c r="BJ37" i="13"/>
  <c r="BJ22" i="13"/>
  <c r="BJ29" i="13" s="1"/>
  <c r="BJ60" i="12"/>
  <c r="BJ59" i="12"/>
  <c r="BJ61" i="6" l="1"/>
  <c r="BJ30" i="13"/>
  <c r="BJ33" i="13"/>
  <c r="BJ61" i="12"/>
  <c r="BJ81" i="6"/>
  <c r="BJ82" i="6" s="1"/>
  <c r="BJ83" i="6" s="1"/>
  <c r="BJ85" i="6" s="1"/>
  <c r="BJ38" i="13" l="1"/>
  <c r="BK25" i="13"/>
  <c r="BK31" i="13"/>
  <c r="BJ51" i="6"/>
  <c r="BK57" i="12"/>
  <c r="BJ53" i="6"/>
  <c r="BJ38" i="6"/>
  <c r="BK84" i="6"/>
  <c r="BJ54" i="6" l="1"/>
  <c r="BJ39" i="13"/>
  <c r="BJ62" i="6"/>
  <c r="BJ63" i="6" s="1"/>
  <c r="BK32" i="13"/>
  <c r="BK62" i="12"/>
  <c r="BK19" i="6" s="1"/>
  <c r="BJ189" i="6"/>
  <c r="BJ144" i="6"/>
  <c r="BJ42" i="6"/>
  <c r="BJ188" i="6"/>
  <c r="BJ58" i="6" l="1"/>
  <c r="BJ64" i="6" s="1"/>
  <c r="BJ139" i="6"/>
  <c r="BJ142" i="6"/>
  <c r="BJ162" i="6"/>
  <c r="BJ89" i="6"/>
  <c r="BJ148" i="6"/>
  <c r="BJ161" i="6"/>
  <c r="BJ186" i="6"/>
  <c r="BK80" i="6"/>
  <c r="BK111" i="6"/>
  <c r="BK20" i="6"/>
  <c r="BK130" i="6"/>
  <c r="BJ46" i="6"/>
  <c r="BJ150" i="6" s="1"/>
  <c r="BJ141" i="6"/>
  <c r="BJ151" i="6" l="1"/>
  <c r="BJ187" i="6"/>
  <c r="BJ185" i="6"/>
  <c r="BJ91" i="6"/>
  <c r="BJ94" i="6"/>
  <c r="BJ95" i="6" s="1"/>
  <c r="BJ90" i="6"/>
  <c r="BK28" i="6"/>
  <c r="BK131" i="6"/>
  <c r="BJ149" i="6"/>
  <c r="BJ183" i="6"/>
  <c r="BJ160" i="6"/>
  <c r="BJ184" i="6"/>
  <c r="BJ147" i="6"/>
  <c r="BJ65" i="6"/>
  <c r="BJ166" i="6"/>
  <c r="BJ96" i="6" l="1"/>
  <c r="BJ109" i="6" s="1"/>
  <c r="BJ110" i="6" s="1"/>
  <c r="BK30" i="6"/>
  <c r="BK32" i="6" l="1"/>
  <c r="BL29" i="6" s="1"/>
  <c r="BK31" i="6"/>
  <c r="BK33" i="6" s="1"/>
  <c r="BK173" i="6" l="1"/>
  <c r="BK190" i="6" s="1"/>
  <c r="BK21" i="6"/>
  <c r="BK36" i="12"/>
  <c r="BK39" i="12" s="1"/>
  <c r="BK41" i="12" s="1"/>
  <c r="BK42" i="12" s="1"/>
  <c r="BK22" i="6" l="1"/>
  <c r="BK132" i="6"/>
  <c r="BK69" i="6" l="1"/>
  <c r="BK72" i="6" s="1"/>
  <c r="BK159" i="6"/>
  <c r="BK99" i="6"/>
  <c r="BK104" i="6" s="1"/>
  <c r="BK106" i="6" s="1"/>
  <c r="BK107" i="6" s="1"/>
  <c r="BK133" i="6"/>
  <c r="BK10" i="13"/>
  <c r="BK20" i="13" s="1"/>
  <c r="BK182" i="6"/>
  <c r="BK9" i="13"/>
  <c r="BK26" i="13" s="1"/>
  <c r="BK181" i="6"/>
  <c r="BK58" i="12" l="1"/>
  <c r="BK140" i="6"/>
  <c r="BK21" i="13"/>
  <c r="BK27" i="13"/>
  <c r="BK28" i="13" s="1"/>
  <c r="BK59" i="12" l="1"/>
  <c r="BK60" i="12"/>
  <c r="BK37" i="13"/>
  <c r="BL19" i="13"/>
  <c r="BK22" i="13"/>
  <c r="BK29" i="13" s="1"/>
  <c r="BK61" i="12" l="1"/>
  <c r="BK81" i="6"/>
  <c r="BK82" i="6" s="1"/>
  <c r="BK83" i="6" s="1"/>
  <c r="BK85" i="6" s="1"/>
  <c r="BK61" i="6"/>
  <c r="BK30" i="13"/>
  <c r="BK33" i="13"/>
  <c r="BL57" i="12" l="1"/>
  <c r="BK53" i="6"/>
  <c r="BK38" i="6"/>
  <c r="BL84" i="6"/>
  <c r="BK38" i="13"/>
  <c r="BL25" i="13"/>
  <c r="BK51" i="6"/>
  <c r="BL31" i="13"/>
  <c r="BL62" i="12" l="1"/>
  <c r="BL19" i="6" s="1"/>
  <c r="BK188" i="6"/>
  <c r="BK144" i="6"/>
  <c r="BK189" i="6"/>
  <c r="BK42" i="6"/>
  <c r="BK39" i="13"/>
  <c r="BK62" i="6"/>
  <c r="BK63" i="6" s="1"/>
  <c r="BL32" i="13"/>
  <c r="BK54" i="6"/>
  <c r="BL130" i="6" l="1"/>
  <c r="BL20" i="6"/>
  <c r="BK141" i="6"/>
  <c r="BK46" i="6"/>
  <c r="BK150" i="6" s="1"/>
  <c r="BK148" i="6"/>
  <c r="BK161" i="6"/>
  <c r="BK186" i="6"/>
  <c r="BK89" i="6"/>
  <c r="BK162" i="6"/>
  <c r="BL111" i="6"/>
  <c r="BL80" i="6"/>
  <c r="BK58" i="6"/>
  <c r="BK142" i="6"/>
  <c r="BK139" i="6"/>
  <c r="BL28" i="6" l="1"/>
  <c r="BL131" i="6"/>
  <c r="BK160" i="6"/>
  <c r="BK183" i="6"/>
  <c r="BK147" i="6"/>
  <c r="BK166" i="6"/>
  <c r="BK184" i="6"/>
  <c r="BK90" i="6"/>
  <c r="BK91" i="6"/>
  <c r="BK94" i="6"/>
  <c r="BK95" i="6" s="1"/>
  <c r="BK149" i="6"/>
  <c r="BK64" i="6"/>
  <c r="BK65" i="6" s="1"/>
  <c r="BK151" i="6"/>
  <c r="BK187" i="6"/>
  <c r="BK185" i="6"/>
  <c r="BL30" i="6" l="1"/>
  <c r="BK96" i="6"/>
  <c r="BK109" i="6" s="1"/>
  <c r="BK110" i="6" s="1"/>
  <c r="BL32" i="6" l="1"/>
  <c r="BM29" i="6" s="1"/>
  <c r="BL31" i="6"/>
  <c r="BL33" i="6" s="1"/>
  <c r="BL21" i="6" l="1"/>
  <c r="BL36" i="12"/>
  <c r="BL39" i="12" s="1"/>
  <c r="BL41" i="12" s="1"/>
  <c r="BL42" i="12" s="1"/>
  <c r="BL173" i="6"/>
  <c r="BL190" i="6" s="1"/>
  <c r="BL22" i="6" l="1"/>
  <c r="BL132" i="6"/>
  <c r="BL133" i="6" l="1"/>
  <c r="BL159" i="6"/>
  <c r="BL181" i="6"/>
  <c r="BL10" i="13"/>
  <c r="BL20" i="13" s="1"/>
  <c r="BL69" i="6"/>
  <c r="BL72" i="6" s="1"/>
  <c r="BL99" i="6"/>
  <c r="BL104" i="6" s="1"/>
  <c r="BL106" i="6" s="1"/>
  <c r="BL107" i="6" s="1"/>
  <c r="BL182" i="6"/>
  <c r="BL9" i="13"/>
  <c r="BL26" i="13" s="1"/>
  <c r="BL21" i="13" l="1"/>
  <c r="BL27" i="13"/>
  <c r="BL28" i="13" s="1"/>
  <c r="BL58" i="12"/>
  <c r="BL140" i="6"/>
  <c r="BL37" i="13" l="1"/>
  <c r="BL22" i="13"/>
  <c r="BL29" i="13" s="1"/>
  <c r="BM19" i="13"/>
  <c r="BL59" i="12"/>
  <c r="BL60" i="12"/>
  <c r="BL61" i="6" l="1"/>
  <c r="BL30" i="13"/>
  <c r="BL33" i="13"/>
  <c r="BL61" i="12"/>
  <c r="BL81" i="6"/>
  <c r="BL82" i="6" s="1"/>
  <c r="BL83" i="6" s="1"/>
  <c r="BL85" i="6" s="1"/>
  <c r="BM25" i="13" l="1"/>
  <c r="BL38" i="13"/>
  <c r="BM31" i="13"/>
  <c r="BL51" i="6"/>
  <c r="BM57" i="12"/>
  <c r="BL53" i="6"/>
  <c r="BL38" i="6"/>
  <c r="BM84" i="6"/>
  <c r="BL39" i="13" l="1"/>
  <c r="BL62" i="6"/>
  <c r="BL63" i="6" s="1"/>
  <c r="BM32" i="13"/>
  <c r="BM62" i="12"/>
  <c r="BM19" i="6" s="1"/>
  <c r="BL189" i="6"/>
  <c r="BL144" i="6"/>
  <c r="BL42" i="6"/>
  <c r="BL188" i="6"/>
  <c r="BL54" i="6"/>
  <c r="BL186" i="6" l="1"/>
  <c r="BL148" i="6"/>
  <c r="BL161" i="6"/>
  <c r="BL89" i="6"/>
  <c r="BL162" i="6"/>
  <c r="BM80" i="6"/>
  <c r="BM111" i="6"/>
  <c r="BM20" i="6"/>
  <c r="BM130" i="6"/>
  <c r="BL46" i="6"/>
  <c r="BL150" i="6" s="1"/>
  <c r="BL141" i="6"/>
  <c r="BL58" i="6"/>
  <c r="BL142" i="6"/>
  <c r="BL139" i="6"/>
  <c r="BL94" i="6" l="1"/>
  <c r="BL95" i="6" s="1"/>
  <c r="BL91" i="6"/>
  <c r="BL90" i="6"/>
  <c r="BM28" i="6"/>
  <c r="BM131" i="6"/>
  <c r="BL160" i="6"/>
  <c r="BL183" i="6"/>
  <c r="BL184" i="6"/>
  <c r="BL166" i="6"/>
  <c r="BL147" i="6"/>
  <c r="BL149" i="6"/>
  <c r="BL187" i="6"/>
  <c r="BL64" i="6"/>
  <c r="BL65" i="6" s="1"/>
  <c r="BL151" i="6"/>
  <c r="BL185" i="6"/>
  <c r="BM30" i="6" l="1"/>
  <c r="BL96" i="6"/>
  <c r="BL109" i="6" s="1"/>
  <c r="BL110" i="6" s="1"/>
  <c r="BM32" i="6" l="1"/>
  <c r="BN29" i="6" s="1"/>
  <c r="BM31" i="6"/>
  <c r="BM33" i="6" s="1"/>
  <c r="BM173" i="6" l="1"/>
  <c r="BM190" i="6" s="1"/>
  <c r="BM36" i="12"/>
  <c r="BM39" i="12" s="1"/>
  <c r="BM41" i="12" s="1"/>
  <c r="BM42" i="12" s="1"/>
  <c r="BM21" i="6"/>
  <c r="BM22" i="6" l="1"/>
  <c r="BM132" i="6"/>
  <c r="BM9" i="13" l="1"/>
  <c r="BM26" i="13" s="1"/>
  <c r="BM182" i="6"/>
  <c r="BM159" i="6"/>
  <c r="BM133" i="6"/>
  <c r="BM181" i="6"/>
  <c r="BM10" i="13"/>
  <c r="BM20" i="13" s="1"/>
  <c r="BM69" i="6"/>
  <c r="BM72" i="6" s="1"/>
  <c r="BM99" i="6"/>
  <c r="BM104" i="6" s="1"/>
  <c r="BM106" i="6" s="1"/>
  <c r="BM107" i="6" s="1"/>
  <c r="C10" i="15"/>
  <c r="BM21" i="13" l="1"/>
  <c r="BM27" i="13"/>
  <c r="BM28" i="13" s="1"/>
  <c r="BM58" i="12"/>
  <c r="BM140" i="6"/>
  <c r="BM22" i="13" l="1"/>
  <c r="BM29" i="13" s="1"/>
  <c r="BM37" i="13"/>
  <c r="BN19" i="13"/>
  <c r="BM59" i="12"/>
  <c r="BM60" i="12"/>
  <c r="BM30" i="13" l="1"/>
  <c r="BM33" i="13"/>
  <c r="BM61" i="6"/>
  <c r="BM61" i="12"/>
  <c r="BM81" i="6"/>
  <c r="BM82" i="6" s="1"/>
  <c r="BM83" i="6" s="1"/>
  <c r="BM85" i="6" s="1"/>
  <c r="BM38" i="13" l="1"/>
  <c r="BN25" i="13"/>
  <c r="BN31" i="13"/>
  <c r="BM51" i="6"/>
  <c r="BN57" i="12"/>
  <c r="BM53" i="6"/>
  <c r="BM38" i="6"/>
  <c r="BN84" i="6"/>
  <c r="BM39" i="13" l="1"/>
  <c r="BM62" i="6"/>
  <c r="BM63" i="6" s="1"/>
  <c r="BN32" i="13"/>
  <c r="BN62" i="12"/>
  <c r="BN19" i="6" s="1"/>
  <c r="BM188" i="6"/>
  <c r="BM144" i="6"/>
  <c r="BM42" i="6"/>
  <c r="BM189" i="6"/>
  <c r="BM54" i="6"/>
  <c r="BM162" i="6" l="1"/>
  <c r="BM89" i="6"/>
  <c r="BM186" i="6"/>
  <c r="BM161" i="6"/>
  <c r="BM148" i="6"/>
  <c r="BN80" i="6"/>
  <c r="BN111" i="6"/>
  <c r="BN130" i="6"/>
  <c r="BN20" i="6"/>
  <c r="BM46" i="6"/>
  <c r="BM150" i="6" s="1"/>
  <c r="BM141" i="6"/>
  <c r="BM58" i="6"/>
  <c r="BM142" i="6"/>
  <c r="BM139" i="6"/>
  <c r="BM90" i="6" l="1"/>
  <c r="BM91" i="6"/>
  <c r="BM94" i="6"/>
  <c r="BM95" i="6" s="1"/>
  <c r="BN28" i="6"/>
  <c r="BN131" i="6"/>
  <c r="BM183" i="6"/>
  <c r="BM160" i="6"/>
  <c r="BM147" i="6"/>
  <c r="BM184" i="6"/>
  <c r="BM166" i="6"/>
  <c r="BM149" i="6"/>
  <c r="BM187" i="6"/>
  <c r="BM64" i="6"/>
  <c r="BM65" i="6" s="1"/>
  <c r="BM151" i="6"/>
  <c r="BM185" i="6"/>
  <c r="BM96" i="6" l="1"/>
  <c r="BM109" i="6" s="1"/>
  <c r="BM110" i="6" s="1"/>
  <c r="BN30" i="6"/>
  <c r="BN32" i="6" l="1"/>
  <c r="BO29" i="6" s="1"/>
  <c r="BN31" i="6"/>
  <c r="BN33" i="6" s="1"/>
  <c r="BN173" i="6" l="1"/>
  <c r="BN190" i="6" s="1"/>
  <c r="BN21" i="6"/>
  <c r="BN36" i="12"/>
  <c r="BN39" i="12" s="1"/>
  <c r="BN41" i="12" s="1"/>
  <c r="BN42" i="12" s="1"/>
  <c r="BN22" i="6" l="1"/>
  <c r="BN69" i="6" s="1"/>
  <c r="BN72" i="6" s="1"/>
  <c r="BN132" i="6"/>
  <c r="BN9" i="13" l="1"/>
  <c r="BN26" i="13" s="1"/>
  <c r="BN182" i="6"/>
  <c r="BN159" i="6"/>
  <c r="BN10" i="13"/>
  <c r="BN20" i="13" s="1"/>
  <c r="BN133" i="6"/>
  <c r="BN181" i="6"/>
  <c r="BN99" i="6"/>
  <c r="BN104" i="6" s="1"/>
  <c r="BN106" i="6" s="1"/>
  <c r="BN107" i="6" s="1"/>
  <c r="BN58" i="12"/>
  <c r="BN140" i="6"/>
  <c r="BN21" i="13" l="1"/>
  <c r="BN27" i="13"/>
  <c r="BN28" i="13" s="1"/>
  <c r="BN60" i="12"/>
  <c r="BN59" i="12"/>
  <c r="BN22" i="13" l="1"/>
  <c r="BN29" i="13" s="1"/>
  <c r="BO19" i="13"/>
  <c r="BN37" i="13"/>
  <c r="BN61" i="6" s="1"/>
  <c r="BN61" i="12"/>
  <c r="BN81" i="6"/>
  <c r="BN82" i="6" s="1"/>
  <c r="BN83" i="6" s="1"/>
  <c r="BN85" i="6" s="1"/>
  <c r="BN33" i="13" l="1"/>
  <c r="BN30" i="13"/>
  <c r="BO57" i="12"/>
  <c r="BN53" i="6"/>
  <c r="BN38" i="6"/>
  <c r="BO84" i="6"/>
  <c r="BO31" i="13" l="1"/>
  <c r="BO32" i="13" s="1"/>
  <c r="BN51" i="6"/>
  <c r="BN54" i="6" s="1"/>
  <c r="BO25" i="13"/>
  <c r="BN38" i="13"/>
  <c r="BO62" i="12"/>
  <c r="BO19" i="6" s="1"/>
  <c r="BN189" i="6"/>
  <c r="BN144" i="6"/>
  <c r="BN188" i="6"/>
  <c r="BN42" i="6"/>
  <c r="BN39" i="13" l="1"/>
  <c r="BN62" i="6"/>
  <c r="BN63" i="6" s="1"/>
  <c r="BO20" i="6"/>
  <c r="BO130" i="6"/>
  <c r="BN141" i="6"/>
  <c r="BN46" i="6"/>
  <c r="BO80" i="6"/>
  <c r="BN58" i="6"/>
  <c r="BN142" i="6"/>
  <c r="BN139" i="6"/>
  <c r="BN150" i="6" l="1"/>
  <c r="BN162" i="6"/>
  <c r="BN89" i="6"/>
  <c r="BN161" i="6"/>
  <c r="BN148" i="6"/>
  <c r="BN186" i="6"/>
  <c r="BO28" i="6"/>
  <c r="BO131" i="6"/>
  <c r="BN183" i="6"/>
  <c r="BN160" i="6"/>
  <c r="BN184" i="6"/>
  <c r="BN166" i="6"/>
  <c r="BN147" i="6"/>
  <c r="BN149" i="6"/>
  <c r="BN64" i="6"/>
  <c r="BN65" i="6" s="1"/>
  <c r="BN187" i="6"/>
  <c r="BN151" i="6"/>
  <c r="BN185" i="6"/>
  <c r="BN90" i="6" l="1"/>
  <c r="BN94" i="6"/>
  <c r="BN95" i="6" s="1"/>
  <c r="BN91" i="6"/>
  <c r="BO30" i="6"/>
  <c r="BN96" i="6" l="1"/>
  <c r="BN109" i="6" s="1"/>
  <c r="BN110" i="6" s="1"/>
  <c r="BO32" i="6"/>
  <c r="BO31" i="6"/>
  <c r="BO33" i="6" s="1"/>
  <c r="BO21" i="6" l="1"/>
  <c r="BO173" i="6"/>
  <c r="BO190" i="6" s="1"/>
  <c r="BO36" i="12"/>
  <c r="BO39" i="12" s="1"/>
  <c r="BO41" i="12" s="1"/>
  <c r="BO42" i="12" s="1"/>
  <c r="BO22" i="6" l="1"/>
  <c r="BO132" i="6"/>
  <c r="D10" i="15" l="1"/>
  <c r="BO10" i="13"/>
  <c r="BO20" i="13" s="1"/>
  <c r="BO181" i="6"/>
  <c r="BO182" i="6"/>
  <c r="BO159" i="6"/>
  <c r="BO133" i="6"/>
  <c r="BO99" i="6"/>
  <c r="BO104" i="6" s="1"/>
  <c r="BO9" i="13"/>
  <c r="BO26" i="13" s="1"/>
  <c r="BO69" i="6"/>
  <c r="BO72" i="6" s="1"/>
  <c r="BO21" i="13" l="1"/>
  <c r="BO27" i="13"/>
  <c r="BO28" i="13" s="1"/>
  <c r="BO58" i="12"/>
  <c r="BO140" i="6"/>
  <c r="BO37" i="13" l="1"/>
  <c r="BO22" i="13"/>
  <c r="BO29" i="13" s="1"/>
  <c r="BO59" i="12"/>
  <c r="BO60" i="12"/>
  <c r="BO61" i="6" l="1"/>
  <c r="BO30" i="13"/>
  <c r="BO38" i="13" s="1"/>
  <c r="BO33" i="13"/>
  <c r="BO51" i="6" s="1"/>
  <c r="BO61" i="12"/>
  <c r="BO53" i="6" s="1"/>
  <c r="BO81" i="6"/>
  <c r="BO82" i="6" s="1"/>
  <c r="BO83" i="6" s="1"/>
  <c r="BO85" i="6" s="1"/>
  <c r="BO38" i="6" s="1"/>
  <c r="BO189" i="6" l="1"/>
  <c r="BO188" i="6"/>
  <c r="BO144" i="6"/>
  <c r="BO42" i="6"/>
  <c r="BO54" i="6"/>
  <c r="BO62" i="6"/>
  <c r="BO63" i="6" s="1"/>
  <c r="BO39" i="13"/>
  <c r="BO141" i="6" l="1"/>
  <c r="BO46" i="6"/>
  <c r="BO150" i="6" s="1"/>
  <c r="BO162" i="6"/>
  <c r="BO89" i="6"/>
  <c r="BO111" i="6"/>
  <c r="E117" i="6" s="1"/>
  <c r="BO161" i="6"/>
  <c r="BO148" i="6"/>
  <c r="BO186" i="6"/>
  <c r="BO58" i="6"/>
  <c r="BO142" i="6"/>
  <c r="BO139" i="6"/>
  <c r="BO160" i="6" l="1"/>
  <c r="BO183" i="6"/>
  <c r="BO147" i="6"/>
  <c r="BO184" i="6"/>
  <c r="BO166" i="6"/>
  <c r="BO94" i="6"/>
  <c r="BO95" i="6" s="1"/>
  <c r="BO91" i="6"/>
  <c r="BO90" i="6"/>
  <c r="D13" i="15"/>
  <c r="C13" i="15"/>
  <c r="BO185" i="6"/>
  <c r="BO151" i="6"/>
  <c r="BO64" i="6"/>
  <c r="BO65" i="6" s="1"/>
  <c r="BO187" i="6"/>
  <c r="BO149" i="6"/>
  <c r="BO96" i="6" l="1"/>
  <c r="BO109" i="6" l="1"/>
  <c r="BO105" i="6"/>
  <c r="BO106" i="6" s="1"/>
  <c r="BO110" i="6" l="1"/>
  <c r="E113" i="6" s="1"/>
  <c r="E116" i="6"/>
  <c r="BO107" i="6"/>
  <c r="E118" i="6" s="1" a="1"/>
  <c r="E115" i="6" l="1"/>
  <c r="C11" i="15"/>
  <c r="D11" i="15"/>
  <c r="D12" i="15"/>
  <c r="C12" i="15"/>
  <c r="C14" i="15"/>
  <c r="D14" i="15"/>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<sst xmlns="http://schemas.openxmlformats.org/spreadsheetml/2006/main" count="2797" uniqueCount="1824">
  <si>
    <t>Accounts receivable</t>
  </si>
  <si>
    <t>Accounts payable</t>
  </si>
  <si>
    <t>Corporate income tax</t>
  </si>
  <si>
    <t>Total designed capacity</t>
  </si>
  <si>
    <t>WACC</t>
  </si>
  <si>
    <t>Unit</t>
  </si>
  <si>
    <t>days</t>
  </si>
  <si>
    <t>%</t>
  </si>
  <si>
    <t>Total revenue</t>
  </si>
  <si>
    <t>EBITDA</t>
  </si>
  <si>
    <t>EBITDA margin</t>
  </si>
  <si>
    <t>Capital expenditure</t>
  </si>
  <si>
    <t>Item</t>
  </si>
  <si>
    <t>THB</t>
  </si>
  <si>
    <t>Contingency</t>
  </si>
  <si>
    <t>Working capital</t>
  </si>
  <si>
    <t>Year</t>
  </si>
  <si>
    <t>Opening balance</t>
  </si>
  <si>
    <t>Closing balance</t>
  </si>
  <si>
    <t>Net working capital</t>
  </si>
  <si>
    <t>Cost of goods sold</t>
  </si>
  <si>
    <t>Gross profit</t>
  </si>
  <si>
    <t>Financial expenses</t>
  </si>
  <si>
    <t>Net profit</t>
  </si>
  <si>
    <t>Equity cash flow</t>
  </si>
  <si>
    <t>Retained earnings</t>
  </si>
  <si>
    <t>Free cash flow to firm</t>
  </si>
  <si>
    <t>Project IRR</t>
  </si>
  <si>
    <t>Equity IRR</t>
  </si>
  <si>
    <t>Minimum DSCR</t>
  </si>
  <si>
    <t>01 Major Assumptions</t>
  </si>
  <si>
    <t>Timeline &amp; period grid</t>
  </si>
  <si>
    <t>Construction start date</t>
  </si>
  <si>
    <t>Monthly detail — operating months</t>
  </si>
  <si>
    <t>Annual periods</t>
  </si>
  <si>
    <t>Phase</t>
  </si>
  <si>
    <t>Period end date</t>
  </si>
  <si>
    <t>Period label</t>
  </si>
  <si>
    <t>Days in period</t>
  </si>
  <si>
    <t>Months in period</t>
  </si>
  <si>
    <t>Operating flag</t>
  </si>
  <si>
    <t>Operating month index</t>
  </si>
  <si>
    <t>Operating year index</t>
  </si>
  <si>
    <t>date</t>
  </si>
  <si>
    <t>months</t>
  </si>
  <si>
    <t>years</t>
  </si>
  <si>
    <t>FX &amp; macro assumptions</t>
  </si>
  <si>
    <t>Feedstock &amp; capacity</t>
  </si>
  <si>
    <t>Product yields (% of waste tyre feed)</t>
  </si>
  <si>
    <t>rCB downstream conversion</t>
  </si>
  <si>
    <t>FX rate — spot at model date</t>
  </si>
  <si>
    <t>THB/USD</t>
  </si>
  <si>
    <t>FX — annual drift</t>
  </si>
  <si>
    <t>% p.a.</t>
  </si>
  <si>
    <t>FX rate applied</t>
  </si>
  <si>
    <t>Core inflation (CPI)</t>
  </si>
  <si>
    <t>Equipment &amp; material escalation</t>
  </si>
  <si>
    <t>Salary &amp; wage escalation</t>
  </si>
  <si>
    <t>Utility tariff escalation</t>
  </si>
  <si>
    <t>Number of pyrolysis lines</t>
  </si>
  <si>
    <t>lines</t>
  </si>
  <si>
    <t>Feed capacity per line</t>
  </si>
  <si>
    <t>t/day/line</t>
  </si>
  <si>
    <t>Total feed capacity</t>
  </si>
  <si>
    <t>t/day</t>
  </si>
  <si>
    <t>Production days per year</t>
  </si>
  <si>
    <t>days/yr</t>
  </si>
  <si>
    <t>Annual feed capacity at 100%</t>
  </si>
  <si>
    <t>t/yr</t>
  </si>
  <si>
    <t>Capacity utilisation — ramp</t>
  </si>
  <si>
    <t>THB/t</t>
  </si>
  <si>
    <t>Minimum waste tyre stock</t>
  </si>
  <si>
    <t>Pyrolysis oil (TPO)</t>
  </si>
  <si>
    <t>% of feed</t>
  </si>
  <si>
    <t>rCB — carbon black</t>
  </si>
  <si>
    <t>Wire steel</t>
  </si>
  <si>
    <t>Residual to allocate</t>
  </si>
  <si>
    <t>Pyrolysis gas (self-used)</t>
  </si>
  <si>
    <t>Sludge / residual oil</t>
  </si>
  <si>
    <t>Total yield check</t>
  </si>
  <si>
    <t>Share of rCB pelletised</t>
  </si>
  <si>
    <t>% of rCB</t>
  </si>
  <si>
    <t>Share of rCB sold as powder</t>
  </si>
  <si>
    <t>Pellet yield from powder</t>
  </si>
  <si>
    <t>Utility tariffs &amp; consumption</t>
  </si>
  <si>
    <t>Labour — headcount &amp; payroll</t>
  </si>
  <si>
    <t>rai</t>
  </si>
  <si>
    <t>Land rent — joint-venture rate</t>
  </si>
  <si>
    <t>THB/rai/month</t>
  </si>
  <si>
    <t>Escalation cycle</t>
  </si>
  <si>
    <t>Upfront leasehold fee</t>
  </si>
  <si>
    <t>% of contract</t>
  </si>
  <si>
    <t>Lease term</t>
  </si>
  <si>
    <t>THB / 3 years</t>
  </si>
  <si>
    <t>Common utilities fee</t>
  </si>
  <si>
    <t>Electricity tariff</t>
  </si>
  <si>
    <t>THB/kWh</t>
  </si>
  <si>
    <t>Electricity consumption</t>
  </si>
  <si>
    <t>kWh/t feed</t>
  </si>
  <si>
    <t>THB/m3</t>
  </si>
  <si>
    <t>m3/t feed</t>
  </si>
  <si>
    <t>Wastewater as % of intake</t>
  </si>
  <si>
    <t>THB/litre</t>
  </si>
  <si>
    <t>Diesel consumption</t>
  </si>
  <si>
    <t>litre/t feed</t>
  </si>
  <si>
    <t>Headcount</t>
  </si>
  <si>
    <t>THB/month</t>
  </si>
  <si>
    <t>Plant manager</t>
  </si>
  <si>
    <t>Production manager</t>
  </si>
  <si>
    <t>Shift supervisor</t>
  </si>
  <si>
    <t>Pyrolysis line operator</t>
  </si>
  <si>
    <t>Shredder &amp; feed operator</t>
  </si>
  <si>
    <t>rCB / pelletising operator</t>
  </si>
  <si>
    <t>Maintenance engineer</t>
  </si>
  <si>
    <t>Maintenance technician</t>
  </si>
  <si>
    <t>Electrical &amp; instrument technician</t>
  </si>
  <si>
    <t>QC / laboratory</t>
  </si>
  <si>
    <t>EHS officer</t>
  </si>
  <si>
    <t>Warehouse &amp; logistics</t>
  </si>
  <si>
    <t>Weighbridge &amp; security</t>
  </si>
  <si>
    <t>Procurement &amp; planning</t>
  </si>
  <si>
    <t>Finance &amp; accounting</t>
  </si>
  <si>
    <t>HR &amp; administration</t>
  </si>
  <si>
    <t>Total headcount &amp; base monthly payroll</t>
  </si>
  <si>
    <t>persons / THB per month</t>
  </si>
  <si>
    <t>Social security &amp; provident fund</t>
  </si>
  <si>
    <t>% of payroll</t>
  </si>
  <si>
    <t>Annual bonus</t>
  </si>
  <si>
    <t>Overtime &amp; shift allowance</t>
  </si>
  <si>
    <t>Maintenance &amp; consumables</t>
  </si>
  <si>
    <t>Other operating, selling &amp; administrative</t>
  </si>
  <si>
    <t>Debt facility</t>
  </si>
  <si>
    <t>Equity, reserve &amp; dividend policy</t>
  </si>
  <si>
    <t>Taxation</t>
  </si>
  <si>
    <t>Cost of capital inputs</t>
  </si>
  <si>
    <t>Depreciation &amp; amortisation lives</t>
  </si>
  <si>
    <t>Valuation &amp; model settings</t>
  </si>
  <si>
    <t>Plant maintenance — % of plant CAPEX p.a.</t>
  </si>
  <si>
    <t>Cutter &amp; grinding media</t>
  </si>
  <si>
    <t>THB/t feed</t>
  </si>
  <si>
    <t>Refractory &amp; major spares — % of plant CAPEX p.a.</t>
  </si>
  <si>
    <t>Packing material — rCB powder</t>
  </si>
  <si>
    <t>Packing material — rCB pellet</t>
  </si>
  <si>
    <t>Chemicals &amp; water treatment</t>
  </si>
  <si>
    <t>Laboratory &amp; testing</t>
  </si>
  <si>
    <t>Insurance — % of gross CAPEX p.a.</t>
  </si>
  <si>
    <t>Outbound logistics</t>
  </si>
  <si>
    <t>THB/t sold</t>
  </si>
  <si>
    <t>Selling commission</t>
  </si>
  <si>
    <t>% of sales</t>
  </si>
  <si>
    <t>Professional &amp; advisory fees</t>
  </si>
  <si>
    <t>IT, licences &amp; software</t>
  </si>
  <si>
    <t>Office &amp; administration</t>
  </si>
  <si>
    <t>Travel &amp; entertainment</t>
  </si>
  <si>
    <t>Certification — ISCC / ISO</t>
  </si>
  <si>
    <t>THB/yr</t>
  </si>
  <si>
    <t>Bank charges &amp; fees</t>
  </si>
  <si>
    <t>Accounts payable — raw material</t>
  </si>
  <si>
    <t>Accounts payable — other operating cost</t>
  </si>
  <si>
    <t>Raw material inventory</t>
  </si>
  <si>
    <t>Finished goods inventory</t>
  </si>
  <si>
    <t>Spare parts &amp; consumables inventory</t>
  </si>
  <si>
    <t>Other current assets — % of sales</t>
  </si>
  <si>
    <t>Other current liabilities — % of cash opex</t>
  </si>
  <si>
    <t>Minimum cash balance</t>
  </si>
  <si>
    <t>Gearing — debt % of total project cost</t>
  </si>
  <si>
    <t>Interest rate</t>
  </si>
  <si>
    <t>Grace period on principal</t>
  </si>
  <si>
    <t>year</t>
  </si>
  <si>
    <t>Repayment tenor after grace</t>
  </si>
  <si>
    <t>Repayments per year</t>
  </si>
  <si>
    <t>per year</t>
  </si>
  <si>
    <t>% of facility</t>
  </si>
  <si>
    <t>Commitment fee on undrawn amount</t>
  </si>
  <si>
    <t>Target DSCR covenant</t>
  </si>
  <si>
    <t>x</t>
  </si>
  <si>
    <t>Legal / profit reserve — % of registered capital</t>
  </si>
  <si>
    <t>Dividend payout after reserve is full</t>
  </si>
  <si>
    <t>% of net profit</t>
  </si>
  <si>
    <t>Dividend payment lag</t>
  </si>
  <si>
    <t>Corporate income tax rate</t>
  </si>
  <si>
    <t>BOI corporate tax holiday</t>
  </si>
  <si>
    <t>BOI holiday starts at operating year</t>
  </si>
  <si>
    <t>Tax loss carry-forward</t>
  </si>
  <si>
    <t>VAT rate</t>
  </si>
  <si>
    <t>Withholding tax on dividends</t>
  </si>
  <si>
    <t>Risk-free rate — Thai 10-yr government bond</t>
  </si>
  <si>
    <t>Equity risk premium</t>
  </si>
  <si>
    <t>Country / project risk premium</t>
  </si>
  <si>
    <t>Unlevered beta</t>
  </si>
  <si>
    <t>Terminal growth rate</t>
  </si>
  <si>
    <t>Land improvement &amp; site preparation</t>
  </si>
  <si>
    <t>Buildings &amp; civil works</t>
  </si>
  <si>
    <t>Pyrolysis plant &amp; machinery</t>
  </si>
  <si>
    <t>Condensing units</t>
  </si>
  <si>
    <t>Pelletising units</t>
  </si>
  <si>
    <t>Utility system</t>
  </si>
  <si>
    <t>Electrical, control &amp; instrumentation</t>
  </si>
  <si>
    <t>Vehicles &amp; mobile equipment</t>
  </si>
  <si>
    <t>Office equipment &amp; furniture</t>
  </si>
  <si>
    <t>Software</t>
  </si>
  <si>
    <t>Pre-operating expenses — amortisation</t>
  </si>
  <si>
    <t>Mid-period discount factor</t>
  </si>
  <si>
    <t>Salvage value — % of gross CAPEX</t>
  </si>
  <si>
    <t>Equity — % of total project cost</t>
  </si>
  <si>
    <t>Cost of debt (pre-tax)</t>
  </si>
  <si>
    <t>Upfront leasehold fee — amortisation</t>
  </si>
  <si>
    <t>Interest during construction — capitalised, over plant life</t>
  </si>
  <si>
    <t>Valuation date</t>
  </si>
  <si>
    <t>Note: WACC is computed by year on 00 Summary from the actual debt / equity balances</t>
  </si>
  <si>
    <t>Terminal value method</t>
  </si>
  <si>
    <t>Gordon growth</t>
  </si>
  <si>
    <t>A. Brent crude benchmark — EIA Short-Term Energy Outlook, July 2026</t>
  </si>
  <si>
    <t>Period</t>
  </si>
  <si>
    <t>USD/bbl</t>
  </si>
  <si>
    <t>2025 Q1</t>
  </si>
  <si>
    <t>2025 Q2</t>
  </si>
  <si>
    <t>2025 Q3</t>
  </si>
  <si>
    <t>2025 Q4</t>
  </si>
  <si>
    <t>2026 Q1</t>
  </si>
  <si>
    <t>2026 Q2</t>
  </si>
  <si>
    <t>2026 Q3</t>
  </si>
  <si>
    <t>2026 Q4</t>
  </si>
  <si>
    <t>2027 Q1</t>
  </si>
  <si>
    <t>2027 Q2</t>
  </si>
  <si>
    <t>2027 Q3</t>
  </si>
  <si>
    <t>2027 Q4</t>
  </si>
  <si>
    <t>Annual average — 2025 (actual)</t>
  </si>
  <si>
    <t>Annual average — 2026 (forecast)</t>
  </si>
  <si>
    <t>Annual average — 2027 (forecast)</t>
  </si>
  <si>
    <t>B. Long-run Brent path used in the model</t>
  </si>
  <si>
    <t>Long-run nominal escalation applied from 2028</t>
  </si>
  <si>
    <t>C. How TPO is priced — study of the pricing mechanism</t>
  </si>
  <si>
    <t>TPO density</t>
  </si>
  <si>
    <t>kg/litre</t>
  </si>
  <si>
    <t>Litres per barrel</t>
  </si>
  <si>
    <t>litre/bbl</t>
  </si>
  <si>
    <t>Barrels per tonne of TPO</t>
  </si>
  <si>
    <t>bbl/t</t>
  </si>
  <si>
    <t>USD/t</t>
  </si>
  <si>
    <t>Brent parity value</t>
  </si>
  <si>
    <t>Implied TPO ratio to Brent parity</t>
  </si>
  <si>
    <t>Implied discount / (premium) to Brent parity</t>
  </si>
  <si>
    <t>Pricing convention: TPO (tyre pyrolysis oil) is a residual fuel-grade product. Thai buyers quote it per litre; the model converts to THB per tonne using the density above.</t>
  </si>
  <si>
    <t>It is not a listed commodity, so it is priced off the crude / high-sulphur fuel oil complex less a quality discount for sulphur, ash, moisture and colour, plus a delivery premium for local drum or tanker supply.</t>
  </si>
  <si>
    <t>Brent parity value at 2026 average forecast</t>
  </si>
  <si>
    <t>D. Product price forecast by period</t>
  </si>
  <si>
    <t>Year index from construction start</t>
  </si>
  <si>
    <t>Brent crude — model path</t>
  </si>
  <si>
    <t>TPO Brent-parity price</t>
  </si>
  <si>
    <t>TPO ratio to Brent parity applied</t>
  </si>
  <si>
    <t>TPO — pyrolysis oil</t>
  </si>
  <si>
    <t>rCB powder</t>
  </si>
  <si>
    <t>rCB pellet</t>
  </si>
  <si>
    <t>Pyrolysis gas — internal transfer value</t>
  </si>
  <si>
    <t>Base price</t>
  </si>
  <si>
    <t>% of TPO price</t>
  </si>
  <si>
    <t>03 CAPEX &amp; Depreciation</t>
  </si>
  <si>
    <t>A. EPC — pyrolysis process equipment (power-block scope excluded)</t>
  </si>
  <si>
    <t>Scope %</t>
  </si>
  <si>
    <t>Base cost</t>
  </si>
  <si>
    <t>In-scope cost</t>
  </si>
  <si>
    <t>Tyre shredder — 2 pre-shredder, 4 fine shredder</t>
  </si>
  <si>
    <t>CNC machine for cutter grinding</t>
  </si>
  <si>
    <t>Flare stack &amp; thermal oxidiser</t>
  </si>
  <si>
    <t>Electrical system</t>
  </si>
  <si>
    <t>Control &amp; instrumentation system</t>
  </si>
  <si>
    <t>Balance of plant system</t>
  </si>
  <si>
    <t>Firefighting, air-conditioning &amp; ventilation</t>
  </si>
  <si>
    <t>Raw water pipeline &amp; pump house</t>
  </si>
  <si>
    <t>Raw water storage</t>
  </si>
  <si>
    <t>Water &amp; wastewater treatment plant</t>
  </si>
  <si>
    <t>Weighbridge &amp; weight scale</t>
  </si>
  <si>
    <t>Sub-total — pyrolysis process equipment</t>
  </si>
  <si>
    <t>Waste tyre bunker</t>
  </si>
  <si>
    <t>Warehouse</t>
  </si>
  <si>
    <t>Workshop</t>
  </si>
  <si>
    <t>Maintenance workshop</t>
  </si>
  <si>
    <t>Wastewater treatment tank</t>
  </si>
  <si>
    <t>Water clarify tank &amp; demineralised EDI tank</t>
  </si>
  <si>
    <t>Air compressor &amp; tank structure</t>
  </si>
  <si>
    <t>Transformer foundation</t>
  </si>
  <si>
    <t>Office building</t>
  </si>
  <si>
    <t>Truck scale</t>
  </si>
  <si>
    <t>Road &amp; car parking</t>
  </si>
  <si>
    <t>Fence</t>
  </si>
  <si>
    <t>Pyrolysis plant — civil works</t>
  </si>
  <si>
    <t>Civil indirect cost</t>
  </si>
  <si>
    <t>Sub-total — civil works &amp; buildings</t>
  </si>
  <si>
    <t>Engineering &amp; licence</t>
  </si>
  <si>
    <t>Erection &amp; commissioning</t>
  </si>
  <si>
    <t>Project management</t>
  </si>
  <si>
    <t>Construction all-risk insurance</t>
  </si>
  <si>
    <t>Sub-total — engineering, indirect &amp; contingency</t>
  </si>
  <si>
    <t>Feed capacity handled per condensing unit</t>
  </si>
  <si>
    <t>Condensing units required</t>
  </si>
  <si>
    <t>units</t>
  </si>
  <si>
    <t>USD</t>
  </si>
  <si>
    <t>Project management per unit</t>
  </si>
  <si>
    <t>Total condensing unit cost</t>
  </si>
  <si>
    <t>rCB pellet output at full capacity</t>
  </si>
  <si>
    <t>Rated capacity per pellet line</t>
  </si>
  <si>
    <t>Equipment cost per line</t>
  </si>
  <si>
    <t>Total cost per line</t>
  </si>
  <si>
    <t>Total pelletising unit cost</t>
  </si>
  <si>
    <t>Site preparation</t>
  </si>
  <si>
    <t>Front loader, backhoe &amp; forklift</t>
  </si>
  <si>
    <t>Consultant fees — owner's engineer, lender's engineer, legal</t>
  </si>
  <si>
    <t>Permits, licences &amp; environmental studies</t>
  </si>
  <si>
    <t>Pre-operating expenses</t>
  </si>
  <si>
    <t>Office equipment, furniture &amp; IT</t>
  </si>
  <si>
    <t>Sub-total — non-EPC / owner's cost</t>
  </si>
  <si>
    <t>Interest during construction</t>
  </si>
  <si>
    <t>Arrangement &amp; commitment fees capitalised</t>
  </si>
  <si>
    <t>EPC — pyrolysis process equipment</t>
  </si>
  <si>
    <t>EPC — civil works &amp; buildings</t>
  </si>
  <si>
    <t>EPC — engineering, indirect &amp; contingency</t>
  </si>
  <si>
    <t>Non-EPC / owner's cost</t>
  </si>
  <si>
    <t>Financing cost capitalised</t>
  </si>
  <si>
    <t>Total project cost (gross CAPEX)</t>
  </si>
  <si>
    <t>Check — total cost less sum of periods (must be nil)</t>
  </si>
  <si>
    <t>Life (years)</t>
  </si>
  <si>
    <t>Pyrolysis plant &amp; machinery (incl. allocated engineering &amp; indirect)</t>
  </si>
  <si>
    <t>Utility system — firefighting, HVAC, water &amp; wastewater</t>
  </si>
  <si>
    <t>Pre-operating expenses (amortised)</t>
  </si>
  <si>
    <t>Upfront leasehold fee &amp; section 106 permit (amortised)</t>
  </si>
  <si>
    <t>Interest during construction &amp; financing fees</t>
  </si>
  <si>
    <t>Total additions</t>
  </si>
  <si>
    <t>Check — additions less total project cost (must be nil)</t>
  </si>
  <si>
    <t>Total gross fixed assets</t>
  </si>
  <si>
    <t>Total depreciation &amp; amortisation</t>
  </si>
  <si>
    <t>Total accumulated depreciation</t>
  </si>
  <si>
    <t>Total net book value</t>
  </si>
  <si>
    <t>04 Operating Model</t>
  </si>
  <si>
    <t>Unit: tonnes and THB  |  Feedstock, yields, downstream conversion, sales volume and revenue — built line by line</t>
  </si>
  <si>
    <t>A. Designed capacity by pyrolysis line</t>
  </si>
  <si>
    <t>Line 01</t>
  </si>
  <si>
    <t>Line 02</t>
  </si>
  <si>
    <t>Line 03</t>
  </si>
  <si>
    <t>Line 04</t>
  </si>
  <si>
    <t>Line 05</t>
  </si>
  <si>
    <t>Line 06</t>
  </si>
  <si>
    <t>Line 07</t>
  </si>
  <si>
    <t>Line 08</t>
  </si>
  <si>
    <t>Line 09</t>
  </si>
  <si>
    <t>Line 10</t>
  </si>
  <si>
    <t>Line 11</t>
  </si>
  <si>
    <t>Line 12</t>
  </si>
  <si>
    <t>Line 13</t>
  </si>
  <si>
    <t>Line 14</t>
  </si>
  <si>
    <t>Line 15</t>
  </si>
  <si>
    <t>Line 16</t>
  </si>
  <si>
    <t>B. Production days, utilisation &amp; effective operating days</t>
  </si>
  <si>
    <t>Calendar days in period</t>
  </si>
  <si>
    <t>Scheduled production days</t>
  </si>
  <si>
    <t>Capacity utilisation</t>
  </si>
  <si>
    <t>Effective production days</t>
  </si>
  <si>
    <t>C. Feedstock consumption by line (tonnes)</t>
  </si>
  <si>
    <t>tonnes</t>
  </si>
  <si>
    <t>Total feedstock consumed</t>
  </si>
  <si>
    <t>D. Waste tyre procurement &amp; inventory</t>
  </si>
  <si>
    <t>Opening inventory</t>
  </si>
  <si>
    <t>Purchases</t>
  </si>
  <si>
    <t>Consumption</t>
  </si>
  <si>
    <t>Closing inventory</t>
  </si>
  <si>
    <t>Target closing inventory</t>
  </si>
  <si>
    <t>Raw material purchase cost</t>
  </si>
  <si>
    <t>E. Production yield by product (tonnes)</t>
  </si>
  <si>
    <t>Pyrolysis gas — self-consumed as process fuel</t>
  </si>
  <si>
    <t>Total output</t>
  </si>
  <si>
    <t>Yield check — output divided by feedstock</t>
  </si>
  <si>
    <t>F. rCB downstream conversion (tonnes)</t>
  </si>
  <si>
    <t>rCB powder produced</t>
  </si>
  <si>
    <t>rCB transferred to pelletising</t>
  </si>
  <si>
    <t>rCB pellet output</t>
  </si>
  <si>
    <t>Pelletising process loss</t>
  </si>
  <si>
    <t>rCB sold as powder</t>
  </si>
  <si>
    <t>Installed pelletising capacity</t>
  </si>
  <si>
    <t>Pelletising capacity utilisation</t>
  </si>
  <si>
    <t>G. Sales volume by product (tonnes)</t>
  </si>
  <si>
    <t>Total sales volume</t>
  </si>
  <si>
    <t>Output is assumed sold in the period produced; inventory timing is captured in working capital on 06 Debt &amp; WC</t>
  </si>
  <si>
    <t>H. Realised prices (THB per tonne — from 02 Oil Price Analysis)</t>
  </si>
  <si>
    <t>I. Revenue by product (THB)</t>
  </si>
  <si>
    <t>J. Memo — capacity, utilisation &amp; energy</t>
  </si>
  <si>
    <t>Annual feedstock capacity at 100% utilisation</t>
  </si>
  <si>
    <t>Achieved utilisation of designed capacity</t>
  </si>
  <si>
    <t>Feedstock processed per effective operating day</t>
  </si>
  <si>
    <t>Pyrolysis gas self-consumed</t>
  </si>
  <si>
    <t>Revenue per tonne of feedstock</t>
  </si>
  <si>
    <t>05 Opex by Ledger</t>
  </si>
  <si>
    <t>Unit: THB  |  Every cost line driven by a volume or headcount driver and an escalation index — no block allocations</t>
  </si>
  <si>
    <t>A. Direct materials &amp; consumables</t>
  </si>
  <si>
    <t>Raw material — waste tyres</t>
  </si>
  <si>
    <t>Waste &amp; ash disposal</t>
  </si>
  <si>
    <t>Sub-total — direct materials &amp; consumables</t>
  </si>
  <si>
    <t>B. Utilities</t>
  </si>
  <si>
    <t>kWh</t>
  </si>
  <si>
    <t>Electricity cost</t>
  </si>
  <si>
    <t>Clarified water intake</t>
  </si>
  <si>
    <t>m3</t>
  </si>
  <si>
    <t>Clarified water tariff</t>
  </si>
  <si>
    <t>Clarified water cost</t>
  </si>
  <si>
    <t>Wastewater volume</t>
  </si>
  <si>
    <t>Wastewater treatment tariff</t>
  </si>
  <si>
    <t>Wastewater treatment cost</t>
  </si>
  <si>
    <t>litres</t>
  </si>
  <si>
    <t>Diesel cost</t>
  </si>
  <si>
    <t>Sub-total — utilities</t>
  </si>
  <si>
    <t>C. Payroll by position</t>
  </si>
  <si>
    <t>Sub-total — production payroll</t>
  </si>
  <si>
    <t>Sub-total — administrative payroll</t>
  </si>
  <si>
    <t>Total payroll</t>
  </si>
  <si>
    <t>D. Maintenance &amp; technical services</t>
  </si>
  <si>
    <t>Gross plant &amp; equipment base</t>
  </si>
  <si>
    <t>Plant maintenance</t>
  </si>
  <si>
    <t>Refractory, spares &amp; wear parts</t>
  </si>
  <si>
    <t>Laboratory, testing &amp; quality control</t>
  </si>
  <si>
    <t>Sub-total — maintenance &amp; technical services</t>
  </si>
  <si>
    <t>Lease escalation index</t>
  </si>
  <si>
    <t>Land rent</t>
  </si>
  <si>
    <t>Sub-total — land lease &amp; permits</t>
  </si>
  <si>
    <t>F. Selling &amp; distribution</t>
  </si>
  <si>
    <t>Sub-total — selling &amp; distribution</t>
  </si>
  <si>
    <t>G. Administration &amp; general</t>
  </si>
  <si>
    <t>Insurance — property &amp; liability</t>
  </si>
  <si>
    <t>Sub-total — administration &amp; general</t>
  </si>
  <si>
    <t>H. Operating cost summary</t>
  </si>
  <si>
    <t>Cost of goods sold — cash</t>
  </si>
  <si>
    <t>Depreciation &amp; amortisation — production</t>
  </si>
  <si>
    <t>Total cost of goods sold</t>
  </si>
  <si>
    <t>Selling expenses</t>
  </si>
  <si>
    <t>Administrative expenses</t>
  </si>
  <si>
    <t>Depreciation &amp; amortisation — non-production</t>
  </si>
  <si>
    <t>Total selling, general &amp; administrative expenses</t>
  </si>
  <si>
    <t>Total operating cost</t>
  </si>
  <si>
    <t>Total cash operating cost (excluding depreciation &amp; amortisation)</t>
  </si>
  <si>
    <t>I. Unit cost &amp; margin analysis</t>
  </si>
  <si>
    <t>Unit cost per tonne sold</t>
  </si>
  <si>
    <t>Allocated cost of goods sold by product</t>
  </si>
  <si>
    <t>Unit cost by product</t>
  </si>
  <si>
    <t>Gross profit by product</t>
  </si>
  <si>
    <t>Gross margin by product</t>
  </si>
  <si>
    <t>Volume share by product (joint-cost allocation on mass basis)</t>
  </si>
  <si>
    <t>Unit: THB  |  Senior term loan 60% gearing, 7.00% p.a., 1-year grace on principal, 7-year amortisation thereafter</t>
  </si>
  <si>
    <t>A. Funding requirement &amp; sources</t>
  </si>
  <si>
    <t>Total project cost</t>
  </si>
  <si>
    <t>Debt share of project cost</t>
  </si>
  <si>
    <t>Equity share of project cost</t>
  </si>
  <si>
    <t>Debt drawdown</t>
  </si>
  <si>
    <t>Equity injection</t>
  </si>
  <si>
    <t>Cumulative debt drawn</t>
  </si>
  <si>
    <t>Cumulative equity injected</t>
  </si>
  <si>
    <t>B. Senior term loan facility</t>
  </si>
  <si>
    <t>Drawdown — financing cost capitalised</t>
  </si>
  <si>
    <t>Interest accrued</t>
  </si>
  <si>
    <t xml:space="preserve">  of which capitalised during construction</t>
  </si>
  <si>
    <t xml:space="preserve">  of which charged to profit and loss</t>
  </si>
  <si>
    <t>Principal outstanding at start of amortisation</t>
  </si>
  <si>
    <t>Repayment period flag</t>
  </si>
  <si>
    <t>0/1</t>
  </si>
  <si>
    <t>Principal repayment</t>
  </si>
  <si>
    <t>Current portion of long-term loan</t>
  </si>
  <si>
    <t>Long-term portion</t>
  </si>
  <si>
    <t>D. Working capital</t>
  </si>
  <si>
    <t>Inventory — raw material (waste tyres)</t>
  </si>
  <si>
    <t>Inventory — finished goods</t>
  </si>
  <si>
    <t>Inventory — spare parts &amp; consumables</t>
  </si>
  <si>
    <t>Other current assets</t>
  </si>
  <si>
    <t>Other current liabilities</t>
  </si>
  <si>
    <t>Change in net working capital</t>
  </si>
  <si>
    <t>Income Statement</t>
  </si>
  <si>
    <t>Revenues</t>
  </si>
  <si>
    <t>Sales</t>
  </si>
  <si>
    <t>Other revenues</t>
  </si>
  <si>
    <t>Selling, general &amp; administrative expenses</t>
  </si>
  <si>
    <t>Operating profit</t>
  </si>
  <si>
    <t>Profit before tax</t>
  </si>
  <si>
    <t>Depreciation &amp; amortisation</t>
  </si>
  <si>
    <t>BOI corporate income tax holiday in force</t>
  </si>
  <si>
    <t>Tax loss carried forward — opening</t>
  </si>
  <si>
    <t>Taxable profit after loss relief</t>
  </si>
  <si>
    <t>Tax loss carried forward — closing</t>
  </si>
  <si>
    <t>Corporate income tax charge</t>
  </si>
  <si>
    <t>Unit: THB  |  Profit is appropriated to the legal reserve until the reserve reaches 10% of paid-up capital, thereafter 50% of net profit is distributed with a one-year payment lag</t>
  </si>
  <si>
    <t>A. Operating-year profit measurement</t>
  </si>
  <si>
    <t>Operating year-end flag</t>
  </si>
  <si>
    <t>Net profit for the period</t>
  </si>
  <si>
    <t>Net profit for the operating year</t>
  </si>
  <si>
    <t>B. Share capital</t>
  </si>
  <si>
    <t>Equity injection in period</t>
  </si>
  <si>
    <t>Paid-up capital — opening</t>
  </si>
  <si>
    <t>Paid-up capital — closing</t>
  </si>
  <si>
    <t>C. Legal / profit reserve</t>
  </si>
  <si>
    <t>Reserve requirement</t>
  </si>
  <si>
    <t>Reserve — opening</t>
  </si>
  <si>
    <t>Transfer to reserve</t>
  </si>
  <si>
    <t>Reserve — closing</t>
  </si>
  <si>
    <t>Reserve fully funded</t>
  </si>
  <si>
    <t>D. Retained earnings &amp; dividends</t>
  </si>
  <si>
    <t>Retained earnings — opening</t>
  </si>
  <si>
    <t>Transfer to legal reserve</t>
  </si>
  <si>
    <t>Retained earnings before distribution</t>
  </si>
  <si>
    <t>Dividend declared</t>
  </si>
  <si>
    <t>Retained earnings — closing</t>
  </si>
  <si>
    <t>Dividend payable — opening</t>
  </si>
  <si>
    <t>Dividend paid</t>
  </si>
  <si>
    <t>Dividend payable — closing</t>
  </si>
  <si>
    <t>E. Total equity</t>
  </si>
  <si>
    <t>Paid-up capital</t>
  </si>
  <si>
    <t>Legal reserve</t>
  </si>
  <si>
    <t>Total equity</t>
  </si>
  <si>
    <t>Balance Sheet</t>
  </si>
  <si>
    <t>Assets</t>
  </si>
  <si>
    <t>Current assets</t>
  </si>
  <si>
    <t>Cash &amp; cash equivalents</t>
  </si>
  <si>
    <t>Inventories</t>
  </si>
  <si>
    <t>Total current assets</t>
  </si>
  <si>
    <t>Non-current assets</t>
  </si>
  <si>
    <t>Property, plant &amp; equipment — net</t>
  </si>
  <si>
    <t>Total non-current assets</t>
  </si>
  <si>
    <t>Total assets</t>
  </si>
  <si>
    <t>Liabilities</t>
  </si>
  <si>
    <t>Current liabilities</t>
  </si>
  <si>
    <t>Dividend payable</t>
  </si>
  <si>
    <t>Total current liabilities</t>
  </si>
  <si>
    <t>Non-current liabilities</t>
  </si>
  <si>
    <t>Long-term loan</t>
  </si>
  <si>
    <t>Total non-current liabilities</t>
  </si>
  <si>
    <t>Total liabilities</t>
  </si>
  <si>
    <t>Equity</t>
  </si>
  <si>
    <t>Total liabilities &amp; equity</t>
  </si>
  <si>
    <t>Balance check — assets less liabilities and equity (must be nil)</t>
  </si>
  <si>
    <t>Statement of Cash Flow</t>
  </si>
  <si>
    <t>Cash flow from operating activities</t>
  </si>
  <si>
    <t>Change in working capital</t>
  </si>
  <si>
    <t>Net cash from operating activities</t>
  </si>
  <si>
    <t>Cash flow from investing activities</t>
  </si>
  <si>
    <t>Net cash used in investing activities</t>
  </si>
  <si>
    <t>Cash flow from financing activities</t>
  </si>
  <si>
    <t>Debt repayment</t>
  </si>
  <si>
    <t>Net cash from financing activities</t>
  </si>
  <si>
    <t>Net cash flow</t>
  </si>
  <si>
    <t>Opening cash balance</t>
  </si>
  <si>
    <t>Closing cash balance</t>
  </si>
  <si>
    <t>WACC by year — moving with the actual capital structure</t>
  </si>
  <si>
    <t>Debt — average balance</t>
  </si>
  <si>
    <t>Equity — average book value</t>
  </si>
  <si>
    <t>Percentage debt</t>
  </si>
  <si>
    <t>Percentage equity</t>
  </si>
  <si>
    <t>Cost of debt — pre-tax</t>
  </si>
  <si>
    <t>Cost of debt — after tax</t>
  </si>
  <si>
    <t>Levered beta</t>
  </si>
  <si>
    <t>Cost of equity</t>
  </si>
  <si>
    <t>Valuation — free cash flow to firm</t>
  </si>
  <si>
    <t>Net profit after tax</t>
  </si>
  <si>
    <t>Financial expenses net of tax</t>
  </si>
  <si>
    <t>Terminal value</t>
  </si>
  <si>
    <t>Total free cash flow to firm</t>
  </si>
  <si>
    <t>Accumulated free cash flow to firm</t>
  </si>
  <si>
    <t>Period length</t>
  </si>
  <si>
    <t>Discount factor</t>
  </si>
  <si>
    <t>Present value</t>
  </si>
  <si>
    <t>Enterprise value — present value of free cash flow to firm</t>
  </si>
  <si>
    <t>Less net debt at financial close</t>
  </si>
  <si>
    <t>Equity value</t>
  </si>
  <si>
    <t>Project internal rate of return</t>
  </si>
  <si>
    <t>Equity internal rate of return</t>
  </si>
  <si>
    <t>Payback period from financial close</t>
  </si>
  <si>
    <t>Common size analysis (percentage of sales)</t>
  </si>
  <si>
    <t>Financial ratios</t>
  </si>
  <si>
    <t>Liquidity ratios</t>
  </si>
  <si>
    <t>Cash ratio</t>
  </si>
  <si>
    <t>Operating cash flow to sales</t>
  </si>
  <si>
    <t>Current ratio</t>
  </si>
  <si>
    <t>Quick ratio</t>
  </si>
  <si>
    <t>Days sales outstanding</t>
  </si>
  <si>
    <t>Defensive interval</t>
  </si>
  <si>
    <t>Solvency ratios</t>
  </si>
  <si>
    <t>Interest-bearing debt to total assets</t>
  </si>
  <si>
    <t>Long-term debt to equity</t>
  </si>
  <si>
    <t>Debt ratio</t>
  </si>
  <si>
    <t>Equity ratio</t>
  </si>
  <si>
    <t>Debt to equity</t>
  </si>
  <si>
    <t>Interest-bearing debt to EBITDA</t>
  </si>
  <si>
    <t>Profitability ratios</t>
  </si>
  <si>
    <t>Gross profit margin</t>
  </si>
  <si>
    <t>Cost of goods sold margin</t>
  </si>
  <si>
    <t>Selling expense margin</t>
  </si>
  <si>
    <t>Administrative expense margin</t>
  </si>
  <si>
    <t>Net profit margin</t>
  </si>
  <si>
    <t>Return on assets</t>
  </si>
  <si>
    <t>Return on capital employed</t>
  </si>
  <si>
    <t>Return on equity</t>
  </si>
  <si>
    <t>Efficiency ratios</t>
  </si>
  <si>
    <t>Accounts receivable turnover</t>
  </si>
  <si>
    <t>Asset turnover</t>
  </si>
  <si>
    <t>Fixed asset turnover</t>
  </si>
  <si>
    <t>Inventory turnover</t>
  </si>
  <si>
    <t>Accounts payable turnover</t>
  </si>
  <si>
    <t>Coverage ratios</t>
  </si>
  <si>
    <t>Times interest earned</t>
  </si>
  <si>
    <t>Debt service coverage ratio</t>
  </si>
  <si>
    <t>Ratio summary</t>
  </si>
  <si>
    <t>Net debt</t>
  </si>
  <si>
    <t>Net debt to EBITDA</t>
  </si>
  <si>
    <t>C. Debt service &amp; cover</t>
  </si>
  <si>
    <t>Cash available for debt service</t>
  </si>
  <si>
    <t>Debt service — interest and principal</t>
  </si>
  <si>
    <t>Unit: THB  |  ISCC PLUS is the procurement gate for tyre-maker and EU offtake; ISO 9001 / 14001 / 45001 are supplier-qualification prerequisites</t>
  </si>
  <si>
    <t>A. Certification &amp; compliance programme — cost</t>
  </si>
  <si>
    <t>Initial cost</t>
  </si>
  <si>
    <t>Annual cost</t>
  </si>
  <si>
    <t>ISO 9001 — quality management system</t>
  </si>
  <si>
    <t>ISO 14001 — environmental management system</t>
  </si>
  <si>
    <t>ISO 45001 — occupational health &amp; safety</t>
  </si>
  <si>
    <t>ISO 50001 — energy management system</t>
  </si>
  <si>
    <t>ISCC PLUS — chain of custody, circular / mass balance</t>
  </si>
  <si>
    <t>ASTM D8178 — rCB characterisation &amp; batch specification testing</t>
  </si>
  <si>
    <t>EU REACH registration — recovered carbon black</t>
  </si>
  <si>
    <t>EU REACH registration — tyre pyrolysis oil</t>
  </si>
  <si>
    <t>Product carbon footprint &amp; life cycle assessment (ISO 14067) and EPD</t>
  </si>
  <si>
    <t>ISO/IEC 17025 — in-house laboratory accreditation</t>
  </si>
  <si>
    <t>Thailand factory licence (Ror Ngor 4) &amp; environmental permits</t>
  </si>
  <si>
    <t>Thailand T-VER — carbon credit registration &amp; verification</t>
  </si>
  <si>
    <t>Total certification &amp; compliance programme</t>
  </si>
  <si>
    <t>B. Certification timeline — 1 = certificate in force</t>
  </si>
  <si>
    <t>Start month</t>
  </si>
  <si>
    <t>Lead time (months)</t>
  </si>
  <si>
    <t>Certified from month</t>
  </si>
  <si>
    <t>C. Premium price &amp; market access</t>
  </si>
  <si>
    <t>ISCC PLUS certificate in force</t>
  </si>
  <si>
    <t>ISO 9001, 14001 &amp; 45001 all in force</t>
  </si>
  <si>
    <t>rCB powder price premium once ISCC PLUS is in force</t>
  </si>
  <si>
    <t>rCB pellet price premium once ISCC PLUS is in force</t>
  </si>
  <si>
    <t>Tyre pyrolysis oil price premium once ISCC PLUS is in force</t>
  </si>
  <si>
    <t>Memo — addressable share of output in premium markets before certification</t>
  </si>
  <si>
    <t>Memo — addressable share of output in premium markets after certification</t>
  </si>
  <si>
    <t>rCB powder price uplift factor</t>
  </si>
  <si>
    <t>rCB pellet price uplift factor</t>
  </si>
  <si>
    <t>Tyre pyrolysis oil price uplift factor</t>
  </si>
  <si>
    <t>Memo — market access factor</t>
  </si>
  <si>
    <t>D. Compliance cost by period</t>
  </si>
  <si>
    <t>Total certification &amp; compliance cost</t>
  </si>
  <si>
    <t>Certification, compliance &amp; product testing</t>
  </si>
  <si>
    <t>Covenant test from first repayment date — 1 = pass, 0 = breach</t>
  </si>
  <si>
    <t>Sensitivity switches (set to 1.00 for the base case)</t>
  </si>
  <si>
    <t>Total CAPEX factor</t>
  </si>
  <si>
    <t>Cash operating cost factor</t>
  </si>
  <si>
    <t>09 Sensitivity Analysis</t>
  </si>
  <si>
    <t>Each grid point is produced by re-running the full model on the driver value shown and reading the result; base-case inputs are restored afterwards</t>
  </si>
  <si>
    <t>A. Base case reference</t>
  </si>
  <si>
    <t>Enterprise value</t>
  </si>
  <si>
    <t>Driver</t>
  </si>
  <si>
    <t>Low case</t>
  </si>
  <si>
    <t>High case</t>
  </si>
  <si>
    <t>Project IRR low</t>
  </si>
  <si>
    <t>Project IRR high</t>
  </si>
  <si>
    <t>Equity IRR low</t>
  </si>
  <si>
    <t>Equity IRR base</t>
  </si>
  <si>
    <t>Equity IRR high</t>
  </si>
  <si>
    <t>Min DSCR low</t>
  </si>
  <si>
    <t>Min DSCR high</t>
  </si>
  <si>
    <t>Pyrolysis oil yield (% of feed)</t>
  </si>
  <si>
    <t>rCB yield (% of feed)</t>
  </si>
  <si>
    <t>Senior debt interest rate</t>
  </si>
  <si>
    <t>Project IRR swing</t>
  </si>
  <si>
    <t>rCB pellet THB/t  \  TPO THB/t</t>
  </si>
  <si>
    <t>CAPEX factor  \  Opex factor</t>
  </si>
  <si>
    <t>Gearing  \  Interest rate</t>
  </si>
  <si>
    <t>Tyre THB/t  \  Days/year</t>
  </si>
  <si>
    <t>Metric</t>
  </si>
  <si>
    <t>Downside</t>
  </si>
  <si>
    <t>Base case</t>
  </si>
  <si>
    <t>Upside</t>
  </si>
  <si>
    <t>Minimum debt service coverage ratio</t>
  </si>
  <si>
    <t>Payback period from financial close (years)</t>
  </si>
  <si>
    <t>Enterprise value (THB)</t>
  </si>
  <si>
    <t>Gearing</t>
  </si>
  <si>
    <t>Covenant 1.20x</t>
  </si>
  <si>
    <t>Pass</t>
  </si>
  <si>
    <t>Breach</t>
  </si>
  <si>
    <t>rCB pellet price (THB/t)</t>
  </si>
  <si>
    <t>TPO realised price (THB/t)</t>
  </si>
  <si>
    <t>Ramp-up, test run &amp; sustainable capacity cap</t>
  </si>
  <si>
    <t>Test run / commissioning period</t>
  </si>
  <si>
    <t>Utilisation during test run</t>
  </si>
  <si>
    <t>Maximum sustainable capacity utilisation</t>
  </si>
  <si>
    <t>Ramp period from test run to maximum</t>
  </si>
  <si>
    <t>Sludge &amp; residual oil — disposal (not saleable)</t>
  </si>
  <si>
    <t>Sludge &amp; residual oil disposal cost</t>
  </si>
  <si>
    <t>Construction &amp; pre-operating period budgets</t>
  </si>
  <si>
    <t>Marketing &amp; brand building</t>
  </si>
  <si>
    <t>Operation setup consultant</t>
  </si>
  <si>
    <t>ERP subscription</t>
  </si>
  <si>
    <t>ERP start month (from construction start)</t>
  </si>
  <si>
    <t>month</t>
  </si>
  <si>
    <t>Owner's project management team</t>
  </si>
  <si>
    <t>EPC contractor management fee</t>
  </si>
  <si>
    <t>of EPC cost</t>
  </si>
  <si>
    <t>EPC contingency</t>
  </si>
  <si>
    <t>Owner's cost contingency</t>
  </si>
  <si>
    <t>of non-EPC cost</t>
  </si>
  <si>
    <t>Unit: THB  |  Delivery point: Thai Eastern Industrial Land, Bo Thong, Chonburi  |  Landed cost is built per source before it enters the pyrolysis costing</t>
  </si>
  <si>
    <t>A. Freight parameters</t>
  </si>
  <si>
    <t>THB per km per trip</t>
  </si>
  <si>
    <t>Payload per trip — baled whole tyres</t>
  </si>
  <si>
    <t>tonnes per trip</t>
  </si>
  <si>
    <t>Round-trip factor (empty return leg)</t>
  </si>
  <si>
    <t>Loading, baling &amp; handling at source</t>
  </si>
  <si>
    <t>Unloading &amp; weighbridge at plant</t>
  </si>
  <si>
    <t>Transit loss &amp; moisture allowance</t>
  </si>
  <si>
    <t>of tonnage</t>
  </si>
  <si>
    <t>B. Source locations, distance and landed cost</t>
  </si>
  <si>
    <t>Source</t>
  </si>
  <si>
    <t>Province / location</t>
  </si>
  <si>
    <t>Share of volume</t>
  </si>
  <si>
    <t>Distance (km)</t>
  </si>
  <si>
    <t>Ex-works price (THB/t)</t>
  </si>
  <si>
    <t>Trips per year</t>
  </si>
  <si>
    <t>Freight (THB/t)</t>
  </si>
  <si>
    <t>Handling (THB/t)</t>
  </si>
  <si>
    <t>Landed cost (THB/t)</t>
  </si>
  <si>
    <t>Volume (t/yr)</t>
  </si>
  <si>
    <t>Freight cost (THB/yr)</t>
  </si>
  <si>
    <t>Landed cost (THB/yr)</t>
  </si>
  <si>
    <t>Distance-weighted km</t>
  </si>
  <si>
    <t>Cumulative share</t>
  </si>
  <si>
    <t>Bridgestone Tire Manufacturing (Thailand)</t>
  </si>
  <si>
    <t>Nong Khae, Saraburi</t>
  </si>
  <si>
    <t>Siam Rubber / SRT</t>
  </si>
  <si>
    <t>Bang Bon, Bangkok</t>
  </si>
  <si>
    <t>Michelin Siam</t>
  </si>
  <si>
    <t>Laem Chabang, Chonburi</t>
  </si>
  <si>
    <t>Otani Radial</t>
  </si>
  <si>
    <t>Bang Phli, Samut Prakan</t>
  </si>
  <si>
    <t>Goodyear (Thailand)</t>
  </si>
  <si>
    <t>Lam Luk Ka, Pathum Thani</t>
  </si>
  <si>
    <t>Vee Rubber</t>
  </si>
  <si>
    <t>Krathum Baen, Samut Sakhon</t>
  </si>
  <si>
    <t>Deestone</t>
  </si>
  <si>
    <t>Mueang, Samut Sakhon</t>
  </si>
  <si>
    <t>Independent collectors — Eastern Economic Corridor</t>
  </si>
  <si>
    <t>Rayong / Chachoengsao</t>
  </si>
  <si>
    <t>Independent collectors — North-East</t>
  </si>
  <si>
    <t>Nakhon Ratchasima</t>
  </si>
  <si>
    <t>Total / weighted average</t>
  </si>
  <si>
    <t>Check — volume shares total 100%</t>
  </si>
  <si>
    <t>Distances are planning estimates from the plant gate at Thai Eastern Industrial Land to each source; confirm against a routing survey before financial close. Ex-works prices are indicative gate prices for baled end-of-life tyres.</t>
  </si>
  <si>
    <t>C. Landed cost summary feeding the operating model</t>
  </si>
  <si>
    <t>Weighted average ex-works price</t>
  </si>
  <si>
    <t>Weighted average inbound freight</t>
  </si>
  <si>
    <t>Handling at source and plant</t>
  </si>
  <si>
    <t>Transit loss and moisture gross-up</t>
  </si>
  <si>
    <t>Weighted average landed cost at plant gate</t>
  </si>
  <si>
    <t>Weighted average haul distance</t>
  </si>
  <si>
    <t>km</t>
  </si>
  <si>
    <t>Freight as a percentage of landed cost</t>
  </si>
  <si>
    <t>Annual landed raw material cost at full capacity</t>
  </si>
  <si>
    <t>Waste tyre landed cost at plant gate — from 10 RM Sourcing</t>
  </si>
  <si>
    <t>Inbound freight — included in the landed cost above (memo)</t>
  </si>
  <si>
    <t>Raw material cost driver</t>
  </si>
  <si>
    <t>Raw material landed cost factor</t>
  </si>
  <si>
    <t>Waste tyre landed cost at plant gate</t>
  </si>
  <si>
    <t>Inbound freight — already inside the landed cost (memo)</t>
  </si>
  <si>
    <t>Sludge &amp; residual oil — not saleable, disposed of (memo tonnes)</t>
  </si>
  <si>
    <t>Sludge &amp; residual oil — disposal cost (negative realisation)</t>
  </si>
  <si>
    <t>Sludge &amp; residual oil — no revenue (disposal cost sits in operating cost)</t>
  </si>
  <si>
    <t>K. Full capacity, production and utilisation by saleable product (NRV costing basis)</t>
  </si>
  <si>
    <t>Full capacity — pyrolysis oil (TPO)</t>
  </si>
  <si>
    <t>Full capacity — rCB</t>
  </si>
  <si>
    <t>Full capacity — wire steel</t>
  </si>
  <si>
    <t>Full capacity — total saleable</t>
  </si>
  <si>
    <t>Production — pyrolysis oil (TPO)</t>
  </si>
  <si>
    <t>Production — rCB</t>
  </si>
  <si>
    <t>Production — wire steel</t>
  </si>
  <si>
    <t>Production — total saleable</t>
  </si>
  <si>
    <t>Utilisation — pyrolysis oil (TPO)</t>
  </si>
  <si>
    <t>Utilisation — rCB</t>
  </si>
  <si>
    <t>Utilisation — wire steel</t>
  </si>
  <si>
    <t>Utilisation — total saleable</t>
  </si>
  <si>
    <t>Idle capacity — pyrolysis oil (TPO)</t>
  </si>
  <si>
    <t>Idle capacity — rCB</t>
  </si>
  <si>
    <t>Idle capacity — wire steel</t>
  </si>
  <si>
    <t>Marketing &amp; brand building during construction</t>
  </si>
  <si>
    <t>ERP system subscription during construction</t>
  </si>
  <si>
    <t>Sludge, residual oil &amp; process waste disposal</t>
  </si>
  <si>
    <t>Pyrolysis plant &amp; machinery (incl. allocated engineering, indirect, owner's PM &amp; EPC fee)</t>
  </si>
  <si>
    <t>Office equipment, furniture, IT &amp; ERP</t>
  </si>
  <si>
    <t>Pre-operating expenses, marketing &amp; operation setup (amortised)</t>
  </si>
  <si>
    <t>Unit: THB  |  Variable cost allocated on net realisable value at split-off; fixed cost allocated on NRV multiplied by utilisation, the unabsorbed balance being idle capacity expense</t>
  </si>
  <si>
    <t>A. Production cost pool — Main Operations</t>
  </si>
  <si>
    <t>Variable / Fixed</t>
  </si>
  <si>
    <t>Raw material — waste tyres (landed cost)</t>
  </si>
  <si>
    <t>Variable</t>
  </si>
  <si>
    <t>Packing materials</t>
  </si>
  <si>
    <t>Direct labour — pyrolysis &amp; shredder operators</t>
  </si>
  <si>
    <t>Indirect labour — supervision, maintenance, warehouse &amp; security</t>
  </si>
  <si>
    <t>Fixed</t>
  </si>
  <si>
    <t>Maintenance, refractory &amp; wear parts</t>
  </si>
  <si>
    <t>Quality assurance &amp; control</t>
  </si>
  <si>
    <t>Depreciation — main operations</t>
  </si>
  <si>
    <t>Total production cost — Main Operations</t>
  </si>
  <si>
    <t>B. Production cost pool — Pellet rCB stream</t>
  </si>
  <si>
    <t>Direct material — pellet packing</t>
  </si>
  <si>
    <t>Direct labour — pelletising operators</t>
  </si>
  <si>
    <t>Other factory overhead — pelletising utilities</t>
  </si>
  <si>
    <t>Depreciation — pelletising units</t>
  </si>
  <si>
    <t>Total production cost — Pellet rCB</t>
  </si>
  <si>
    <t>C. Variable and fixed split by stream</t>
  </si>
  <si>
    <t>Main Operations — variable</t>
  </si>
  <si>
    <t>Main Operations — fixed</t>
  </si>
  <si>
    <t>Pellet rCB — variable</t>
  </si>
  <si>
    <t>Pellet rCB — fixed</t>
  </si>
  <si>
    <t>Total production cost</t>
  </si>
  <si>
    <t>D. Allocation rates — net realisable value at split-off</t>
  </si>
  <si>
    <t>Selling price — pyrolysis oil (TPO)</t>
  </si>
  <si>
    <t>Selling price — wire steel</t>
  </si>
  <si>
    <t>Production volume — pyrolysis oil (TPO)</t>
  </si>
  <si>
    <t>Production volume — rCB</t>
  </si>
  <si>
    <t>Production volume — wire steel</t>
  </si>
  <si>
    <t>Revenue at split-off — pyrolysis oil (TPO)</t>
  </si>
  <si>
    <t>Revenue at split-off — rCB</t>
  </si>
  <si>
    <t>Revenue at split-off — wire steel</t>
  </si>
  <si>
    <t>Total revenue at split-off</t>
  </si>
  <si>
    <t>NRV allocation — pyrolysis oil (TPO)</t>
  </si>
  <si>
    <t>NRV allocation — rCB</t>
  </si>
  <si>
    <t>NRV allocation — wire steel</t>
  </si>
  <si>
    <t>Check — allocation totals 100%</t>
  </si>
  <si>
    <t>Other factory overhead — utilities, consumables &amp; chemicals (net of pelletising share)</t>
  </si>
  <si>
    <t>Other factory overhead — land lease &amp; permits</t>
  </si>
  <si>
    <t>Net realisable value — rCB (pellet price less pelletising conversion cost)</t>
  </si>
  <si>
    <t>E. Cost allocation — Main Operations</t>
  </si>
  <si>
    <t>Variable cost allocated — pyrolysis oil (TPO)</t>
  </si>
  <si>
    <t>Variable cost allocated — rCB (including all packing materials)</t>
  </si>
  <si>
    <t>Variable cost allocated — wire steel</t>
  </si>
  <si>
    <t>Fixed cost allocated — pyrolysis oil (TPO)</t>
  </si>
  <si>
    <t>Fixed cost allocated — rCB</t>
  </si>
  <si>
    <t>Fixed cost allocated — wire steel</t>
  </si>
  <si>
    <t>Absorbed production cost — pyrolysis oil (TPO)</t>
  </si>
  <si>
    <t>Absorbed production cost — rCB</t>
  </si>
  <si>
    <t>Absorbed production cost — wire steel</t>
  </si>
  <si>
    <t>Total absorbed production cost</t>
  </si>
  <si>
    <t>Idle capacity expense — Main Operations</t>
  </si>
  <si>
    <t>Check — absorbed plus idle equals total pool (must be nil)</t>
  </si>
  <si>
    <t>F. Unit cost by product (THB per tonne)</t>
  </si>
  <si>
    <t>Full unit cost — pyrolysis oil (TPO)</t>
  </si>
  <si>
    <t>Full unit cost — rCB</t>
  </si>
  <si>
    <t>Full unit cost — wire steel</t>
  </si>
  <si>
    <t>Variable unit cost — pyrolysis oil (TPO)</t>
  </si>
  <si>
    <t>Variable unit cost — rCB</t>
  </si>
  <si>
    <t>Variable unit cost — wire steel</t>
  </si>
  <si>
    <t>Fixed unit cost — pyrolysis oil (TPO)</t>
  </si>
  <si>
    <t>Fixed unit cost — rCB</t>
  </si>
  <si>
    <t>Fixed unit cost — wire steel</t>
  </si>
  <si>
    <t>Cash unit cost excluding depreciation — pyrolysis oil (TPO)</t>
  </si>
  <si>
    <t>Cash unit cost excluding depreciation — rCB</t>
  </si>
  <si>
    <t>Cash unit cost excluding depreciation — wire steel</t>
  </si>
  <si>
    <t>G. Pellet rCB stream — conversion cost &amp; idle capacity</t>
  </si>
  <si>
    <t>Pellet rCB production volume</t>
  </si>
  <si>
    <t>Pellet rCB installed capacity</t>
  </si>
  <si>
    <t>Pellet rCB utilisation</t>
  </si>
  <si>
    <t>Absorbed pellet rCB cost</t>
  </si>
  <si>
    <t>Idle capacity expense — Pellet rCB</t>
  </si>
  <si>
    <t>Pellet conversion unit cost</t>
  </si>
  <si>
    <t>rCB transferred in at main-operations unit cost</t>
  </si>
  <si>
    <t>Pellet rCB fully loaded unit cost</t>
  </si>
  <si>
    <t>H. Reconciliation &amp; idle capacity summary</t>
  </si>
  <si>
    <t>Total production cost per this sheet</t>
  </si>
  <si>
    <t>Total cost of goods sold per 05 Opex by Ledger</t>
  </si>
  <si>
    <t>Difference (must be nil)</t>
  </si>
  <si>
    <t>Total idle capacity expense (Main Operations plus Pellet rCB)</t>
  </si>
  <si>
    <t>Idle capacity expense as a percentage of production cost</t>
  </si>
  <si>
    <t>Absorbed cost transferred to finished goods inventory</t>
  </si>
  <si>
    <t>Drivers: 02 Oil Price Analysis E48 (TPO realised price), E64 (rCB pellet base price); 01 Major Assumptions E32 (production days), E40 (TPO yield), E41 (rCB yield), E188 (CAPEX factor), E189 (cash opex factor), E194 (maximum capacity), E195 (ramp period), E213 (raw material landed cost factor). Raw material price itself is now derived on 10 RM Sourcing &amp; Landed Cost.</t>
  </si>
  <si>
    <t>C. Project IRR — rCB pellet price (rows) versus tyre pyrolysis oil price (columns)  —  SUPERSEDED: run on the pre-revision base case, re-run required</t>
  </si>
  <si>
    <t>D. Equity IRR — total CAPEX factor (rows) versus cash operating cost factor (columns)  —  SUPERSEDED: run on the pre-revision base case, re-run required</t>
  </si>
  <si>
    <t>E. Equity IRR — gearing (rows) versus senior debt interest rate (columns)  —  SUPERSEDED: run on the pre-revision base case, re-run required</t>
  </si>
  <si>
    <t>F. Minimum debt service coverage ratio — gearing (rows) versus senior debt interest rate (columns)  —  SUPERSEDED: run on the pre-revision base case, re-run required</t>
  </si>
  <si>
    <t>G. Project IRR — waste tyre purchase price (rows) versus production days per year (columns)  —  SUPERSEDED: run on the pre-revision base case, re-run required</t>
  </si>
  <si>
    <t>H. Combined scenarios  —  SUPERSEDED: run on the pre-revision base case, re-run required</t>
  </si>
  <si>
    <t>I. Combined downside stress — gearing required to protect debt service  —  SUPERSEDED: run on the pre-revision base case, re-run required</t>
  </si>
  <si>
    <t>J. Breakeven scan — rCB pellet price  —  SUPERSEDED: run on the pre-revision base case, re-run required</t>
  </si>
  <si>
    <t>K. Breakeven scan — tyre pyrolysis oil price  —  SUPERSEDED: run on the pre-revision base case, re-run required</t>
  </si>
  <si>
    <t>Engineering basis of design: site area take-off, electrical load list, water balance, mass and energy balance, and permitting route. Rates and duties are engineering estimates for a pre-feasibility study.</t>
  </si>
  <si>
    <t>A. Design basis</t>
  </si>
  <si>
    <t>Plot area leased from Thai Eastern Industrial Land</t>
  </si>
  <si>
    <t>Plot area</t>
  </si>
  <si>
    <t>m2</t>
  </si>
  <si>
    <t>Design feedstock throughput</t>
  </si>
  <si>
    <t>Bulk density of baled whole tyres</t>
  </si>
  <si>
    <t>t/m3</t>
  </si>
  <si>
    <t>Maximum tyre stack height</t>
  </si>
  <si>
    <t>m</t>
  </si>
  <si>
    <t>Raw material stock cover</t>
  </si>
  <si>
    <t>Access and circulation allowance on storage areas</t>
  </si>
  <si>
    <t>Minimum green area requirement (industrial estate practice)</t>
  </si>
  <si>
    <t>of plot</t>
  </si>
  <si>
    <t>B. Site area take-off by functional area</t>
  </si>
  <si>
    <t>Basis</t>
  </si>
  <si>
    <t>Area (m2)</t>
  </si>
  <si>
    <t>Covered building?</t>
  </si>
  <si>
    <t>Weighbridge, tyre reception &amp; truck queuing</t>
  </si>
  <si>
    <t>2 weighbridges plus queuing lane</t>
  </si>
  <si>
    <t>No</t>
  </si>
  <si>
    <t>Raw material bunker — baled tyre storage</t>
  </si>
  <si>
    <t>stock cover / bulk density / stack height x access</t>
  </si>
  <si>
    <t>Shredding &amp; size reduction hall</t>
  </si>
  <si>
    <t>2 pre-shredders, 4 fine shredders, conveyors</t>
  </si>
  <si>
    <t>Yes</t>
  </si>
  <si>
    <t>Pyrolysis process area — reactor lines</t>
  </si>
  <si>
    <t>Condensing units area</t>
  </si>
  <si>
    <t>Pyrolysis oil tank farm, bund &amp; road loading</t>
  </si>
  <si>
    <t>30 days of TPO production, bunded to 110%</t>
  </si>
  <si>
    <t>rCB grinding, classifying &amp; pelletising building</t>
  </si>
  <si>
    <t>Finished goods warehouse — pellet &amp; bagged product</t>
  </si>
  <si>
    <t>30 days of pellet output at 3 m stack</t>
  </si>
  <si>
    <t>Wire steel baling, storage &amp; loading</t>
  </si>
  <si>
    <t>30 days of steel output</t>
  </si>
  <si>
    <t>Flare stack, thermal oxidiser &amp; safety zone</t>
  </si>
  <si>
    <t>code separation distance</t>
  </si>
  <si>
    <t>Utility area — cooling tower, compressors, nitrogen</t>
  </si>
  <si>
    <t>Raw water storage, clarifier &amp; treatment</t>
  </si>
  <si>
    <t>2 days of raw water storage</t>
  </si>
  <si>
    <t>Wastewater treatment plant</t>
  </si>
  <si>
    <t>equalisation, DAF, biological, sludge press</t>
  </si>
  <si>
    <t>Electrical substation, transformers, MCC &amp; control room</t>
  </si>
  <si>
    <t>22 kV incoming, transformers and switchroom</t>
  </si>
  <si>
    <t>Workshop, maintenance store &amp; spare parts</t>
  </si>
  <si>
    <t>Office, canteen, changing rooms &amp; welfare</t>
  </si>
  <si>
    <t>105 staff at 10 m2 per person plus canteen</t>
  </si>
  <si>
    <t>Laboratory &amp; quality control</t>
  </si>
  <si>
    <t>ISO 17025 layout</t>
  </si>
  <si>
    <t>Firefighting pump house &amp; fire water tank</t>
  </si>
  <si>
    <t>2 hours of fire flow reserve</t>
  </si>
  <si>
    <t>Internal roads, hardstanding, parking &amp; turning circles</t>
  </si>
  <si>
    <t>trailer turning radius 12 m</t>
  </si>
  <si>
    <t>Green area &amp; landscaping</t>
  </si>
  <si>
    <t>minimum estate requirement</t>
  </si>
  <si>
    <t>Total developed area</t>
  </si>
  <si>
    <t>Covered building gross floor area</t>
  </si>
  <si>
    <t>Open, paved &amp; landscaped area</t>
  </si>
  <si>
    <t>C. Area check against the leased plot</t>
  </si>
  <si>
    <t>Plot area available</t>
  </si>
  <si>
    <t>Total developed area required</t>
  </si>
  <si>
    <t>Balance — spare or (shortfall)</t>
  </si>
  <si>
    <t>Site utilisation</t>
  </si>
  <si>
    <t>Building coverage ratio</t>
  </si>
  <si>
    <t>Green area provided</t>
  </si>
  <si>
    <t>Area required expressed in rai</t>
  </si>
  <si>
    <t>Verdict</t>
  </si>
  <si>
    <t>D. Civil works cost benchmark against the reference bill of quantities</t>
  </si>
  <si>
    <t>Civil works &amp; buildings in scope — from 03 CAPEX</t>
  </si>
  <si>
    <t>Implied civil cost per square metre of covered floor area</t>
  </si>
  <si>
    <t>THB/m2</t>
  </si>
  <si>
    <t>Implied civil cost per square metre of developed site</t>
  </si>
  <si>
    <t>Site preparation, earthworks &amp; piling — from 03 CAPEX</t>
  </si>
  <si>
    <t>Implied site preparation cost per square metre of developed site</t>
  </si>
  <si>
    <t>E. Electrical load list &amp; supply adequacy</t>
  </si>
  <si>
    <t>Quantity</t>
  </si>
  <si>
    <t>kW each</t>
  </si>
  <si>
    <t>Connected kW</t>
  </si>
  <si>
    <t>Duty factor</t>
  </si>
  <si>
    <t>Demand kW</t>
  </si>
  <si>
    <t>Pyrolysis reactor drives, feed screws &amp; discharge</t>
  </si>
  <si>
    <t>Pre-shredders</t>
  </si>
  <si>
    <t>Fine shredders / granulators</t>
  </si>
  <si>
    <t>Condensing unit pumps &amp; fans</t>
  </si>
  <si>
    <t>Dust collection &amp; bag filter fans</t>
  </si>
  <si>
    <t>Conveyors, bucket elevators &amp; rotary air locks</t>
  </si>
  <si>
    <t>Oil transfer pumps, tank farm &amp; loading</t>
  </si>
  <si>
    <t>Cooling water pumps &amp; cooling tower fans</t>
  </si>
  <si>
    <t>Air compressors &amp; air dryers</t>
  </si>
  <si>
    <t>Raw water treatment &amp; wastewater treatment plant</t>
  </si>
  <si>
    <t>Flare stack &amp; thermal oxidiser blowers</t>
  </si>
  <si>
    <t>Lighting, HVAC, office, laboratory &amp; workshop</t>
  </si>
  <si>
    <t>Firefighting jockey &amp; standby pumps</t>
  </si>
  <si>
    <t>Total connected load</t>
  </si>
  <si>
    <t>Overall diversity factor across the plant</t>
  </si>
  <si>
    <t>Maximum demand</t>
  </si>
  <si>
    <t>kW</t>
  </si>
  <si>
    <t>Power factor after correction</t>
  </si>
  <si>
    <t>kVA</t>
  </si>
  <si>
    <t>Transformer capacity required including 20% spare</t>
  </si>
  <si>
    <t>Industrial estate supply capacity — TEBP 22 kV</t>
  </si>
  <si>
    <t>Industrial estate supply capacity after announced expansion</t>
  </si>
  <si>
    <t>Headroom against the initial 5 MW supply</t>
  </si>
  <si>
    <t>Operating hours per year</t>
  </si>
  <si>
    <t>hours</t>
  </si>
  <si>
    <t>Annual energy consumption at full load</t>
  </si>
  <si>
    <t>Specific energy consumption</t>
  </si>
  <si>
    <t>F. Water balance</t>
  </si>
  <si>
    <t>Total heat rejected to the cooling circuit</t>
  </si>
  <si>
    <t>MJ/day</t>
  </si>
  <si>
    <t>Cooling circuit temperature rise</t>
  </si>
  <si>
    <t>deg C</t>
  </si>
  <si>
    <t>Circulating cooling water flow</t>
  </si>
  <si>
    <t>m3/day</t>
  </si>
  <si>
    <t>Cooling tower evaporation &amp; blowdown rate</t>
  </si>
  <si>
    <t>of circulating flow</t>
  </si>
  <si>
    <t>Cooling water make-up</t>
  </si>
  <si>
    <t>Scrubber &amp; quench blowdown</t>
  </si>
  <si>
    <t>Domestic &amp; welfare water</t>
  </si>
  <si>
    <t>Plant wash-down &amp; housekeeping</t>
  </si>
  <si>
    <t>Laboratory &amp; miscellaneous</t>
  </si>
  <si>
    <t>Total raw water intake</t>
  </si>
  <si>
    <t>Industrial estate water supply capacity</t>
  </si>
  <si>
    <t>Utilisation of the estate water allocation</t>
  </si>
  <si>
    <t>Wastewater generated as a share of intake</t>
  </si>
  <si>
    <t>Wastewater to the estate treatment plant</t>
  </si>
  <si>
    <t>Specific water consumption</t>
  </si>
  <si>
    <t>Fire water storage reserve — 2 hours at 30 litres per second</t>
  </si>
  <si>
    <t>G. Mass &amp; energy balance — is the plant fuel self-sufficient?</t>
  </si>
  <si>
    <t>Feedstock to the reactors</t>
  </si>
  <si>
    <t>kg/day</t>
  </si>
  <si>
    <t>Pyrolysis gas yield</t>
  </si>
  <si>
    <t>of feed</t>
  </si>
  <si>
    <t>Pyrolysis gas produced</t>
  </si>
  <si>
    <t>Lower heating value of pyrolysis gas</t>
  </si>
  <si>
    <t>kJ/kg</t>
  </si>
  <si>
    <t>Gas energy available</t>
  </si>
  <si>
    <t>Specific heat of tyre feed</t>
  </si>
  <si>
    <t>kJ/kg per deg C</t>
  </si>
  <si>
    <t>Reactor operating temperature rise</t>
  </si>
  <si>
    <t>Sensible heat to raise feed to reaction temperature</t>
  </si>
  <si>
    <t>Endothermic heat of pyrolysis reaction</t>
  </si>
  <si>
    <t>kJ/kg feed</t>
  </si>
  <si>
    <t>Reaction heat requirement</t>
  </si>
  <si>
    <t>Latent heat to vaporise oil and gas products</t>
  </si>
  <si>
    <t>kJ/kg of volatiles</t>
  </si>
  <si>
    <t>Volatiles produced</t>
  </si>
  <si>
    <t>Vaporisation heat requirement</t>
  </si>
  <si>
    <t>Radiation &amp; convection losses</t>
  </si>
  <si>
    <t>of net duty</t>
  </si>
  <si>
    <t>Total reactor heat duty</t>
  </si>
  <si>
    <t>Burner &amp; furnace thermal efficiency</t>
  </si>
  <si>
    <t>Gas energy required by the reactors</t>
  </si>
  <si>
    <t>Gas mass required by the reactors</t>
  </si>
  <si>
    <t>Moisture content of rCB entering the pellet dryer</t>
  </si>
  <si>
    <t>rCB to the pellet dryer</t>
  </si>
  <si>
    <t>Water evaporated in the pellet dryer</t>
  </si>
  <si>
    <t>Drying energy including sensible heat</t>
  </si>
  <si>
    <t>kJ/kg water</t>
  </si>
  <si>
    <t>Pellet dryer heat duty</t>
  </si>
  <si>
    <t>Gas energy required by the pellet dryer</t>
  </si>
  <si>
    <t>Total gas energy required</t>
  </si>
  <si>
    <t>Gas energy surplus or (deficit)</t>
  </si>
  <si>
    <t>Gas utilisation</t>
  </si>
  <si>
    <t>of gas produced</t>
  </si>
  <si>
    <t>Surplus gas sent to the flare or thermal oxidiser</t>
  </si>
  <si>
    <t>External fuel required</t>
  </si>
  <si>
    <t>kg/day of oil equivalent</t>
  </si>
  <si>
    <t>H. Capital cost base date &amp; escalation to project pricing</t>
  </si>
  <si>
    <t>Project construction start</t>
  </si>
  <si>
    <t>Years between the estimate base date and construction start</t>
  </si>
  <si>
    <t>Construction &amp; equipment cost escalation</t>
  </si>
  <si>
    <t>Escalation factor applied to the reference estimate</t>
  </si>
  <si>
    <t>Total project cost at project pricing</t>
  </si>
  <si>
    <t>Escalation uplift included in the figure above</t>
  </si>
  <si>
    <t>I. Permitting route, emissions control &amp; regulatory reporting</t>
  </si>
  <si>
    <t>Authority / instrument</t>
  </si>
  <si>
    <t>Requirement</t>
  </si>
  <si>
    <t>Lead time</t>
  </si>
  <si>
    <t>Factory licence — type 106 (recycling of industrial waste)</t>
  </si>
  <si>
    <t>Department of Industrial Works / estate authority, form Ror Ngor 4</t>
  </si>
  <si>
    <t>Mandatory before construction; monthly raw material and product returns once operating</t>
  </si>
  <si>
    <t>12 months</t>
  </si>
  <si>
    <t>With lease signature</t>
  </si>
  <si>
    <t>Environmental impact assessment or initial environmental examination</t>
  </si>
  <si>
    <t>Office of Natural Resources and Environmental Policy and Planning, prepared by a registered consultant</t>
  </si>
  <si>
    <t>Type and size thresholds are set by the National Environment Board; a prevention and mitigation study must accompany the factory licence application</t>
  </si>
  <si>
    <t>9 to 12 months</t>
  </si>
  <si>
    <t>Hazardous waste generator registration &amp; manifest system</t>
  </si>
  <si>
    <t>Department of Industrial Works, manifest form 02</t>
  </si>
  <si>
    <t>Required for pyrolysis sludge and residual oil off-site disposal</t>
  </si>
  <si>
    <t>3 months</t>
  </si>
  <si>
    <t>Air emission permit &amp; stack testing</t>
  </si>
  <si>
    <t>Department of Industrial Works / Pollution Control Department</t>
  </si>
  <si>
    <t>Thermal oxidiser at 850 degrees Celsius minimum with 2 seconds residence; cyclone, bag filter and wet scrubber train; continuous emission monitoring on the oxidiser stack</t>
  </si>
  <si>
    <t>6 months</t>
  </si>
  <si>
    <t>Wastewater discharge agreement</t>
  </si>
  <si>
    <t>Thai Eastern Industrial Land central treatment plant</t>
  </si>
  <si>
    <t>Discharge within estate standard at THB 15 per cubic metre; surcharge if above standard</t>
  </si>
  <si>
    <t>Odour &amp; volatile organic compound control</t>
  </si>
  <si>
    <t>Department of Industrial Works</t>
  </si>
  <si>
    <t>Sealed reactor charging, nitrogen purge, vapour capture to the oxidiser; boundary odour monitoring</t>
  </si>
  <si>
    <t>With air permit</t>
  </si>
  <si>
    <t>Building control &amp; fire safety approval</t>
  </si>
  <si>
    <t>Local authority and estate authority</t>
  </si>
  <si>
    <t>Structural, means of escape, fire water reserve of 216 cubic metres for two hours at 30 litres per second</t>
  </si>
  <si>
    <t>Pressure vessel &amp; boiler registration</t>
  </si>
  <si>
    <t>Reactor and condenser vessels registered with a certified inspector</t>
  </si>
  <si>
    <t>Occupational health &amp; safety registration</t>
  </si>
  <si>
    <t>Department of Labour Protection and Welfare</t>
  </si>
  <si>
    <t>Safety officer appointment, confined space and hot work procedures</t>
  </si>
  <si>
    <t>Board of Investment promotion application</t>
  </si>
  <si>
    <t>Board of Investment</t>
  </si>
  <si>
    <t>Activity eligibility for recycling and recovery of waste must be confirmed; the model assumes an eight-year corporate income tax holiday</t>
  </si>
  <si>
    <t>6 to 9 months</t>
  </si>
  <si>
    <t>Certification and permit costs are carried on 08 Certification &amp; Premium; this section sets out the regulatory route and the technical conditions attached to each approval.</t>
  </si>
  <si>
    <t>Electricity consumption — from the load list on 12 Site, Civil &amp; Utilities</t>
  </si>
  <si>
    <t>Water consumption — from the water balance on 12 Site, Civil &amp; Utilities</t>
  </si>
  <si>
    <t>Capital cost escalation</t>
  </si>
  <si>
    <t>Capital cost base-date escalation factor — from 12 Site, Civil &amp; Utilities</t>
  </si>
  <si>
    <t>Regulatory basis under the Factory Act B.E. 2535 (1992) and the Ministry of Industry permission criteria for factory types 105 and 106</t>
  </si>
  <si>
    <t>A. Legal framework</t>
  </si>
  <si>
    <t>Detail</t>
  </si>
  <si>
    <t>Reference</t>
  </si>
  <si>
    <t>Governing statute</t>
  </si>
  <si>
    <t>The Factory Act B.E. 2535 (1992) classifies industrial activity into 107 factory types. Operating a factory of a listed type without a licence is an offence.</t>
  </si>
  <si>
    <t>Ministry of Industry</t>
  </si>
  <si>
    <t>Factory Act B.E. 2535</t>
  </si>
  <si>
    <t>Type 101</t>
  </si>
  <si>
    <t>Waste or unused-material treatment facility — includes incinerators and wastewater treatment plants operated as a service.</t>
  </si>
  <si>
    <t>Factory Act annex</t>
  </si>
  <si>
    <t>Type 105</t>
  </si>
  <si>
    <t>Sorting, separation and/or landfill of waste and unused materials. Covers reception, screening, baling and interim storage of third-party waste.</t>
  </si>
  <si>
    <t>Type 106</t>
  </si>
  <si>
    <t>Recycling — recovery of usable material from waste or unused materials by any process, including pyrolysis, and this is the class that fits a tyre-to-rCB plant.</t>
  </si>
  <si>
    <t>Permission criteria for 105 and 106</t>
  </si>
  <si>
    <t>The Ministry of Industry issued specific permission criteria for types 105 and 106, announced 6 November B.E. 2545 (2002). An applicant must submit the factory licence application together with a study report on measures for preventing and correcting impact on environmental quality.</t>
  </si>
  <si>
    <t>Ministry of Industry notification</t>
  </si>
  <si>
    <t>MOI permission criteria, types 105 &amp; 106</t>
  </si>
  <si>
    <t>Hazardous substance overlay</t>
  </si>
  <si>
    <t>Where the incoming material or a residue is a listed hazardous substance, the Hazardous Substance Act B.E. 2535 applies in addition to the Factory Act.</t>
  </si>
  <si>
    <t>Hazardous Substance Act B.E. 2535</t>
  </si>
  <si>
    <t>Environmental impact assessment</t>
  </si>
  <si>
    <t>The Minister of Natural Resources and Environment, with National Environment Board approval, determines which project types and sizes require an EIA. Reports must be prepared by a consultancy registered with ONEP, which forwards them to the Expert Review Committee.</t>
  </si>
  <si>
    <t>Office of Natural Resources and Environmental Policy and Planning</t>
  </si>
  <si>
    <t>BOI guide on environmental regulations</t>
  </si>
  <si>
    <t>B. Which licences this project needs</t>
  </si>
  <si>
    <t>Type 106 — primary licence</t>
  </si>
  <si>
    <t>Required. The plant recovers recovered carbon black, pyrolysis oil and wire steel from end-of-life tyres. This is the licence the whole project depends on and it must be in hand before construction completion.</t>
  </si>
  <si>
    <t>Department of Industrial Works / estate authority</t>
  </si>
  <si>
    <t>Critical path</t>
  </si>
  <si>
    <t>Type 105 — likely also required</t>
  </si>
  <si>
    <t>The tyre bunker, inspection, de-rimming and shredding line receive and sort third-party waste tyres before processing. Thai pyrolysis operators commonly hold 105 and 106 together. Confirm scope with the Department of Industrial Works so that the reception yard is not operated outside the licence.</t>
  </si>
  <si>
    <t>Confirm at design stage</t>
  </si>
  <si>
    <t>Type 101 — probably not required</t>
  </si>
  <si>
    <t>The thermal oxidiser burns process off-gas generated on site, not third-party waste, so it should not be a type 101 incinerator. The on-site effluent plant serves only this factory. Both points should be confirmed in writing before the licence application is lodged.</t>
  </si>
  <si>
    <t>Confirm in writing</t>
  </si>
  <si>
    <t>Monthly reporting obligation</t>
  </si>
  <si>
    <t>Factories of types 101, 105 and 106 must file monthly returns on raw material and product management by the fifteenth day of the following month. This is a system requirement, not an afterthought — the ERP and the costing pack must produce it.</t>
  </si>
  <si>
    <t>Operating obligation</t>
  </si>
  <si>
    <t>Hazardous waste manifest</t>
  </si>
  <si>
    <t>Pyrolysis sludge and residual oil leaving the site require manifest form 02 under the hazardous waste manifest system B.E. 2547 (2004).</t>
  </si>
  <si>
    <t>Per consignment</t>
  </si>
  <si>
    <t>C. Estate-level position at Thai Eastern Industrial Land</t>
  </si>
  <si>
    <t>Estate charges a fee for the 106 permit</t>
  </si>
  <si>
    <t>The utilities schedule states: rental fee for the 106 permit is THB 2,000,000 per three-year land lease agreement. This is carried in the model as a capitalised first cycle plus a renewal accrual.</t>
  </si>
  <si>
    <t>Presentation for CRCCSA, utilities rate page</t>
  </si>
  <si>
    <t>THB 2,000,000 / 3 years</t>
  </si>
  <si>
    <t>Apparent evidence that the estate already holds a 106</t>
  </si>
  <si>
    <t>The final page of the presentation reproduces a Thai regulatory document. Optical character recognition is only partly legible without a Thai language pack, but the legible fragments include the number 106 and the word Pyrol, which is consistent with a factory type 106 licence covering pyrolysis. This has NOT been confirmed and the document should be obtained in full.</t>
  </si>
  <si>
    <t>Presentation for CRCCSA, final page</t>
  </si>
  <si>
    <t>To be confirmed</t>
  </si>
  <si>
    <t>Why this distinction is commercially material</t>
  </si>
  <si>
    <t>If the estate holds an estate-level type 106 licence and sub-licenses capacity to tenants for the stated fee, roughly twelve months of permitting is removed from the critical path and the construction programme can be shortened. If each tenant must obtain its own licence, the twelve-month lead time on 12 Site, Civil &amp; Utilities stands and the programme is unchanged.</t>
  </si>
  <si>
    <t>Commercial due diligence</t>
  </si>
  <si>
    <t>Ask the estate directly</t>
  </si>
  <si>
    <t>Question to put to the estate</t>
  </si>
  <si>
    <t>Please provide a certified copy of the factory licence, confirm the licence holder, the licensed factory types, the licensed activity description, the licensed capacity in tonnes per day, and whether a tenant operating a pyrolysis plant is covered by that licence or must apply separately.</t>
  </si>
  <si>
    <t>Before signing the lease</t>
  </si>
  <si>
    <t>D. Application pack and programme</t>
  </si>
  <si>
    <t>Application documents</t>
  </si>
  <si>
    <t>Form Ror Ngor 3 application; process flow diagram and mass balance; machine list with motor ratings; site and building layout; environmental impact prevention and correction study; waste management plan; emergency response plan; qualified engineer certification.</t>
  </si>
  <si>
    <t>Prepared during detailed design</t>
  </si>
  <si>
    <t>Environmental study</t>
  </si>
  <si>
    <t>Either a full EIA or an initial environmental examination depending on the National Environment Board thresholds for this activity and capacity. Prepared by an ONEP-registered consultancy. Nine to twelve months should be allowed, including Expert Review Committee comment.</t>
  </si>
  <si>
    <t>ONEP and Expert Review Committee</t>
  </si>
  <si>
    <t>Licence issue and validity</t>
  </si>
  <si>
    <t>Form Ror Ngor 4 factory licence. Renewal on the statutory cycle, with a licence amendment required for any change of factory type, capacity or machinery.</t>
  </si>
  <si>
    <t>12 months from application</t>
  </si>
  <si>
    <t>Cost carried in the model</t>
  </si>
  <si>
    <t>Thailand factory licence and environmental permits are budgeted at THB 1,500,000 initial with THB 200,000 per year of ongoing compliance, starting month 1 with a twelve-month lead time, on 08 Certification &amp; Premium. The estate 106 permit fee is carried separately on 01 Major Assumptions.</t>
  </si>
  <si>
    <t>08 Certification &amp; Premium and 01 Major Assumptions</t>
  </si>
  <si>
    <t>See sheet 08</t>
  </si>
  <si>
    <t>E. Permitting risk register</t>
  </si>
  <si>
    <t>Type 106 licence not granted or delayed</t>
  </si>
  <si>
    <t>Whole project stops. Mitigation: obtain the estate licence position in writing before the lease is signed; appoint an ONEP-registered consultant at the start of detailed design; do not order long-lead equipment until the environmental study is accepted.</t>
  </si>
  <si>
    <t>High impact, medium likelihood</t>
  </si>
  <si>
    <t>Critical</t>
  </si>
  <si>
    <t>Licensed capacity lower than 240 tonnes per day</t>
  </si>
  <si>
    <t>High impact, low likelihood</t>
  </si>
  <si>
    <t>Design stage</t>
  </si>
  <si>
    <t>Type 105 scope gap on the reception yard</t>
  </si>
  <si>
    <t>Operating the sorting yard outside the licence risks suspension. Mitigation: include 105 in the application.</t>
  </si>
  <si>
    <t>Medium impact, medium likelihood</t>
  </si>
  <si>
    <t>Board of Investment activity not eligible</t>
  </si>
  <si>
    <t>The model assumes an eight-year corporate income tax holiday. If the recycling activity is not promoted, tax at twenty per cent applies. Mitigation: obtain a Board of Investment opinion before financial close.</t>
  </si>
  <si>
    <t>Before financial close</t>
  </si>
  <si>
    <t>Emission limit tightening</t>
  </si>
  <si>
    <t>Thai air quality standards for pyrolysis and thermal oxidisers may tighten. Mitigation: design the oxidiser and scrubber train with margin and install continuous emission monitoring from day one.</t>
  </si>
  <si>
    <t>E. Diesel price forecast — road freight fuel basis</t>
  </si>
  <si>
    <t>Brent price used for the freight base year</t>
  </si>
  <si>
    <t>Refining margin, excise, oil fund &amp; retail margin</t>
  </si>
  <si>
    <t>Base-year diesel pump price</t>
  </si>
  <si>
    <t>Crude cost component of diesel</t>
  </si>
  <si>
    <t>Diesel pump price</t>
  </si>
  <si>
    <t>Diesel price index versus the freight base year</t>
  </si>
  <si>
    <t>D. Road freight rate build-up — fuel-linked</t>
  </si>
  <si>
    <t>Truck fuel consumption</t>
  </si>
  <si>
    <t>km/litre</t>
  </si>
  <si>
    <t>Diesel pump price — freight base year</t>
  </si>
  <si>
    <t>Fuel cost per kilometre</t>
  </si>
  <si>
    <t>THB/km</t>
  </si>
  <si>
    <t>Fixed cost per kilometre — driver, depreciation, maintenance, tyres, insurance</t>
  </si>
  <si>
    <t>Road freight rate — base year</t>
  </si>
  <si>
    <t>THB/km per trip</t>
  </si>
  <si>
    <t>Fuel share of the freight rate</t>
  </si>
  <si>
    <t>Road freight rate — from the fuel-linked build-up below</t>
  </si>
  <si>
    <t>Landed cost — non-fuel component (ex-works, handling, transit loss)</t>
  </si>
  <si>
    <t>Landed cost — fuel-linked freight component</t>
  </si>
  <si>
    <t>Check — components equal the total landed cost (must be nil)</t>
  </si>
  <si>
    <t>Diesel price — from the freight fuel basis on 02 Oil Price Analysis</t>
  </si>
  <si>
    <t>Diesel price — indexed to the Brent forecast</t>
  </si>
  <si>
    <t>Thailand is the world's second largest tyre production base. The same manufacturers are both the feedstock source and the eventual recovered-carbon-black customer.</t>
  </si>
  <si>
    <t>A. Industry context</t>
  </si>
  <si>
    <t>Indicator</t>
  </si>
  <si>
    <t>Value</t>
  </si>
  <si>
    <t>Source &amp; confidence</t>
  </si>
  <si>
    <t>Global ranking of Thailand as a tyre production base</t>
  </si>
  <si>
    <t>Second largest, after China</t>
  </si>
  <si>
    <t>Thai Board of Investment, reported October 2024 — high confidence</t>
  </si>
  <si>
    <t>Thai tyre production forecast</t>
  </si>
  <si>
    <t>96.31 million units by 2033, growing at 5.2% per year</t>
  </si>
  <si>
    <t>Trade press aggregator — medium confidence, not first-party</t>
  </si>
  <si>
    <t>End-of-life tyres arising in Thailand</t>
  </si>
  <si>
    <t>Approximately 600,000 tonnes per year</t>
  </si>
  <si>
    <t>Academic and WPI studies — medium to high confidence</t>
  </si>
  <si>
    <t>Project feedstock requirement at full capacity</t>
  </si>
  <si>
    <t>79,200 tonnes per year</t>
  </si>
  <si>
    <t>This model, 01 Major Assumptions</t>
  </si>
  <si>
    <t>Project share of national end-of-life tyre arisings</t>
  </si>
  <si>
    <t>Calculated</t>
  </si>
  <si>
    <t>Global installed recovered carbon black capacity</t>
  </si>
  <si>
    <t>Emerton industry analysis — medium confidence</t>
  </si>
  <si>
    <t>European recovered carbon black demand</t>
  </si>
  <si>
    <t>250,000 to 550,000 tonnes per year</t>
  </si>
  <si>
    <t>Project recovered carbon black output at full capacity</t>
  </si>
  <si>
    <t>Approximately 23,300 tonnes per year of pellet</t>
  </si>
  <si>
    <t>This model, 04 Operating Model</t>
  </si>
  <si>
    <t>Manufacturer</t>
  </si>
  <si>
    <t>Ownership / origin</t>
  </si>
  <si>
    <t>Plant location</t>
  </si>
  <si>
    <t>Industrial estate / district</t>
  </si>
  <si>
    <t>Capacity (million tyres per year)</t>
  </si>
  <si>
    <t>Employees</t>
  </si>
  <si>
    <t>Distance to site (km)</t>
  </si>
  <si>
    <t>Relevance to this project</t>
  </si>
  <si>
    <t>Zhongce Rubber (Thailand) — China Strategic</t>
  </si>
  <si>
    <t>Zhongce Rubber Group, China</t>
  </si>
  <si>
    <t>Rayong</t>
  </si>
  <si>
    <t>Rayong, Eastern Economic Corridor</t>
  </si>
  <si>
    <t>Not disclosed</t>
  </si>
  <si>
    <t>Continental Tyres (Thailand)</t>
  </si>
  <si>
    <t>Continental AG, Germany</t>
  </si>
  <si>
    <t>WHA Industrial Estate Eastern Seaboard 4</t>
  </si>
  <si>
    <t>7.8 by 2029</t>
  </si>
  <si>
    <t>1,500 by 2029</t>
  </si>
  <si>
    <t>Thai Board of Investment approval, reported October 2024 — high confidence</t>
  </si>
  <si>
    <t>Other significant producers within haul distance</t>
  </si>
  <si>
    <t>C. Feedstock supply logic — production scrap is not the same as end-of-life tyres</t>
  </si>
  <si>
    <t>Point</t>
  </si>
  <si>
    <t>Quantum</t>
  </si>
  <si>
    <t>Commentary</t>
  </si>
  <si>
    <t>Post-consumer end-of-life tyres arising nationally</t>
  </si>
  <si>
    <t>600,000 t/yr</t>
  </si>
  <si>
    <t>The bulk of the addressable pool; collected through tyre dealers, fleets and independent collectors</t>
  </si>
  <si>
    <t>Manufacturer production scrap and rejects</t>
  </si>
  <si>
    <t>Typically 1% to 3% of production volume</t>
  </si>
  <si>
    <t>Implication for this project</t>
  </si>
  <si>
    <t>79,200 t/yr cannot be sourced from factory scrap alone</t>
  </si>
  <si>
    <t>At a 2% scrap rate, 20 million tyres of production yields roughly 3,000 to 4,000 tonnes. The plant must be built on post-consumer collection, with manufacturer scrap as a premium-quality topping stream</t>
  </si>
  <si>
    <t>Sourcing strategy consequence</t>
  </si>
  <si>
    <t>Nine sources modelled on 10 RM Sourcing &amp; Landed Cost</t>
  </si>
  <si>
    <t>Weighted haul 134 km, landed cost THB 3,592 per tonne, of which freight is 17.5% and now indexed to the Brent forecast</t>
  </si>
  <si>
    <t>Concentration risk</t>
  </si>
  <si>
    <t>No single source above 15% of volume</t>
  </si>
  <si>
    <t>Deliberate: the largest modelled share is 15%, so no counterparty can hold the plant hostage on price</t>
  </si>
  <si>
    <t>D. Offtake logic — the feedstock suppliers are also the customers</t>
  </si>
  <si>
    <t>Michelin</t>
  </si>
  <si>
    <t>40% recycled and renewable sustainable materials by 2030; 100% by 2050. Co-invested in Scandinavian Enviro's Uddevalla plant and pre-sold 10 kilotonnes of annual output before commissioning.</t>
  </si>
  <si>
    <t>Bridgestone</t>
  </si>
  <si>
    <t>100% sustainable materials by 2050; recycled and renewable ratio already 39.9% in FY2024. Dedicated recovered-carbon-black venture with Tokai Carbon formed January 2025.</t>
  </si>
  <si>
    <t>Continental</t>
  </si>
  <si>
    <t>Partnership with Pyrum Innovations for pyrolysis-derived recovered carbon black, now in commercial deployment.</t>
  </si>
  <si>
    <t>Pirelli and Nokian</t>
  </si>
  <si>
    <t>Pirelli P Zero production using recovered carbon black from July 2025; Nokian has adopted offtake agreements on the Enviro model.</t>
  </si>
  <si>
    <t>Goodyear</t>
  </si>
  <si>
    <t>ElectricDrive Sustainable tyre demonstrated with ISCC-certified inputs, targeting 100% sustainable material content by 2030.</t>
  </si>
  <si>
    <t>Procurement gate</t>
  </si>
  <si>
    <t>ISCC PLUS certification is used as a pass or fail filter. Bridgestone M870, Bridgestone Potenza Sport A and Goodyear EDS all carry ISCC PLUS certification. Without the certificate there is no tender.</t>
  </si>
  <si>
    <t>Supply and demand gap</t>
  </si>
  <si>
    <t>Installed global recovered carbon black capacity of roughly 20 kilotonnes per year against European demand alone of 250 to 550 kilotonnes per year, with tyre makers indicating up to 1 million tonnes of demand by 2030.</t>
  </si>
  <si>
    <t>E. Tyre unit weight — converting units to tonnes</t>
  </si>
  <si>
    <t>Tyre category</t>
  </si>
  <si>
    <t>Weight when new (kg)</t>
  </si>
  <si>
    <t>Weight at end of life (kg)</t>
  </si>
  <si>
    <t>Share of Thai production mix</t>
  </si>
  <si>
    <t>Weighted new (kg)</t>
  </si>
  <si>
    <t>Weighted end-of-life (kg)</t>
  </si>
  <si>
    <t>Passenger car radial (PCR)</t>
  </si>
  <si>
    <t>Sport utility &amp; 4x4</t>
  </si>
  <si>
    <t>Light truck &amp; pickup (LTR)</t>
  </si>
  <si>
    <t>Truck &amp; bus radial (TBR)</t>
  </si>
  <si>
    <t>Motorcycle &amp; scooter</t>
  </si>
  <si>
    <t>Agricultural &amp; off-the-road</t>
  </si>
  <si>
    <t>Weighted average per tyre</t>
  </si>
  <si>
    <t>Check — production mix shares total 100%</t>
  </si>
  <si>
    <t>F. Manufacturer production scrap availability</t>
  </si>
  <si>
    <t>Production tonnage (t/yr)</t>
  </si>
  <si>
    <t>Scrap at 1% (t/yr)</t>
  </si>
  <si>
    <t>Scrap at 2% (t/yr)</t>
  </si>
  <si>
    <t>Scrap at 3% (t/yr)</t>
  </si>
  <si>
    <t>Zhongce Rubber (Thailand)</t>
  </si>
  <si>
    <t>Continental Tyres (Thailand), from 2029</t>
  </si>
  <si>
    <t>Sub-total — plants with disclosed capacity</t>
  </si>
  <si>
    <t>Thailand total tyre production — current estimate</t>
  </si>
  <si>
    <t>Thailand total tyre production — 2033 forecast</t>
  </si>
  <si>
    <t>G. Total addressable raw material pool versus the project requirement</t>
  </si>
  <si>
    <t>Weighted average tyre weight when new</t>
  </si>
  <si>
    <t>kg/tyre</t>
  </si>
  <si>
    <t>Weighted average tyre weight at end of life</t>
  </si>
  <si>
    <t>Manufacturer production scrap — central case at 2% of national production</t>
  </si>
  <si>
    <t>Share of national arisings within an economic haul radius</t>
  </si>
  <si>
    <t>of national</t>
  </si>
  <si>
    <t>Post-consumer arisings within haul radius</t>
  </si>
  <si>
    <t>Collection rate achievable through dealers, fleets and collectors</t>
  </si>
  <si>
    <t>of arisings in radius</t>
  </si>
  <si>
    <t>Accessible post-consumer pool</t>
  </si>
  <si>
    <t>Total accessible raw material pool</t>
  </si>
  <si>
    <t>Project requirement at full capacity</t>
  </si>
  <si>
    <t>Project share of the accessible pool</t>
  </si>
  <si>
    <t>Project share of national end-of-life arisings</t>
  </si>
  <si>
    <t>Number of plants of this size the accessible pool could support</t>
  </si>
  <si>
    <t>plants</t>
  </si>
  <si>
    <t>Headroom in the accessible pool after this plant</t>
  </si>
  <si>
    <t>Production scrap is a small, clean topping stream. The plant is fundamentally a post-consumer collection business, which is why 10 RM Sourcing &amp; Landed Cost spreads volume across nine sources with no single source above 15%.</t>
  </si>
  <si>
    <t>B. Five largest tyre manufacturers in Thailand, ranked by disclosed unit capacity</t>
  </si>
  <si>
    <t>Largest single plant in Thailand by unit volume. Sells into Southeast Asia, Europe and America. The most important single production-scrap counterparty.</t>
  </si>
  <si>
    <t>Trade press aggregator — medium confidence, not confirmed first-party</t>
  </si>
  <si>
    <t>Linglong Tire (Thailand)</t>
  </si>
  <si>
    <t>Shandong Linglong Tire, China</t>
  </si>
  <si>
    <t>17.2 (15.0 semi-steel, 2.2 full-steel)</t>
  </si>
  <si>
    <t>Linglong's first overseas base, in production since 2014. Nearly all of Linglong's overseas gross margin came from Thailand in the first half of 2024.</t>
  </si>
  <si>
    <t>Trade press aggregator — medium confidence</t>
  </si>
  <si>
    <t>Sentury Tire (Thailand)</t>
  </si>
  <si>
    <t>Sentury Tire, China</t>
  </si>
  <si>
    <t>Mueang Rayong</t>
  </si>
  <si>
    <t>888/1 Moo 2, Samnakthong, Rayong</t>
  </si>
  <si>
    <t>12.0 rising to 18.0 after phase two</t>
  </si>
  <si>
    <t>First tyre produced 2015, full-scale from 2016. A core profit engine for the group; phase two adds 16.0 million semi-steel and 2.0 million full-steel.</t>
  </si>
  <si>
    <t>THB 13.4 billion expansion adding 3 million radial tyres. European parent with recycled-content targets, so a credible early recovered-carbon-black customer as well as a feedstock source.</t>
  </si>
  <si>
    <t>Double Coin (Thailand)</t>
  </si>
  <si>
    <t>Shanghai Huayi Group with Tribeca Enterprises</t>
  </si>
  <si>
    <t>Thailand</t>
  </si>
  <si>
    <t>Joint venture plant</t>
  </si>
  <si>
    <t>1.85 (1.8 truck and bus, 0.05 construction)</t>
  </si>
  <si>
    <t>Truck and bus radial focus. Heavier tyres, so tonnage per unit is far above a passenger-car plant — disproportionately important for feedstock tonnage.</t>
  </si>
  <si>
    <t>Michelin Siam, Bridgestone Tire Manufacturing (Thailand), Sumitomo Rubber (Thailand), Goodyear (Thailand), Yokohama Rubber, Maxxis / Cheng Shin, Prinx Chengshan (Rayong), Deestone (Samut Sakhon), Otani Radial (Samut Prakan), Vee Rubber (Samut Sakhon), Tongcheng New Materials (Rayong, from December 2025). The Japanese and European majors do not disclose Thai subsidiary capacity, so they cannot be ranked on the same basis even though several are strategically more important as offtakers.</t>
  </si>
  <si>
    <t>The disclosed-capacity ranking is dominated by Chinese producers building in Thailand for export. That is the real structure of the market and it matters: their output largely leaves the country, so it generates production scrap here but not future domestic end-of-life tyres.</t>
  </si>
  <si>
    <t>H. Production, domestic consumption and export — why production is not future domestic feedstock</t>
  </si>
  <si>
    <t>Thai tyre production — current estimate</t>
  </si>
  <si>
    <t>million units</t>
  </si>
  <si>
    <t>Planning assumption, see section F</t>
  </si>
  <si>
    <t>Thai tyre exports to the United States, 2024</t>
  </si>
  <si>
    <t>Trade statistics via aggregator — medium confidence</t>
  </si>
  <si>
    <t>Thailand share of United States tyre imports, January to July 2025</t>
  </si>
  <si>
    <t>share</t>
  </si>
  <si>
    <t>United States passenger car tyre imports from Thailand, 2024</t>
  </si>
  <si>
    <t>Statista, citing US trade data — medium confidence</t>
  </si>
  <si>
    <t>Assumed share of Thai production exported to all destinations</t>
  </si>
  <si>
    <t>Planning assumption — the United States alone absorbs roughly three quarters of estimated output</t>
  </si>
  <si>
    <t>Estimated total export volume</t>
  </si>
  <si>
    <t>Estimated domestic sales of Thai-made tyres</t>
  </si>
  <si>
    <t>Imported tyres sold in Thailand</t>
  </si>
  <si>
    <t>Planning assumption — includes grey-market volume</t>
  </si>
  <si>
    <t>Estimated domestic tyre consumption</t>
  </si>
  <si>
    <t>Domestic consumption expressed in tonnes at end-of-life weight</t>
  </si>
  <si>
    <t>tonnes per year</t>
  </si>
  <si>
    <t>Calculated at the weighted end-of-life weight</t>
  </si>
  <si>
    <t>Thai vehicle production, 2023</t>
  </si>
  <si>
    <t>million vehicles</t>
  </si>
  <si>
    <t>Office of Industrial Economics, cited by TechSci — high confidence</t>
  </si>
  <si>
    <t>Thai tyre market value, 2024</t>
  </si>
  <si>
    <t>USD billion</t>
  </si>
  <si>
    <t>TechSci Research — medium confidence</t>
  </si>
  <si>
    <t>Thai tyre market value, 2030 forecast</t>
  </si>
  <si>
    <t>TechSci Research, 6.23% CAGR — medium confidence</t>
  </si>
  <si>
    <t>Growth in arisings from urbanisation, logistics demand and electrification</t>
  </si>
  <si>
    <t>Cross-check — academic estimate of arisings</t>
  </si>
  <si>
    <t>Worcester Polytechnic Institute study — medium confidence</t>
  </si>
  <si>
    <t>Cross-check — domestic consumption tonnage against arisings</t>
  </si>
  <si>
    <t>ratio</t>
  </si>
  <si>
    <t>A ratio near 1.0 means the two independent estimates agree</t>
  </si>
  <si>
    <t>I. What this means for feedstock security</t>
  </si>
  <si>
    <t>Production scrap follows production, including export volumes</t>
  </si>
  <si>
    <t>The Chinese export plants generate scrap in Thailand even though their tyres are consumed abroad. That scrap is available to this project and it is clean, uniform and easy to bale.</t>
  </si>
  <si>
    <t>Post-consumer arisings follow the domestic fleet, not production</t>
  </si>
  <si>
    <t>Roughly four fifths of Thai output is exported, so national production is a poor proxy for future domestic end-of-life tyre volumes. The arisings pool is set by the domestic vehicle fleet and its replacement cycle.</t>
  </si>
  <si>
    <t>Two independent estimates broadly agree</t>
  </si>
  <si>
    <t>Arisings are growing at about five per cent a year</t>
  </si>
  <si>
    <t>Off-spec tyres are a distinct and attractive stream</t>
  </si>
  <si>
    <t>J. Normalised manufacturer capacity and factory-reject pool (basis for report section 3.6)</t>
  </si>
  <si>
    <t>Factory rejects and off-specification tyres are unworn, so they are converted at the NEW tyre weight in column D of section E, not the end-of-life weight.</t>
  </si>
  <si>
    <t>Manufacturer / plant</t>
  </si>
  <si>
    <t>Basis as published</t>
  </si>
  <si>
    <t>PCR &amp; semi-steel (m units/yr)</t>
  </si>
  <si>
    <t>Light truck (m units/yr)</t>
  </si>
  <si>
    <t>TBR &amp; all-steel (m units/yr)</t>
  </si>
  <si>
    <t>Motorcycle (m units/yr)</t>
  </si>
  <si>
    <t>OTR (t/yr)</t>
  </si>
  <si>
    <t>Normalised tonnage (t/yr)</t>
  </si>
  <si>
    <t>Note</t>
  </si>
  <si>
    <t>~20m tyres/yr, PCR and TBR</t>
  </si>
  <si>
    <t>85:15 semi-steel to all-steel split assumed, in line with Linglong and Sentury</t>
  </si>
  <si>
    <t>Bridgestone (Thailand) — Chonburi</t>
  </si>
  <si>
    <t>~10,500 TBR/day</t>
  </si>
  <si>
    <t>Very high tonnage from modest unit count: a TBR casing is roughly six times a PCR casing</t>
  </si>
  <si>
    <t>Bridgestone (Thailand) — Rayong OTR</t>
  </si>
  <si>
    <t>~35 t/day</t>
  </si>
  <si>
    <t>Already published on a tonnage basis, no conversion needed</t>
  </si>
  <si>
    <t>Michelin (Siam Michelin)</t>
  </si>
  <si>
    <t>to ~7.8m units/yr, passenger and light truck</t>
  </si>
  <si>
    <t>ATTRIBUTION RISK — see note in section K</t>
  </si>
  <si>
    <t>4.8m units/yr plus 3m under expansion</t>
  </si>
  <si>
    <t>75:15:10 passenger, light truck, motorcycle split assumed</t>
  </si>
  <si>
    <t>Linglong (Thailand)</t>
  </si>
  <si>
    <t>12m semi-steel plus 1.2m all-steel</t>
  </si>
  <si>
    <t>SOURCE CONFLICT — an alternative source states 15.0m semi-steel plus 2.2m all-steel</t>
  </si>
  <si>
    <t>Total — five manufacturers, seven plants</t>
  </si>
  <si>
    <t>K. Factory-reject feedstock pool by scrap rate, split by tyre class</t>
  </si>
  <si>
    <t>Tyre class</t>
  </si>
  <si>
    <t>Reject pool at 1%</t>
  </si>
  <si>
    <t>Reject pool at 2%</t>
  </si>
  <si>
    <t>Reject pool at 3%</t>
  </si>
  <si>
    <t>Truck &amp; bus radial and all-steel (TBR)</t>
  </si>
  <si>
    <t>Passenger car, light truck and motorcycle (PCT)</t>
  </si>
  <si>
    <t>Off-the-road (OTR)</t>
  </si>
  <si>
    <t>Total — five manufacturers</t>
  </si>
  <si>
    <t>Check — class tonnage equals normalised total (must be nil)</t>
  </si>
  <si>
    <t>Project requirement at full capacity, from 01 Major Assumptions</t>
  </si>
  <si>
    <t>Factory rejects at 2% as a share of the project requirement</t>
  </si>
  <si>
    <t>Unit: THB  |  Monthly detail for the first three operating years, annual thereafter  |  All figures formula-linked to the underlying schedules  |  Report date: 6 August 2026 (August 2026 edition)</t>
  </si>
  <si>
    <t>Operating days per year assumed for plants published on a daily basis</t>
  </si>
  <si>
    <t>Unit: USD/bbl and THB/tonne  |  Brent source: EIA Short-Term Energy Outlook, July 2026  |  Realised product prices: the incumbent operator 2026 Budget actuals</t>
  </si>
  <si>
    <t>Thai operator realised TPO price — budget / actual basis</t>
  </si>
  <si>
    <t>The study therefore anchors TPO to Brent on an energy-equivalent barrel basis and derives the ratio implied by the incumbent operator's own realised selling price. That ratio is then held forward over the Brent path in section B.</t>
  </si>
  <si>
    <t>Thai operator realised TPO price basis: the incumbent operator 2026 Budget, 01 Financial model, average selling price row (THB 19 per kg = THB 19,000 per tonne).</t>
  </si>
  <si>
    <t>Cleaner, more uniform and easier to bale, but far smaller than the post-consumer pool. This is what the incumbent operator buys today</t>
  </si>
  <si>
    <t>Post-consumer end-of-life and off-spec tyres arising nationally — Thai operator first-party estimate</t>
  </si>
  <si>
    <t>End-of-life and off-spec tyres arising in Thailand — the incumbent operator estimate</t>
  </si>
  <si>
    <t>Thai pyrolysis operator company presentation, 29 September 2025 — first-party, high confidence</t>
  </si>
  <si>
    <t>Thai pyrolysis operator company presentation — first-party</t>
  </si>
  <si>
    <t>the incumbent operator's first-party estimate of 500,000 tonnes per year of end-of-life and off-spec tyres sits below the academic estimate of 600,000 tonnes. The model now uses the the incumbent operator figure as the primary input, which is the conservative choice.</t>
  </si>
  <si>
    <t>the incumbent operator attributes this to urbanisation, logistics demand and electrification. Over the eighteen-month build plus a fifteen-month ramp, the pool grows by roughly twelve per cent before the plant reaches full rate.</t>
  </si>
  <si>
    <t>the incumbent operator's estimate explicitly covers off-spec tyres as well as end-of-life tyres. Off-spec product is unworn, so it carries more rubber per tyre than a worn casing and yields more oil and carbon black per tonne.</t>
  </si>
  <si>
    <t>Competitive risk — the largest tyre-fitting chain is already tied to an incumbent operator</t>
  </si>
  <si>
    <t>Marubeni has owned the B-Quik car maintenance chain since 2006. It operates more than 200 directly managed stores and holds the number one independent share in Thailand. That chain already supplies waste tyres to an incumbent pyrolysis operator in Samut Prakan under a closed-loop arrangement, and recovered material flows back to tyre manufacturers and into the chain. This project therefore cannot assume access to the single largest organised collection channel in the country, and must build its own dealer, fleet and collector network. It is the principal reason the sourcing plan on 10 RM Sourcing &amp; Landed Cost spreads volume across nine independent sources.</t>
  </si>
  <si>
    <t>Calibration — an operating Thai pyrolysis plant reports capacity of 15,000 tonnes per year equal to approximately 1.5 million tyres, or 10.0 kg per tyre, on a mainly passenger-car-radial feed</t>
  </si>
  <si>
    <t>L. Feedstock availability sensitivity — CURRENT base case (supersedes sections C to K)</t>
  </si>
  <si>
    <t>National end-of-life and off-specification tyre arisings</t>
  </si>
  <si>
    <t>Production scrap available at a 2% reject rate</t>
  </si>
  <si>
    <t>Design utilisation ceiling</t>
  </si>
  <si>
    <t>Feedstock-constrained utilisation ceiling: collection rate (rows) versus share of the accessible pool this project can win (columns)</t>
  </si>
  <si>
    <t>Collection rate  \  Winnable share</t>
  </si>
  <si>
    <t>Outcome at each utilisation level — full model re-run, current base case</t>
  </si>
  <si>
    <t>Utilisation achieved</t>
  </si>
  <si>
    <t>Covenant at 1.20x</t>
  </si>
  <si>
    <t>Utilisation needed to hold the 1.20x covenant</t>
  </si>
  <si>
    <t>Utilisation needed to hold 1.00x debt service cover</t>
  </si>
  <si>
    <t>Utilisation at which project IRR equals the WACC</t>
  </si>
  <si>
    <t>Feedstock-constrained ceiling at the modelled 60% collection rate and a 40% winnable share</t>
  </si>
  <si>
    <t>Headroom of the feedstock ceiling over the covenant requirement</t>
  </si>
  <si>
    <t>Feedstock availability, not price and not operating cost, is the binding constraint. The plant needs about 87% utilisation to hold its 1.20x debt covenant. At the modelled 60% collection rate it must win about 40% of the economically accessible pool to reach 96.3% and clear that bar with 9.3 points to spare. Drop the collection rate to 45% and no winnable share below 45% gets the plant to covenant utilisation; drop the winnable share to 30% and the plant cannot hold its covenant at any collection rate tested up to 75%.</t>
  </si>
  <si>
    <t>Combinations below 87.0% in the grid above are feedstock-constrained covenant breaches, not price or cost failures. Securing tonnage under contract is therefore a financing condition, not a commercial preference.</t>
  </si>
  <si>
    <t>Case</t>
  </si>
  <si>
    <t>Equipment cost per unit — after volume discount</t>
  </si>
  <si>
    <t>Total project cost (THB)</t>
  </si>
  <si>
    <t>Tax paid over model (THB)</t>
  </si>
  <si>
    <t>BOI holiday REFUSED — tax at 20% from operating year 1</t>
  </si>
  <si>
    <t>BOI refusal is material and sharper than the earlier narrative allowed. Corporate tax over the model rises from THB 264m to THB 953m, an increase of THB 689m. Equity IRR falls to 13.6%, BELOW the 14.2% cost of equity, so the equity position moves from thin to value-destroying. Minimum DSCR falls to 1.21x, one hundredth above the covenant. A written BOI opinion is a condition precedent, not a due-diligence nicety: without it the project is neither equity-accretive nor comfortably bankable.</t>
  </si>
  <si>
    <t>Presentation caveat on payback: the measure counts whole periods with a negative cumulative free cash flow, and later periods in the grid are annual. A small capital saving can tip a single annual period and move reported payback by a full year, as it does here from 6.5 to 5.5 years. Read payback as approximately 6 years in both cases; the change is a granularity artefact, not a real one-year improvement from a THB 10m saving.</t>
  </si>
  <si>
    <t>Production days per year — continuous operation, two days down per month</t>
  </si>
  <si>
    <t>O. Why scale is the entry condition — supply share of the customer's carbon black requirement</t>
  </si>
  <si>
    <t>A tyre maker does not qualify a recovered carbon black supplier casually. Qualification means compound trials, safety and performance testing, plant audits, ISCC chain-of-custody verification and a multi-year supply commitment, and those costs are largely FIXED per supplier. A producer who can cover only a token share of the buyer's requirement is not worth the qualification effort, no matter how good the material is. Scale is therefore not a cost advantage in this business — it is the entry ticket.</t>
  </si>
  <si>
    <t>Carbon black content of a tyre</t>
  </si>
  <si>
    <t>of tyre mass</t>
  </si>
  <si>
    <t>Recovered carbon black substitution target by 2030</t>
  </si>
  <si>
    <t>of carbon black requirement</t>
  </si>
  <si>
    <t>Minimum share of a customer's rCB requirement to justify qualification as a strategic supplier</t>
  </si>
  <si>
    <t>of their rCB need</t>
  </si>
  <si>
    <t>Tyre output (t/yr)</t>
  </si>
  <si>
    <t>Carbon black requirement (t/yr)</t>
  </si>
  <si>
    <t>rCB requirement at the 2030 target (t/yr)</t>
  </si>
  <si>
    <t>This project as a share of their rCB need</t>
  </si>
  <si>
    <t>This project — rCB pellet output at the 98% sustainable ceiling</t>
  </si>
  <si>
    <t>This project as a share of the five manufacturers' combined rCB requirement</t>
  </si>
  <si>
    <t>Manufacturers whose ENTIRE rCB requirement this project could supply single-handedly</t>
  </si>
  <si>
    <t>Comparison of plant scales</t>
  </si>
  <si>
    <t>Feedstock (t/yr)</t>
  </si>
  <si>
    <t>rCB pellet output (t/yr)</t>
  </si>
  <si>
    <t>Share of the five majors' rCB requirement</t>
  </si>
  <si>
    <t>Customers servable at the qualification threshold</t>
  </si>
  <si>
    <t>This project — 240 t/day, 16 continuous lines</t>
  </si>
  <si>
    <t>A 100 t/day plant — the three-line configuration</t>
  </si>
  <si>
    <t>An incumbent-scale plant — 15,000 t/yr</t>
  </si>
  <si>
    <t>A single-line pilot — 15 t/day</t>
  </si>
  <si>
    <t>Equivalent strategic-supplier relationships this output could sustain, at an average customer size</t>
  </si>
  <si>
    <t>Carbon black content of 28% of tyre mass, the 20% substitution target and the 15% qualification threshold are all planning assumptions, highlighted yellow. The 28% figure is consistent with published statements that carbon black constitutes about 20% to 30% of a tyre. The substitution target reflects announced 2030 sustainable-material goals of 40% across all materials, of which rCB is one component. The qualification threshold has no published source and is the weakest of the three.</t>
  </si>
  <si>
    <t>Construction spend phasing profiles — aligned to the project implementation timeline (% of item cost by month)</t>
  </si>
  <si>
    <t>Feasibility &amp; front-end study</t>
  </si>
  <si>
    <t>Engineering &amp; procurement</t>
  </si>
  <si>
    <t>Capital item</t>
  </si>
  <si>
    <t>Source cell</t>
  </si>
  <si>
    <t>Scaling exponent</t>
  </si>
  <si>
    <t>Scaling basis</t>
  </si>
  <si>
    <t>Pyrolysis plant</t>
  </si>
  <si>
    <t>E15</t>
  </si>
  <si>
    <t>Tyre shredder</t>
  </si>
  <si>
    <t>E16</t>
  </si>
  <si>
    <t>Six-tenths rule — fewer or smaller machines</t>
  </si>
  <si>
    <t>E17</t>
  </si>
  <si>
    <t>Fixed — one machine either way</t>
  </si>
  <si>
    <t>E18</t>
  </si>
  <si>
    <t>Six-tenths rule — scales with gas volume</t>
  </si>
  <si>
    <t>E19</t>
  </si>
  <si>
    <t>Six-tenths rule</t>
  </si>
  <si>
    <t>E20</t>
  </si>
  <si>
    <t>E21</t>
  </si>
  <si>
    <t>Firefighting, HVAC &amp; ventilation</t>
  </si>
  <si>
    <t>E22</t>
  </si>
  <si>
    <t>E23</t>
  </si>
  <si>
    <t>Fixed — single connection to the estate</t>
  </si>
  <si>
    <t>E24</t>
  </si>
  <si>
    <t>E25</t>
  </si>
  <si>
    <t>E26</t>
  </si>
  <si>
    <t>Fixed — one weighbridge either way</t>
  </si>
  <si>
    <t>E63</t>
  </si>
  <si>
    <t>E64</t>
  </si>
  <si>
    <t>E65</t>
  </si>
  <si>
    <t>Freight, insurance &amp; delivery</t>
  </si>
  <si>
    <t>E66</t>
  </si>
  <si>
    <t>E67</t>
  </si>
  <si>
    <t>E98</t>
  </si>
  <si>
    <t>Consultant fees</t>
  </si>
  <si>
    <t>E99</t>
  </si>
  <si>
    <t>E100</t>
  </si>
  <si>
    <t>Fixed — same permits regardless of line count</t>
  </si>
  <si>
    <t>E101</t>
  </si>
  <si>
    <t>E104</t>
  </si>
  <si>
    <t>Civil — waste tyre bunker</t>
  </si>
  <si>
    <t>E38</t>
  </si>
  <si>
    <t>Civil — warehouse</t>
  </si>
  <si>
    <t>E40</t>
  </si>
  <si>
    <t>Civil — wastewater treatment tank</t>
  </si>
  <si>
    <t>E43</t>
  </si>
  <si>
    <t>Civil — water clarify &amp; demin tank</t>
  </si>
  <si>
    <t>E44</t>
  </si>
  <si>
    <t>Civil — air compressor &amp; tank structure</t>
  </si>
  <si>
    <t>E46</t>
  </si>
  <si>
    <t>Civil — transformer foundation</t>
  </si>
  <si>
    <t>E47</t>
  </si>
  <si>
    <t>Civil — pyrolysis plant</t>
  </si>
  <si>
    <t>E54</t>
  </si>
  <si>
    <t>Civil — indirect cost</t>
  </si>
  <si>
    <t>E55</t>
  </si>
  <si>
    <t>Market rate — steel-structure standard factory building, upper bound</t>
  </si>
  <si>
    <t>Market rate — reinforced concrete plant, lower bound</t>
  </si>
  <si>
    <t>Market rate — reinforced concrete plant, upper bound</t>
  </si>
  <si>
    <t>Uplift for environmental facilities such as wastewater treatment</t>
  </si>
  <si>
    <t>of build cost</t>
  </si>
  <si>
    <t>Covered building gross floor area — from the area take-off</t>
  </si>
  <si>
    <t>Market benchmark — mid-point, steel-frame factory</t>
  </si>
  <si>
    <t>Market benchmark — mid-point, plus environmental uplift</t>
  </si>
  <si>
    <t>Model rate as a percentage of the steel-frame market mid-point</t>
  </si>
  <si>
    <t>Source: Ruihua International Business Development Consulting, full analysis of investment and construction costs in Thailand, http://www.ruihua-int.com/en/globalView.asp?id=2 — UNOFFICIAL, a business consultancy rather than a quantity surveyor or first-party contractor. Treat as indicative. Supporting context from PEB Steel: turnkey factory cost typically runs 2 to 3 times the supply-only steel structure cost because it includes foundations, erection and mechanical and electrical systems, and pre-engineered steel is 20 to 40 per cent cheaper per square metre than reinforced concrete. Two contractor quotations would replace this benchmark.</t>
  </si>
  <si>
    <t>Market — 15 t/day continuous line, low end, FOB China, equipment only</t>
  </si>
  <si>
    <t>USD/line</t>
  </si>
  <si>
    <t>Market — 15 t/day continuous line, high end, FOB China, equipment only</t>
  </si>
  <si>
    <t>Market — fully continuous entry price, premium supplier</t>
  </si>
  <si>
    <t>Uplift for freight, duty, erection, commissioning, spares &amp; Thai emissions compliance</t>
  </si>
  <si>
    <t>of FOB price</t>
  </si>
  <si>
    <t>Estimated delivered &amp; installed cost — low</t>
  </si>
  <si>
    <t>Estimated delivered &amp; installed cost — high</t>
  </si>
  <si>
    <t>THB/line</t>
  </si>
  <si>
    <t>Model — pyrolysis plant line item, base cost</t>
  </si>
  <si>
    <t>THB total</t>
  </si>
  <si>
    <t>Model — number of lines</t>
  </si>
  <si>
    <t>Model — base cost per line</t>
  </si>
  <si>
    <t>Model — cost per line after base-date escalation</t>
  </si>
  <si>
    <t>Model — cost per line in USD</t>
  </si>
  <si>
    <t>Model against the delivered &amp; installed high estimate</t>
  </si>
  <si>
    <t>Model against the FOB equipment high estimate</t>
  </si>
  <si>
    <t>Indicative overstatement if the delivered mid-point is correct</t>
  </si>
  <si>
    <t>FINDING. Chinese suppliers quote a 15 t/day fully continuous tyre pyrolysis line at roughly USD 240,000 to 500,000 FOB, equipment only, with one premium supplier's fully continuous entry price at USD 688,900. The model carries about USD 1.16 million per line after escalation. Even allowing a 60 per cent uplift for freight, duty, erection, commissioning, spares and Thai emissions compliance, the model sits well above the top of the delivered range. On the delivered mid-point the pyrolysis line item looks overstated by roughly THB 200 million.</t>
  </si>
  <si>
    <t>Area type</t>
  </si>
  <si>
    <t>Area basis</t>
  </si>
  <si>
    <t>Rate (THB/m2)</t>
  </si>
  <si>
    <t>Cost (THB)</t>
  </si>
  <si>
    <t>Process buildings — shredding hall, pyrolysis area, pelletising building, electrical &amp; control</t>
  </si>
  <si>
    <t>Concrete-plant rate: heavy floors, crane loads, ventilation</t>
  </si>
  <si>
    <t>Non-process buildings — finished goods warehouse, workshop, office, laboratory</t>
  </si>
  <si>
    <t>Pre-engineered steel-frame rate</t>
  </si>
  <si>
    <t>Reinforced process hardstanding — bunker slab, condensing plinths, tank farm bund, steel and flare areas, utilities, water, wastewater, fire</t>
  </si>
  <si>
    <t>Reinforced slab, bunding and containment</t>
  </si>
  <si>
    <t>Roads, hardstanding, parking &amp; circulation</t>
  </si>
  <si>
    <t>Trailer-rated pavement</t>
  </si>
  <si>
    <t>Soft landscaping</t>
  </si>
  <si>
    <t>Reactor &amp; equipment foundations with micropiling</t>
  </si>
  <si>
    <t>Total rate-based civil works estimate</t>
  </si>
  <si>
    <t>Current lot-based in-scope civil works, as escalated</t>
  </si>
  <si>
    <t>Calibration factor applied to each civil lot</t>
  </si>
  <si>
    <t>Civil works — buildings only, from the rate build-up on 03 CAPEX section M</t>
  </si>
  <si>
    <t>Implied cost per square metre of covered floor area — buildings only</t>
  </si>
  <si>
    <t>Difference against the market mid-point, buildings only</t>
  </si>
  <si>
    <t>Total civil works including hardstanding, roads and foundations</t>
  </si>
  <si>
    <t>Pyrolysis line — FOB China, 15 t/day fully continuous, specification for tyre-grade rCB</t>
  </si>
  <si>
    <t>Sea freight &amp; marine insurance to Laem Chabang / Chonburi</t>
  </si>
  <si>
    <t>of FOB</t>
  </si>
  <si>
    <t>Pyrolysis line — CIF Chonburi</t>
  </si>
  <si>
    <t>Number of lines</t>
  </si>
  <si>
    <t>Pyrolysis plant — total CIF Chonburi</t>
  </si>
  <si>
    <t>Pelletising — reference quotation capacity</t>
  </si>
  <si>
    <t>Pelletising — reference quotation price, FOB</t>
  </si>
  <si>
    <t>Pelletising — required capacity</t>
  </si>
  <si>
    <t>Number of pelletising lines for redundancy and maintenance cover</t>
  </si>
  <si>
    <t>Capacity per pelletising line</t>
  </si>
  <si>
    <t>Capacity-scaling exponent — six-tenths rule</t>
  </si>
  <si>
    <t>Pelletising line — FOB, properly sized</t>
  </si>
  <si>
    <t>Pelletising line — CIF Chonburi</t>
  </si>
  <si>
    <t>Inland haulage, customs clearance &amp; site delivery — retained separately</t>
  </si>
  <si>
    <t>of the study freight line</t>
  </si>
  <si>
    <t>Inland haulage, customs clearance &amp; site delivery — CIF already covers sea freight</t>
  </si>
  <si>
    <t>The pyrolysis plant and pelletising inputs are now driven by this CIF build-up. The base cost in E15 is divided by the escalation factor so that applying the factor downstream returns the CIF figure — CIF pricing is current-money and must not be escalated from a 2022 base. Sea freight and marine insurance are inside CIF, so the study's freight line is reduced to inland haulage, customs clearance and site delivery only, at 20 per cent of the original. Import duty is not modelled: machinery for a BOI-promoted project is exempt. Erection and commissioning remain a separate line and are unchanged.</t>
  </si>
  <si>
    <t>Pelletising is now two properly-sized lines rather than thirteen copies of a 2,000 t/yr machine. Two lines rather than one gives maintenance cover on the only route to market for rCB pellet, which carries 55 per cent of revenue. Installation per line is raised to THB 25 million to reflect the larger equipment.</t>
  </si>
  <si>
    <t>Equipment cost per pelletising line — properly sized, FOB, de-escalated to the reference base date</t>
  </si>
  <si>
    <t>Installation, civil, electrical &amp; utilities per pelletising line — de-escalated</t>
  </si>
  <si>
    <t>0.15 m2 per annual tonne of installed pelletising capacity, plus 600 m2 handling</t>
  </si>
  <si>
    <t>Pelletising — total equipment only, CIF Chonburi (excludes installation and contingency)</t>
  </si>
  <si>
    <t>Two errors found on verification and corrected. First, pelletising equipment and installation were entered in current money but then multiplied by the 1.174 base-date escalation factor downstream, escalating a price quoted today from a 2022 base. Both are now divided by the factor first, as the pyrolysis line already was. Second, the pelletising building area was driven by the reference-quotation capacity of 2,000 tonnes per line rather than the installed capacity of about 12,000 tonnes per line, understating the building by roughly 3,000 square metres.</t>
  </si>
  <si>
    <t>Pelletising plant — mills, dryer fans, conveyors (load follows tonnage, not line count)</t>
  </si>
  <si>
    <t>00 Summary</t>
  </si>
  <si>
    <t>02 Oil Price Analysis</t>
  </si>
  <si>
    <t>06 Debt &amp; WC</t>
  </si>
  <si>
    <t>07 Equity &amp; Dividend</t>
  </si>
  <si>
    <t>08 Certification &amp; Premium</t>
  </si>
  <si>
    <t>10 RM Sourcing &amp; Landed Cost</t>
  </si>
  <si>
    <t>11 NRV Costing</t>
  </si>
  <si>
    <t>12 Site, Civil &amp; Utilities</t>
  </si>
  <si>
    <t>13 Factory Permits 105 &amp; 106</t>
  </si>
  <si>
    <t>14 Market Study</t>
  </si>
  <si>
    <t>Equipment cost per unit — list price (volume discount in column D)</t>
  </si>
  <si>
    <t>Fabrication, installation, foundation &amp; micropiling</t>
  </si>
  <si>
    <t>Reference — 1,200 t/yr line quotation</t>
  </si>
  <si>
    <t>Base case as now directed — BOI granted, 20% reference equipment supplier discount</t>
  </si>
  <si>
    <t>The reference equipment supplier volume discount saves THB 10.4m of capital and moves project IRR by 0.1 of a percentage point. It is worth having but it is not material to the decision and should not be presented as one.</t>
  </si>
  <si>
    <t>Live configuration switch — current line count</t>
  </si>
  <si>
    <t>Reference design line count that the base costs are priced for</t>
  </si>
  <si>
    <t>Live capacity ratio applied to the scaling exponents</t>
  </si>
  <si>
    <t>Live scale factor</t>
  </si>
  <si>
    <t>Three reasons not to simply cut to the supplier price. First, quoted prices span USD 39,000 to 688,900 for nominally the same product, so this is not one market but a spread of very different machines under one label. Second, a specification capable of producing tyre-industry-grade rCB consistently needs better reactor metallurgy, tighter temperature control, proper condensing trains and real emissions control, which sits at the top of the range or above it. Third, the reference study priced a Thai EPC scope with local content, warranty and support, and it lists erection, freight and engineering separately, so its equipment figure should be comparable — but that has not been confirmed with the study's author.</t>
  </si>
  <si>
    <t>Sources: GEP Ecotech, aishred.com; Beston Group, bestongroup.com; Henan Doing, bestpyrolysisplant.com. All are equipment suppliers quoting their own products — unofficial and self-interested. Two firm quotations against this project's specification would replace this benchmark and should be obtained before financial close.</t>
  </si>
  <si>
    <t>The scale story in numbers. The five largest tyre manufacturers in Thailand consume an estimated 253,005 tonnes of carbon black a year across seven plants. At a 20% recovered-carbon-black substitution target their combined rCB requirement is 50,601 tonnes a year. This project produces 23,580 tonnes of rCB pellet at the sustainable ceiling — 46.6% of that entire requirement, and more than the FULL rCB requirement of any single one of the six plants taken individually. That is what makes the project sellable: it can offer any one of these customers sole-source security, or offer several of them a strategic share, and it is therefore worth the fixed cost of qualification.</t>
  </si>
  <si>
    <t>The converse, which is the real barrier to entry. A 100 tonne per day plant produces 9,825 tonnes and covers 19.4% of the same requirement, enough for roughly seven average strategic-supplier relationships. An incumbent-scale 15,000 tonne per year plant produces 4,322 tonnes, covers 8.5%, and can sustain about three. A single-line pilot at 15 tonnes per day produces 1,474 tonnes, covers 2.9%, and can sustain one. Below strategic-supplier scale a producer is not a marginal competitor in this market — it is excluded from it, and is pushed into non-tyre applications such as pigment, rubber goods, plastics and paint where the qualification burden is lower but the price is materially worse.</t>
  </si>
  <si>
    <t>And the consequence of being this big. At 46.6% of the domestic majors' requirement the plant is sized beyond what Thailand alone can absorb from a single supplier — no buyer takes half its strategic input from one new entrant. Roughly eighteen equivalent average relationships against a domestic universe of six plants means the offtake plan must be regional or global, not Thai. That is consistent with the wider market position: installed global rCB capacity of roughly 20,000 tonnes a year against European demand alone of 250,000 to 550,000 tonnes. The scale that makes the project sellable also makes exporting compulsory, and ISCC PLUS certification is what makes exporting possible.</t>
  </si>
  <si>
    <t>Clarified water tariff (industrial-estate)</t>
  </si>
  <si>
    <t>Wastewater treatment tariff (industrial-estate)</t>
  </si>
  <si>
    <t>industrial-estate common utilities fee</t>
  </si>
  <si>
    <t>E. Land lease &amp; permits (industrial-estate)</t>
  </si>
  <si>
    <t>Maintenance capital expenditure</t>
  </si>
  <si>
    <t>Maintenance capital expenditure — annual rate on machinery cost</t>
  </si>
  <si>
    <t>of machinery cost per operating year</t>
  </si>
  <si>
    <t>Machinery cost base — pyrolysis process equipment, condensing units &amp; pelletising units</t>
  </si>
  <si>
    <t>Annual maintenance capital expenditure rate</t>
  </si>
  <si>
    <t>Maintenance capital expenditure is capitalised into the pyrolysis plant and machinery class, so it is depreciated over the machinery life and carried in the balance sheet, and it is charged to investing cash flow. It runs only in operating periods. It is separate from the maintenance line in 05 Opex by Ledger, which covers routine spares, lubricants and contract labour, so there is no double count.</t>
  </si>
  <si>
    <t>Finding. Chinese suppliers quote a 15 t/day fully continuous tyre pyrolysis line at roughly USD 240,000 to 500,000 FOB, equipment only, with one premium supplier's fully continuous entry price at USD 688,900. The model carries about USD 1.16 million per line after escalation. Even allowing a 60 per cent uplift for freight, duty, erection, commissioning, spares and Thai emissions compliance, the model sits well above the top of the delivered range. On the delivered mid-point the pyrolysis line item looks overstated by roughly THB 200 million.</t>
  </si>
  <si>
    <t>CRCC Pyrolysis Plant Project</t>
  </si>
  <si>
    <t>Upfront leasehold fee — industrial estate</t>
  </si>
  <si>
    <t>Land rent accrued during construction — capitalised to owner's cost</t>
  </si>
  <si>
    <t>Land &amp; site — industrial estate, Eastern Seaboard (type 106 factory licence included in the lease)</t>
  </si>
  <si>
    <t>Rent escalation per cycle — 7% per five years applies to contracts longer than five years</t>
  </si>
  <si>
    <t>Plot area leased — plot A18, 29-3-18.56 rai</t>
  </si>
  <si>
    <t>Tax loss utilised — relief only in periods outside the BOI holiday</t>
  </si>
  <si>
    <t>Selling price factor</t>
  </si>
  <si>
    <t>Consultancy retainer — runs from the first month of construction for the life of the project</t>
  </si>
  <si>
    <t>Consultancy retainer</t>
  </si>
  <si>
    <t>Total cost per unit — de-escalated to the reference base date, the quotation is in current money</t>
  </si>
  <si>
    <t>Type 106 factory licence — included in the land lease, no separate charge</t>
  </si>
  <si>
    <t>Industrial estate factory type 106 licence</t>
  </si>
  <si>
    <t>Industrial estate authority</t>
  </si>
  <si>
    <t>Included in the land lease at no separate charge; granted with the lease</t>
  </si>
  <si>
    <t>Basis applied in the model</t>
  </si>
  <si>
    <t>Owner's cost and soft cost at 8% per month</t>
  </si>
  <si>
    <t>Commissioning &amp; test run</t>
  </si>
  <si>
    <t>Construction period — 3 months feasibility &amp; front-end study plus 18 months EPC</t>
  </si>
  <si>
    <t>Civil, site works &amp; buildings — construction &amp; installation phase, months 10 to 21</t>
  </si>
  <si>
    <t>Process equipment — order deposit 30% at month 4, progress payments months 5 to 21</t>
  </si>
  <si>
    <t>Owner's cost &amp; soft cost — feasibility &amp; front-end months 1 to 3, engineering months 4 to 9, balance to month 21</t>
  </si>
  <si>
    <t>Check — each profile must total 100%</t>
  </si>
  <si>
    <t>J. Project implementation timeline</t>
  </si>
  <si>
    <t>Duration</t>
  </si>
  <si>
    <t>Model periods</t>
  </si>
  <si>
    <t>Permitting, environmental study, BOI application &amp; financial close</t>
  </si>
  <si>
    <t>About 12 months</t>
  </si>
  <si>
    <t>Not modelled</t>
  </si>
  <si>
    <t>Assumed complete before construction month 1. No time and no spend in the model — see the note below</t>
  </si>
  <si>
    <t>Construction months 1 to 3, Jan-27 to Mar-27</t>
  </si>
  <si>
    <t>Construction months 4 to 9, Apr-27 to Sep-27</t>
  </si>
  <si>
    <t>Equipment order deposit 30% at month 4, then progress payments; owner's cost at 7% per month</t>
  </si>
  <si>
    <t>Construction, installation &amp; erection</t>
  </si>
  <si>
    <t>Construction months 10 to 21, Oct-27 to Sep-28</t>
  </si>
  <si>
    <t>Civil and buildings spread evenly across these twelve months; equipment progress payments continue to month 21</t>
  </si>
  <si>
    <t>EPC — engineering, procurement &amp; construction, total</t>
  </si>
  <si>
    <t>18 months</t>
  </si>
  <si>
    <t>Construction months 4 to 21, Apr-27 to Sep-28</t>
  </si>
  <si>
    <t>Memo — the engineering, procurement and construction phases above combined</t>
  </si>
  <si>
    <t>1 month</t>
  </si>
  <si>
    <t>Operating month 1, Oct-28</t>
  </si>
  <si>
    <t>Test run at 20% utilisation. First revenue period</t>
  </si>
  <si>
    <t>Ramp to the sustainable ceiling</t>
  </si>
  <si>
    <t>Operating months 2 to 13, Nov-28 to Oct-29</t>
  </si>
  <si>
    <t>Linear ramp from 20% to the 98% ceiling</t>
  </si>
  <si>
    <t>Total from start to first commercial output</t>
  </si>
  <si>
    <t>22 months</t>
  </si>
  <si>
    <t>Jan-27 to Oct-28</t>
  </si>
  <si>
    <t>Construction period of 21 months plus the one-month test run</t>
  </si>
  <si>
    <t>What the model does not include. The clock starts at construction month 1. Section I above puts the environmental study at nine to twelve months and the Board of Investment application at six to nine months, both of which must complete before construction begins. On the critical path that is roughly twelve months of permitting and development ahead of Jan-27. The model assumes every approval is in hand on day one. If the permitting clock starts at financial close instead, first revenue moves from Oct-28 to about Oct-29, interest during construction rises, and the returns shown here are overstated. The honest programme is about twelve months of permitting plus twenty-two months to first output, so roughly thirty-four months from a standing start.</t>
  </si>
  <si>
    <t>Machine fabrication lead time must be confirmed. The procurement phase above allows six months from order to the start of delivery, with progress payments continuing through erection. If fabrication is genuinely eighteen months from order, delivery falls at month 22 and the construction period is longer than twenty-one months. This is the single assumption most likely to move the programme, and it should be fixed with the technology supplier before the schedule is relied on.</t>
  </si>
  <si>
    <t>An earlier note on this sheet said the model's civil allowance was about half the market rate. That was wrong and has been corrected. The lesson worth recording: the original comparison divided the whole civil budget by covered floor area only, which understated the implied rate per square metre and would have made a correctly priced estimate look excessive. Benchmarks must compare like with like.</t>
  </si>
  <si>
    <t>Drawdown — project cost, only after the equity commitment is fully paid in</t>
  </si>
  <si>
    <t>Equity commitment — equity share of project cost excluding capitalised financing, paid in full before any drawdown</t>
  </si>
  <si>
    <t>Gas share of the residual fraction — derived from the two reference figures above</t>
  </si>
  <si>
    <t>Pelletising reference quotation capacity — price basis only, not a limit on line size</t>
  </si>
  <si>
    <t>Installed pelletising capacity — lines times the sized capacity per line</t>
  </si>
  <si>
    <t>Unit: THB unless stated  |  Sources: reference capital cost estimate for a comparable waste tyre pyrolysis plant, industrial estate land offer, equipment supplier and installation contractor quotations, pelletising supplier proposal, EIA Short-Term Energy Outlook</t>
  </si>
  <si>
    <t>Residual split reference — pyrolysis gas, from the reference capital cost estimate</t>
  </si>
  <si>
    <t>Residual split reference — sludge / residual oil, from the reference capital cost estimate</t>
  </si>
  <si>
    <t>Site preparation — non-EPC scope</t>
  </si>
  <si>
    <t>Sludge &amp; waste disposal</t>
  </si>
  <si>
    <t>Unit: THB  |  Power-block scope excluded  |  Sources: reference capital cost estimate for a comparable waste tyre pyrolysis plant, equipment supplier and installation contractor condensing-unit quotations, pelletising supplier proposal, industrial estate land offer</t>
  </si>
  <si>
    <t>Base date of the reference capital cost estimate</t>
  </si>
  <si>
    <t>No independently verifiable Thai quantity-surveyor benchmark could be sourced, so the reference bill of quantities from the reference study is used as the primary rate source and the implied rates above are shown for the client to sanity-check against a contractor quotation.</t>
  </si>
  <si>
    <t>rCB powder — starting price at construction start, escalated thereafter</t>
  </si>
  <si>
    <t>rCB pellet — starting price at construction start, escalated thereafter</t>
  </si>
  <si>
    <t>Wire steel — starting price at construction start, escalated thereafter</t>
  </si>
  <si>
    <t>Sludge &amp; residual oil — disposal cost paid, not a sale</t>
  </si>
  <si>
    <t>Total direct cost — this scope, source-estimate basis</t>
  </si>
  <si>
    <t>Share of shared indirect cost attributable to this scope</t>
  </si>
  <si>
    <t>C. EPC — engineering, indirect &amp; contingency (allocated on in-scope direct-cost share)</t>
  </si>
  <si>
    <t>D. Condensing units (quantity driven by feed capacity)</t>
  </si>
  <si>
    <t>E. Pelletising units (quantity driven by rCB pellet volume)</t>
  </si>
  <si>
    <t>F. Non-EPC / owner's cost</t>
  </si>
  <si>
    <t>G. Financing cost capitalised during construction</t>
  </si>
  <si>
    <t>H. Total project cost</t>
  </si>
  <si>
    <t>I. Fixed asset additions by class</t>
  </si>
  <si>
    <t>J. Gross fixed assets — cumulative</t>
  </si>
  <si>
    <t>K. Depreciation &amp; amortisation charge</t>
  </si>
  <si>
    <t>L. Accumulated depreciation &amp; amortisation</t>
  </si>
  <si>
    <t>M. Net book value</t>
  </si>
  <si>
    <t>O. Pyrolysis line market price benchmark — supplier quotations against the model</t>
  </si>
  <si>
    <t>P. Civil works rebuilt on rate x area — replaces the 2022 lot schedule as the cost driver</t>
  </si>
  <si>
    <t>Q. Machinery repriced at market CIF Chonburi — pyrolysis lines and pelletising</t>
  </si>
  <si>
    <t>R. Maintenance capital expenditure — a fixed percentage of machinery cost each operating year</t>
  </si>
  <si>
    <t>Pyrolysis plant — market CIF Chonburi, see section Q</t>
  </si>
  <si>
    <t>B. Civil works &amp; buildings — 2022 lot schedule, re-rated to the market build-up in section P</t>
  </si>
  <si>
    <t>Pelletising lines required — sized for redundancy, see section Q</t>
  </si>
  <si>
    <t>Civil lots are excluded from the line-count scale factor — civil works already scales through the area take-off on 12 Site, Civil &amp; Utilities and is calibrated to the rate-based estimate in section P.</t>
  </si>
  <si>
    <t>The in-scope cost of every capacity-dependent item is multiplied by the live scale factor in column H of section N, so changing the line count on 01 Major Assumptions reflows the whole capital estimate with no manual editing. The reference design line count in D311 is the configuration the base costs were priced for and does not change with the case. The pyrolysis package and pelletising are excluded because they already scale from line count and throughput respectively.</t>
  </si>
  <si>
    <t>The in-scope cost of every capacity-dependent item below is now multiplied by the live scale factor in column H of section N, so changing the line count on 01 Major Assumptions reflows the whole capital estimate with no manual editing. The pyrolysis package and pelletising are excluded because they already scale from line count and throughput respectively.</t>
  </si>
  <si>
    <t>The fourteen-lot schedule in section B is retained because it carries the scope detail and drives the construction phasing, but each lot is multiplied by the calibration factor above so the civil total equals the rate-based estimate. The 2022 lot sums are preserved in column D as the traceable source; column E is the re-rated cost. Rates come from the market benchmark on 12 Site, Civil &amp; Utilities: THB 12,000 to 18,000 per square metre for steel-frame factory buildings and 15,000 to 25,000 for concrete plant. Process buildings are priced at the concrete-plant end because they carry heavy floors, crane loads and ventilation; non-process buildings at the steel-frame rate.</t>
  </si>
  <si>
    <t>Reference estimate — direct cost outside this scope, source basis, equipment and civil</t>
  </si>
  <si>
    <t>Contingency — EPC, 10% of the five engineering and indirect items above</t>
  </si>
  <si>
    <t>Front-end fee</t>
  </si>
  <si>
    <t>Front-end fee — charged at the first drawdown</t>
  </si>
  <si>
    <t>Commitment fee on undrawn facility — accrues only once the facility is live</t>
  </si>
  <si>
    <t>Consultant fees — owner's engineer, lender's engineer &amp; legal</t>
  </si>
  <si>
    <t>Office equipment, furniture &amp; IT — first month of spend</t>
  </si>
  <si>
    <t>Office equipment, furniture &amp; IT — spend starts in construction month 13</t>
  </si>
  <si>
    <t>Contingency — owner's cost, 10% of the sum of the other items in this group</t>
  </si>
  <si>
    <t>Rounding adjustment to the nearest million</t>
  </si>
  <si>
    <t>Cash position before the facility</t>
  </si>
  <si>
    <t>Interest on the facility</t>
  </si>
  <si>
    <t>Working capital facility, net</t>
  </si>
  <si>
    <t>Initial working capital &amp; debt service reserve — not used, the working capital facility covers this</t>
  </si>
  <si>
    <t>Drawdown when cash falls below the minimum balance</t>
  </si>
  <si>
    <t>Repayment from surplus cash to reduce interest</t>
  </si>
  <si>
    <t>E. Working capital facility — available from commercial operation only</t>
  </si>
  <si>
    <t>Equity injection — committed share of project cost, plus any shortfall to the minimum cash balance before commissioning</t>
  </si>
  <si>
    <t>Revenue at full capacity, final projection year</t>
  </si>
  <si>
    <t>EBITDA at full capacity, final projection year</t>
  </si>
  <si>
    <t>Net profit at full capacity, final projection year</t>
  </si>
  <si>
    <t>All figures on this sheet are re-run on the current model. Section A is live; the sensitivity results below are scenario outputs and are dated by the re-run note in each section.</t>
  </si>
  <si>
    <t>B. One-way sensitivity — tornado, ranked by project IRR swing, full model re-run at each point</t>
  </si>
  <si>
    <t xml:space="preserve">  of which absorbed production cost</t>
  </si>
  <si>
    <t xml:space="preserve">  of which idle capacity expense</t>
  </si>
  <si>
    <t>Cost of goods sold — absorbed production cost</t>
  </si>
  <si>
    <t>Idle capacity expense</t>
  </si>
  <si>
    <t>M. Directed management assumptions — BOI holiday granted and reference equipment supplier volume discount (client instruction, 6 August 2026)</t>
  </si>
  <si>
    <t>Working capital facility</t>
  </si>
  <si>
    <t>Financial expenses — senior debt and working capital facility</t>
  </si>
  <si>
    <t>N. Capacity scaling — live scale factor applied to each capacity-dependent capital item</t>
  </si>
  <si>
    <t>Linear — one unit per pyrolysis line</t>
  </si>
  <si>
    <t>Reactor bases, priced from the condensing-unit foundation quotation</t>
  </si>
  <si>
    <t>Each capacity-dependent capital item carries a scaling exponent and a live scale factor in column I, driven by the capacity ratio in section Q. Changing the line count on 01 Major Assumptions reflows the whole capital estimate with no manual editing.</t>
  </si>
  <si>
    <t>Pyrolysis lines at 300 m2 per line including spacing and access</t>
  </si>
  <si>
    <t>Condensing units at 60 m2 per unit</t>
  </si>
  <si>
    <t>Forces phasing of the pyrolysis lines. Mitigation: apply for the full capacity at the outset rather than incrementally.</t>
  </si>
  <si>
    <t>Memo — before the reference equipment supplier discount, at list price</t>
  </si>
  <si>
    <t>Both are directed assumptions, not verified positions. No BOI ruling is held and no firm quotation for a bulk condensing order has been received. The base case now carries both; the cost of the BOI assumption being wrong is quantified below.</t>
  </si>
  <si>
    <t>Driver restore log — delete once the re-run is complete and the base case is verified</t>
  </si>
  <si>
    <t>D64</t>
  </si>
  <si>
    <t>D191</t>
  </si>
  <si>
    <t>Selling price factor — all products</t>
  </si>
  <si>
    <t>D189</t>
  </si>
  <si>
    <t>D190</t>
  </si>
  <si>
    <t>D41</t>
  </si>
  <si>
    <t>D32</t>
  </si>
  <si>
    <t>D40</t>
  </si>
  <si>
    <t>D195</t>
  </si>
  <si>
    <t>D218</t>
  </si>
  <si>
    <t>D136</t>
  </si>
  <si>
    <t>Re-run on the settled base: 8 lines, 50% gearing, raw material at THB 3,700 ex-works, idle capacity charged to the profit and loss account, working capital facility from commissioning. Base project IRR 21.22%, equity IRR 12.81%.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</si>
</sst>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00;[Red]\(#,##0.00\);\-"/>
    <numFmt numFmtId="166" formatCode="#,##0;\(#,##0\);&quot;-&quot;"/>
    <numFmt numFmtId="167" formatCode="#,##0.0"/>
    <numFmt numFmtId="169" formatCode="#,##0.000"/>
    <numFmt numFmtId="172" formatCode="#,##0;[Red]\(#,##0\);\-"/>
    <numFmt numFmtId="173" formatCode="&quot;Yes&quot;;&quot;Yes&quot;;&quot;No&quot;"/>
    <numFmt numFmtId="174" formatCode="#,##0.0&quot;x&quot;"/>
    <numFmt numFmtId="175" formatCode="#,##0.00&quot;x&quot;"/>
  </numFmts>
  <fonts count="21">
    <font>
      <sz val="11"/>
      <color theme="1"/>
      <name val="Calibri"/>
      <family val="2"/>
      <scheme val="minor"/>
    </font>
    <font>
      <b/>
      <sz val="14"/>
      <color rgb="FF8C3A3A"/>
      <name val="Helvetica"/>
      <family val="2"/>
    </font>
    <font>
      <b/>
      <sz val="12"/>
      <color rgb="FF8C3A3A"/>
      <name val="Helvetica"/>
      <family val="2"/>
    </font>
    <font>
      <i/>
      <sz val="11"/>
      <color rgb="FF7F7F7F"/>
      <name val="Helvetica"/>
      <family val="2"/>
    </font>
    <font>
      <b/>
      <sz val="11"/>
      <color rgb="FFFFFFFF"/>
      <name val="Helvetica"/>
      <family val="2"/>
    </font>
    <font>
      <sz val="11"/>
      <color rgb="FF000000"/>
      <name val="Helvetica"/>
      <family val="2"/>
    </font>
    <font>
      <b/>
      <sz val="11"/>
      <color rgb="FF000000"/>
      <name val="Helvetica"/>
      <family val="2"/>
    </font>
    <font>
      <sz val="11"/>
      <color theme="1"/>
      <name val="Helvetica"/>
      <family val="2"/>
    </font>
    <font>
      <sz val="11"/>
      <color rgb="FF7F7F7F"/>
      <name val="Helvetica"/>
      <family val="2"/>
    </font>
    <font>
      <b/>
      <sz val="11"/>
      <color theme="1"/>
      <name val="Helvetica"/>
      <family val="2"/>
    </font>
    <font>
      <i/>
      <sz val="11"/>
      <color theme="1"/>
      <name val="Helvetica"/>
      <family val="2"/>
    </font>
    <font>
      <b/>
      <sz val="11"/>
      <color rgb="FF7F7F7F"/>
      <name val="Helvetica"/>
      <family val="2"/>
    </font>
    <font>
      <b/>
      <sz val="11"/>
      <color theme="1"/>
      <name val="Calibri"/>
      <family val="2"/>
      <scheme val="minor"/>
    </font>
    <font>
      <b/>
      <i/>
      <sz val="11"/>
      <color theme="1"/>
      <name val="Helvetica"/>
      <family val="2"/>
    </font>
    <font>
      <i/>
      <sz val="11"/>
      <color rgb="FFC00000"/>
      <name val="Helvetica"/>
      <family val="2"/>
    </font>
    <font>
      <b/>
      <i/>
      <sz val="11"/>
      <color rgb="FFC00000"/>
      <name val="Helvetica"/>
      <family val="2"/>
    </font>
    <font>
      <b/>
      <sz val="11"/>
      <color rgb="FFC00000"/>
      <name val="Helvetica"/>
      <family val="2"/>
    </font>
    <font>
      <b/>
      <sz val="11"/>
      <color rgb="FF8C3A3A"/>
      <name val="Helvetica"/>
      <family val="2"/>
    </font>
    <font>
      <b/>
      <i/>
      <sz val="11"/>
      <color rgb="FF000000"/>
      <name val="Helvetica"/>
      <family val="2"/>
    </font>
    <font>
      <i/>
      <sz val="11"/>
      <color rgb="FF000000"/>
      <name val="Helvetica"/>
      <family val="2"/>
    </font>
    <font>
      <b/>
      <sz val="11"/>
      <color rgb="FFFFFFFF"/>
      <name val="Calibri"/>
      <family val="2"/>
      <scheme val="minor"/>
    </font>
  </fonts>
  <fills count="6">
    <fill>
      <patternFill patternType="none"/>
    </fill>
    <fill>
      <patternFill patternType="gray125"/>
    </fill>
    <fill>
      <patternFill patternType="solid">
        <fgColor rgb="FFBDD7EE"/>
        <bgColor indexed="64"/>
      </patternFill>
    </fill>
    <fill>
      <patternFill patternType="solid">
        <fgColor rgb="FFF2C9C9"/>
        <bgColor indexed="64"/>
      </patternFill>
    </fill>
    <fill>
      <patternFill patternType="solid">
        <fgColor rgb="FF5B9BD5"/>
        <bgColor indexed="64"/>
      </patternFill>
    </fill>
    <fill>
      <patternFill patternType="solid">
        <fgColor rgb="FFFFF2CC"/>
        <bgColor indexed="64"/>
      </patternFill>
    </fill>
  </fills>
  <borders count="1">
    <border>
      <left/>
      <right/>
      <top/>
      <bottom/>
      <diagonal/>
    </border>
  </borders>
  <cellStyleXfs count="1">
    <xf numFmtId="0" fontId="0" fillId="0" borderId="0"/>
  </cellStyleXfs>
  <cellXfs count="114">
    <xf numFmtId="0" fontId="0" fillId="0" borderId="0" xfId="0"/>
    <xf numFmtId="0" fontId="3" fillId="0" borderId="0" xfId="0" applyFont="1" applyBorder="1" applyAlignment="1">
      <alignment horizontal="left" vertical="center"/>
    </xf>
    <xf numFmtId="14" fontId="9" fillId="0" borderId="0" xfId="0" applyNumberFormat="1" applyFont="1" applyBorder="1" applyAlignment="1">
      <alignment horizontal="center" vertical="center"/>
    </xf>
    <xf numFmtId="166" fontId="7" fillId="0" borderId="0" xfId="0" applyNumberFormat="1" applyFont="1" applyBorder="1" applyAlignment="1">
      <alignment horizontal="right" vertical="center"/>
    </xf>
    <xf numFmtId="4" fontId="7" fillId="0" borderId="0" xfId="0" applyNumberFormat="1" applyFont="1" applyBorder="1" applyAlignment="1">
      <alignment horizontal="right" vertical="center"/>
    </xf>
    <xf numFmtId="0" fontId="9" fillId="0" borderId="0" xfId="0" applyFont="1" applyBorder="1" applyAlignment="1">
      <alignment horizontal="right" vertical="center"/>
    </xf>
    <xf numFmtId="10" fontId="7" fillId="0" borderId="0" xfId="0" applyNumberFormat="1" applyFont="1" applyBorder="1" applyAlignment="1">
      <alignment horizontal="right" vertical="center"/>
    </xf>
    <xf numFmtId="0" fontId="3" fillId="0" borderId="0" xfId="0" applyFont="1" applyBorder="1" applyAlignment="1">
      <alignment horizontal="right" vertical="center"/>
    </xf>
    <xf numFmtId="0" fontId="11" fillId="0" borderId="0" xfId="0" applyFont="1" applyBorder="1" applyAlignment="1">
      <alignment horizontal="right" vertical="center"/>
    </xf>
    <xf numFmtId="0" fontId="7" fillId="0" borderId="0" xfId="0" applyFont="1" applyAlignment="1">
      <alignment horizontal="left" vertical="center"/>
    </xf>
    <xf numFmtId="0" fontId="8" fillId="0" borderId="0" xfId="0" applyFont="1" applyBorder="1" applyAlignment="1">
      <alignment horizontal="left" vertical="center"/>
    </xf>
    <xf numFmtId="0" fontId="7" fillId="0" borderId="0" xfId="0" applyFont="1" applyBorder="1" applyAlignment="1">
      <alignment horizontal="left" vertical="center"/>
    </xf>
    <xf numFmtId="0" fontId="2" fillId="0" borderId="0" xfId="0" applyFont="1" applyFill="1" applyBorder="1" applyAlignment="1">
      <alignment horizontal="left" vertical="center"/>
    </xf>
    <xf numFmtId="0" fontId="3" fillId="0" borderId="0" xfId="0" applyFont="1" applyFill="1" applyBorder="1" applyAlignment="1">
      <alignment horizontal="left" vertical="center"/>
    </xf>
    <xf numFmtId="0" fontId="5" fillId="0" borderId="0" xfId="0" applyFont="1" applyBorder="1" applyAlignment="1">
      <alignment horizontal="right" vertical="center"/>
    </xf>
    <xf numFmtId="166" fontId="5" fillId="0" borderId="0" xfId="0" applyNumberFormat="1" applyFont="1" applyFill="1" applyBorder="1" applyAlignment="1">
      <alignment horizontal="right" vertical="center"/>
    </xf>
    <xf numFmtId="10" fontId="5" fillId="0" borderId="0" xfId="0" applyNumberFormat="1" applyFont="1" applyBorder="1" applyAlignment="1">
      <alignment horizontal="right" vertical="center"/>
    </xf>
    <xf numFmtId="0" fontId="5" fillId="0" borderId="0" xfId="0" applyFont="1" applyBorder="1" applyAlignment="1">
      <alignment vertical="center"/>
    </xf>
    <xf numFmtId="0" fontId="4" fillId="4" borderId="0" xfId="0" applyFont="1" applyFill="1" applyBorder="1" applyAlignment="1">
      <alignment horizontal="left" vertical="center"/>
    </xf>
    <xf numFmtId="10" fontId="5" fillId="5" borderId="0" xfId="0" applyNumberFormat="1" applyFont="1" applyFill="1" applyBorder="1" applyAlignment="1">
      <alignment horizontal="right" vertical="center"/>
    </xf>
    <xf numFmtId="0" fontId="0" fillId="0" borderId="0" xfId="0" applyBorder="1" applyAlignment="1">
      <alignment vertical="center"/>
    </xf>
    <xf numFmtId="0" fontId="1" fillId="0" borderId="0" xfId="0" applyNumberFormat="1" applyFont="1" applyFill="1" applyBorder="1" applyAlignment="1">
      <alignment horizontal="left" vertical="center"/>
    </xf>
    <xf numFmtId="0" fontId="9" fillId="0" borderId="0" xfId="0" applyFont="1" applyBorder="1" applyAlignment="1">
      <alignment horizontal="left" vertical="center"/>
    </xf>
    <xf numFmtId="0" fontId="6" fillId="0" borderId="0" xfId="0" applyFont="1" applyBorder="1" applyAlignment="1">
      <alignment horizontal="left" vertical="center"/>
    </xf>
    <xf numFmtId="3" fontId="7" fillId="0" borderId="0" xfId="0" applyNumberFormat="1" applyFont="1" applyBorder="1" applyAlignment="1">
      <alignment horizontal="right" vertical="center"/>
    </xf>
    <xf numFmtId="0" fontId="10" fillId="0" borderId="0" xfId="0" applyFont="1" applyBorder="1" applyAlignment="1">
      <alignment horizontal="left" vertical="center"/>
    </xf>
    <xf numFmtId="166" fontId="10" fillId="0" borderId="0" xfId="0" applyNumberFormat="1" applyFont="1" applyBorder="1" applyAlignment="1">
      <alignment horizontal="right" vertical="center"/>
    </xf>
    <xf numFmtId="169" fontId="7" fillId="0" borderId="0" xfId="0" applyNumberFormat="1" applyFont="1" applyBorder="1" applyAlignment="1">
      <alignment horizontal="right" vertical="center"/>
    </xf>
    <xf numFmtId="167" fontId="9" fillId="0" borderId="0" xfId="0" applyNumberFormat="1" applyFont="1" applyBorder="1" applyAlignment="1">
      <alignment horizontal="right" vertical="center"/>
    </xf>
    <xf numFmtId="167" fontId="7" fillId="0" borderId="0" xfId="0" applyNumberFormat="1" applyFont="1" applyBorder="1" applyAlignment="1">
      <alignment horizontal="right" vertical="center"/>
    </xf>
    <xf numFmtId="14" fontId="5" fillId="0" borderId="0" xfId="0" applyNumberFormat="1" applyFont="1" applyBorder="1" applyAlignment="1">
      <alignment horizontal="center" vertical="center"/>
    </xf>
    <xf numFmtId="14" fontId="7" fillId="0" borderId="0" xfId="0" applyNumberFormat="1" applyFont="1" applyBorder="1" applyAlignment="1">
      <alignment horizontal="center" vertical="center"/>
    </xf>
    <xf numFmtId="0" fontId="5" fillId="0" borderId="0" xfId="0" applyFont="1" applyBorder="1" applyAlignment="1">
      <alignment horizontal="left" vertical="center"/>
    </xf>
    <xf numFmtId="0" fontId="7" fillId="0" borderId="0" xfId="0" applyFont="1" applyBorder="1" applyAlignment="1">
      <alignment horizontal="right" vertical="center"/>
    </xf>
    <xf numFmtId="0" fontId="0" fillId="0" borderId="0" xfId="0" applyAlignment="1">
      <alignment horizontal="right"/>
    </xf>
    <xf numFmtId="0" fontId="5" fillId="0" borderId="0" xfId="0" applyFont="1" applyFill="1" applyBorder="1" applyAlignment="1">
      <alignment horizontal="left" vertical="center"/>
    </xf>
    <xf numFmtId="0" fontId="14" fillId="0" borderId="0" xfId="0" applyFont="1" applyBorder="1" applyAlignment="1">
      <alignment horizontal="left" vertical="center"/>
    </xf>
    <xf numFmtId="0" fontId="11" fillId="0" borderId="0" xfId="0" applyFont="1" applyBorder="1" applyAlignment="1">
      <alignment horizontal="left" vertical="center"/>
    </xf>
    <xf numFmtId="0" fontId="15" fillId="0" borderId="0" xfId="0" applyFont="1" applyBorder="1" applyAlignment="1">
      <alignment horizontal="left" vertical="center"/>
    </xf>
    <xf numFmtId="0" fontId="4" fillId="4" borderId="0" xfId="0" applyFont="1" applyFill="1" applyBorder="1" applyAlignment="1">
      <alignment horizontal="right" vertical="center"/>
    </xf>
    <xf numFmtId="166" fontId="4" fillId="4" borderId="0" xfId="0" applyNumberFormat="1" applyFont="1" applyFill="1" applyBorder="1" applyAlignment="1">
      <alignment horizontal="right" vertical="center"/>
    </xf>
    <xf numFmtId="0" fontId="10" fillId="0" borderId="0" xfId="0" applyFont="1" applyBorder="1" applyAlignment="1">
      <alignment horizontal="right" vertical="center"/>
    </xf>
    <xf numFmtId="0" fontId="7" fillId="0" borderId="0" xfId="0" applyFont="1" applyAlignment="1">
      <alignment horizontal="right" vertical="center"/>
    </xf>
    <xf numFmtId="0" fontId="8" fillId="0" borderId="0" xfId="0" applyFont="1" applyBorder="1" applyAlignment="1">
      <alignment horizontal="right" vertical="center"/>
    </xf>
    <xf numFmtId="0" fontId="0" fillId="0" borderId="0" xfId="0" applyBorder="1" applyAlignment="1">
      <alignment horizontal="right" vertical="center"/>
    </xf>
    <xf numFmtId="0" fontId="20" fillId="4" borderId="0" xfId="0" applyFont="1" applyFill="1" applyBorder="1" applyAlignment="1">
      <alignment horizontal="right" vertical="center"/>
    </xf>
    <xf numFmtId="49" fontId="7" fillId="0" borderId="0" xfId="0" applyNumberFormat="1" applyFont="1" applyBorder="1" applyAlignment="1">
      <alignment horizontal="left" vertical="center"/>
    </xf>
    <xf numFmtId="166" fontId="0" fillId="0" borderId="0" xfId="0" applyNumberFormat="1" applyBorder="1" applyAlignment="1">
      <alignment horizontal="right" vertical="center"/>
    </xf>
    <xf numFmtId="0" fontId="8" fillId="0" borderId="0" xfId="0" applyFont="1" applyAlignment="1">
      <alignment horizontal="right" vertical="center"/>
    </xf>
    <xf numFmtId="0" fontId="6" fillId="0" borderId="0" xfId="0" applyFont="1" applyFill="1" applyBorder="1" applyAlignment="1">
      <alignment horizontal="left" vertical="center"/>
    </xf>
    <xf numFmtId="0" fontId="5" fillId="0" borderId="0" xfId="0" applyFont="1" applyFill="1" applyBorder="1" applyAlignment="1">
      <alignment horizontal="right" vertical="center"/>
    </xf>
    <xf numFmtId="0" fontId="9" fillId="3" borderId="0" xfId="0" applyFont="1" applyFill="1" applyBorder="1" applyAlignment="1">
      <alignment horizontal="left" vertical="center"/>
    </xf>
    <xf numFmtId="0" fontId="7" fillId="5" borderId="0" xfId="0" applyFont="1" applyFill="1" applyBorder="1" applyAlignment="1">
      <alignment horizontal="left" vertical="center"/>
    </xf>
    <xf numFmtId="167" fontId="9" fillId="0" borderId="0" xfId="0" applyNumberFormat="1" applyFont="1" applyBorder="1" applyAlignment="1">
      <alignment horizontal="left" vertical="center"/>
    </xf>
    <xf numFmtId="0" fontId="18" fillId="0" borderId="0" xfId="0" applyFont="1" applyBorder="1" applyAlignment="1">
      <alignment horizontal="left" vertical="center"/>
    </xf>
    <xf numFmtId="0" fontId="9" fillId="5" borderId="0" xfId="0" applyFont="1" applyFill="1" applyBorder="1" applyAlignment="1">
      <alignment horizontal="left" vertical="center"/>
    </xf>
    <xf numFmtId="0" fontId="9" fillId="3" borderId="0" xfId="0" applyFont="1" applyFill="1" applyBorder="1" applyAlignment="1">
      <alignment horizontal="right" vertical="center"/>
    </xf>
    <xf numFmtId="0" fontId="13" fillId="0" borderId="0" xfId="0" applyFont="1" applyBorder="1" applyAlignment="1">
      <alignment horizontal="left" vertical="center"/>
    </xf>
    <xf numFmtId="14" fontId="5" fillId="5" borderId="0" xfId="0" applyNumberFormat="1" applyFont="1" applyFill="1" applyBorder="1" applyAlignment="1">
      <alignment horizontal="center" vertical="center"/>
    </xf>
    <xf numFmtId="10" fontId="8" fillId="0" borderId="0" xfId="0" applyNumberFormat="1" applyFont="1" applyBorder="1" applyAlignment="1">
      <alignment horizontal="left" vertical="center"/>
    </xf>
    <xf numFmtId="0" fontId="16" fillId="0" borderId="0" xfId="0" applyFont="1" applyBorder="1" applyAlignment="1">
      <alignment horizontal="left" vertical="center"/>
    </xf>
    <xf numFmtId="0" fontId="17" fillId="0" borderId="0" xfId="0" applyFont="1" applyBorder="1" applyAlignment="1">
      <alignment horizontal="left" vertical="center"/>
    </xf>
    <xf numFmtId="164" fontId="9" fillId="0" borderId="0" xfId="0" applyNumberFormat="1" applyFont="1" applyBorder="1" applyAlignment="1">
      <alignment horizontal="right" vertical="center"/>
    </xf>
    <xf numFmtId="164" fontId="7" fillId="0" borderId="0" xfId="0" applyNumberFormat="1" applyFont="1" applyBorder="1" applyAlignment="1">
      <alignment horizontal="right" vertical="center"/>
    </xf>
    <xf numFmtId="164" fontId="10" fillId="0" borderId="0" xfId="0" applyNumberFormat="1" applyFont="1" applyBorder="1" applyAlignment="1">
      <alignment horizontal="right" vertical="center"/>
    </xf>
    <xf numFmtId="10" fontId="9" fillId="0" borderId="0" xfId="0" applyNumberFormat="1" applyFont="1" applyBorder="1" applyAlignment="1">
      <alignment horizontal="right" vertical="center"/>
    </xf>
    <xf numFmtId="164" fontId="5" fillId="0" borderId="0" xfId="0" applyNumberFormat="1" applyFont="1" applyBorder="1" applyAlignment="1">
      <alignment horizontal="right" vertical="center"/>
    </xf>
    <xf numFmtId="10" fontId="5" fillId="0" borderId="0" xfId="0" applyNumberFormat="1" applyFont="1" applyFill="1" applyBorder="1" applyAlignment="1">
      <alignment horizontal="right" vertical="center"/>
    </xf>
    <xf numFmtId="164" fontId="5" fillId="0" borderId="0" xfId="0" applyNumberFormat="1" applyFont="1" applyFill="1" applyBorder="1" applyAlignment="1">
      <alignment horizontal="right" vertical="center"/>
    </xf>
    <xf numFmtId="164" fontId="5" fillId="5" borderId="0" xfId="0" applyNumberFormat="1" applyFont="1" applyFill="1" applyBorder="1" applyAlignment="1">
      <alignment horizontal="right" vertical="center"/>
    </xf>
    <xf numFmtId="164" fontId="0" fillId="0" borderId="0" xfId="0" applyNumberFormat="1" applyBorder="1" applyAlignment="1">
      <alignment horizontal="right" vertical="center"/>
    </xf>
    <xf numFmtId="10" fontId="5" fillId="0" borderId="0" xfId="0" applyNumberFormat="1" applyFont="1" applyBorder="1" applyAlignment="1">
      <alignment horizontal="left" vertical="center"/>
    </xf>
    <xf numFmtId="10" fontId="10" fillId="0" borderId="0" xfId="0" applyNumberFormat="1" applyFont="1" applyBorder="1" applyAlignment="1">
      <alignment horizontal="right" vertical="center"/>
    </xf>
    <xf numFmtId="10" fontId="0" fillId="0" borderId="0" xfId="0" applyNumberFormat="1" applyBorder="1" applyAlignment="1">
      <alignment horizontal="right" vertical="center"/>
    </xf>
    <xf numFmtId="10" fontId="12" fillId="0" borderId="0" xfId="0" applyNumberFormat="1" applyFont="1" applyBorder="1" applyAlignment="1">
      <alignment horizontal="right" vertical="center"/>
    </xf>
    <xf numFmtId="164" fontId="6" fillId="0" borderId="0" xfId="0" applyNumberFormat="1" applyFont="1" applyFill="1" applyBorder="1" applyAlignment="1">
      <alignment horizontal="right" vertical="center"/>
    </xf>
    <xf numFmtId="10" fontId="8" fillId="0" borderId="0" xfId="0" applyNumberFormat="1" applyFont="1" applyBorder="1" applyAlignment="1">
      <alignment horizontal="right" vertical="center"/>
    </xf>
    <xf numFmtId="10" fontId="9" fillId="5" borderId="0" xfId="0" applyNumberFormat="1" applyFont="1" applyFill="1" applyBorder="1" applyAlignment="1">
      <alignment horizontal="right" vertical="center"/>
    </xf>
    <xf numFmtId="164" fontId="9" fillId="5" borderId="0" xfId="0" applyNumberFormat="1" applyFont="1" applyFill="1" applyBorder="1" applyAlignment="1">
      <alignment horizontal="right" vertical="center"/>
    </xf>
    <xf numFmtId="10" fontId="7" fillId="5" borderId="0" xfId="0" applyNumberFormat="1" applyFont="1" applyFill="1" applyBorder="1" applyAlignment="1">
      <alignment horizontal="right" vertical="center"/>
    </xf>
    <xf numFmtId="164" fontId="7" fillId="5" borderId="0" xfId="0" applyNumberFormat="1" applyFont="1" applyFill="1" applyBorder="1" applyAlignment="1">
      <alignment horizontal="right" vertical="center"/>
    </xf>
    <xf numFmtId="10" fontId="8" fillId="5" borderId="0" xfId="0" applyNumberFormat="1" applyFont="1" applyFill="1" applyBorder="1" applyAlignment="1">
      <alignment horizontal="right" vertical="center"/>
    </xf>
    <xf numFmtId="10" fontId="11" fillId="0" borderId="0" xfId="0" applyNumberFormat="1" applyFont="1" applyBorder="1" applyAlignment="1">
      <alignment horizontal="right" vertical="center"/>
    </xf>
    <xf numFmtId="10" fontId="3" fillId="0" borderId="0" xfId="0" applyNumberFormat="1" applyFont="1" applyBorder="1" applyAlignment="1">
      <alignment horizontal="right" vertical="center"/>
    </xf>
    <xf numFmtId="0" fontId="7" fillId="0" borderId="0" xfId="0" applyFont="1" applyBorder="1" applyAlignment="1">
      <alignment horizontal="left" vertical="center" indent="2"/>
    </xf>
    <xf numFmtId="164" fontId="6" fillId="5" borderId="0" xfId="0" applyNumberFormat="1" applyFont="1" applyFill="1" applyBorder="1" applyAlignment="1">
      <alignment horizontal="right" vertical="center"/>
    </xf>
    <xf numFmtId="0" fontId="8" fillId="0" borderId="0" xfId="0" applyFont="1" applyFill="1" applyBorder="1" applyAlignment="1">
      <alignment horizontal="left" vertical="center"/>
    </xf>
    <xf numFmtId="0" fontId="9" fillId="0" borderId="0" xfId="0" applyNumberFormat="1" applyFont="1" applyBorder="1" applyAlignment="1">
      <alignment horizontal="left" vertical="center"/>
    </xf>
    <xf numFmtId="0" fontId="6" fillId="0" borderId="0" xfId="0" applyNumberFormat="1" applyFont="1" applyBorder="1" applyAlignment="1">
      <alignment horizontal="left" vertical="center"/>
    </xf>
    <xf numFmtId="172" fontId="9" fillId="0" borderId="0" xfId="0" applyNumberFormat="1" applyFont="1" applyBorder="1" applyAlignment="1">
      <alignment horizontal="right" vertical="center"/>
    </xf>
    <xf numFmtId="172" fontId="7" fillId="0" borderId="0" xfId="0" applyNumberFormat="1" applyFont="1" applyBorder="1" applyAlignment="1">
      <alignment horizontal="right" vertical="center"/>
    </xf>
    <xf numFmtId="172" fontId="10" fillId="0" borderId="0" xfId="0" applyNumberFormat="1" applyFont="1" applyBorder="1" applyAlignment="1">
      <alignment horizontal="right" vertical="center"/>
    </xf>
    <xf numFmtId="172" fontId="5" fillId="0" borderId="0" xfId="0" applyNumberFormat="1" applyFont="1" applyBorder="1" applyAlignment="1">
      <alignment horizontal="right" vertical="center"/>
    </xf>
    <xf numFmtId="172" fontId="5" fillId="0" borderId="0" xfId="0" applyNumberFormat="1" applyFont="1" applyFill="1" applyBorder="1" applyAlignment="1">
      <alignment horizontal="right" vertical="center"/>
    </xf>
    <xf numFmtId="172" fontId="8" fillId="0" borderId="0" xfId="0" applyNumberFormat="1" applyFont="1" applyFill="1" applyBorder="1" applyAlignment="1">
      <alignment horizontal="right" vertical="center"/>
    </xf>
    <xf numFmtId="172" fontId="5" fillId="5" borderId="0" xfId="0" applyNumberFormat="1" applyFont="1" applyFill="1" applyBorder="1" applyAlignment="1">
      <alignment horizontal="right" vertical="center"/>
    </xf>
    <xf numFmtId="172" fontId="0" fillId="0" borderId="0" xfId="0" applyNumberFormat="1" applyBorder="1" applyAlignment="1">
      <alignment horizontal="right" vertical="center"/>
    </xf>
    <xf numFmtId="172" fontId="6" fillId="0" borderId="0" xfId="0" applyNumberFormat="1" applyFont="1" applyBorder="1" applyAlignment="1">
      <alignment horizontal="right" vertical="center"/>
    </xf>
    <xf numFmtId="172" fontId="3" fillId="0" borderId="0" xfId="0" applyNumberFormat="1" applyFont="1" applyBorder="1" applyAlignment="1">
      <alignment horizontal="right" vertical="center"/>
    </xf>
    <xf numFmtId="172" fontId="12" fillId="0" borderId="0" xfId="0" applyNumberFormat="1" applyFont="1" applyBorder="1" applyAlignment="1">
      <alignment horizontal="right" vertical="center"/>
    </xf>
    <xf numFmtId="172" fontId="6" fillId="0" borderId="0" xfId="0" applyNumberFormat="1" applyFont="1" applyFill="1" applyBorder="1" applyAlignment="1">
      <alignment horizontal="right" vertical="center"/>
    </xf>
    <xf numFmtId="172" fontId="8" fillId="0" borderId="0" xfId="0" applyNumberFormat="1" applyFont="1" applyBorder="1" applyAlignment="1">
      <alignment horizontal="right" vertical="center"/>
    </xf>
    <xf numFmtId="172" fontId="7" fillId="5" borderId="0" xfId="0" applyNumberFormat="1" applyFont="1" applyFill="1" applyBorder="1" applyAlignment="1">
      <alignment horizontal="right" vertical="center"/>
    </xf>
    <xf numFmtId="172" fontId="13" fillId="0" borderId="0" xfId="0" applyNumberFormat="1" applyFont="1" applyBorder="1" applyAlignment="1">
      <alignment horizontal="right" vertical="center"/>
    </xf>
    <xf numFmtId="172" fontId="11" fillId="0" borderId="0" xfId="0" applyNumberFormat="1" applyFont="1" applyBorder="1" applyAlignment="1">
      <alignment horizontal="right" vertical="center"/>
    </xf>
    <xf numFmtId="172" fontId="6" fillId="5" borderId="0" xfId="0" applyNumberFormat="1" applyFont="1" applyFill="1" applyBorder="1" applyAlignment="1">
      <alignment horizontal="right" vertical="center"/>
    </xf>
    <xf numFmtId="173" fontId="7" fillId="0" borderId="0" xfId="0" applyNumberFormat="1" applyFont="1" applyBorder="1" applyAlignment="1">
      <alignment horizontal="center" vertical="center"/>
    </xf>
    <xf numFmtId="0" fontId="6" fillId="2" borderId="0" xfId="0" applyFont="1" applyFill="1" applyBorder="1" applyAlignment="1">
      <alignment horizontal="left" vertical="center"/>
    </xf>
    <xf numFmtId="0" fontId="3" fillId="4" borderId="0" xfId="0" applyFont="1" applyFill="1" applyBorder="1" applyAlignment="1">
      <alignment horizontal="left" vertical="center"/>
    </xf>
    <xf numFmtId="0" fontId="19" fillId="0" borderId="0" xfId="0" applyFont="1" applyBorder="1" applyAlignment="1">
      <alignment horizontal="left" vertical="center"/>
    </xf>
    <xf numFmtId="174" fontId="7" fillId="0" borderId="0" xfId="0" applyNumberFormat="1" applyFont="1" applyBorder="1" applyAlignment="1">
      <alignment horizontal="right" vertical="center"/>
    </xf>
    <xf numFmtId="172" fontId="5" fillId="0" borderId="0" xfId="0" applyNumberFormat="1" applyFont="1" applyBorder="1" applyAlignment="1">
      <alignment vertical="center"/>
    </xf>
    <xf numFmtId="175" fontId="7" fillId="0" borderId="0" xfId="0" applyNumberFormat="1" applyFont="1" applyBorder="1" applyAlignment="1">
      <alignment horizontal="right" vertical="center"/>
    </xf>
    <xf numFmtId="0" fontId="5" fillId="0" borderId="0" xfId="0" applyNumberFormat="1" applyFont="1" applyBorder="1" applyAlignment="1">
      <alignment horizontal="righ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5006DEBA-4454-4C4A-802D-E608EA1D6410}">
  <we:reference id="wa200010725" version="1.0.0.1" store="en-US" storeType="OMEX"/>
  <we:alternateReferences>
    <we:reference id="WA200010725" version="1.0.0.1" store="" storeType="OMEX"/>
  </we:alternateReferences>
  <we:properties>
    <we:property name="claude.fileId" value="&quot;822dff9a-93e7-4fda-bd53-45b8c2cc3f8b&quot;"/>
  </we:properties>
  <we:bindings/>
  <we:snapshot xmlns:r="http://schemas.openxmlformats.org/officeDocument/2006/relationships"/>
</we:webextension>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313BB2-22B7-E944-8CD6-9B3FA919CF5A}">
  <sheetPr>
    <tabColor rgb="FFC8E6C9"/>
  </sheetPr>
  <dimension ref="A1:BO190"/>
  <sheetViews>
    <sheetView workbookViewId="0">
      <pane xSplit="6" ySplit="6" topLeftCell="G7" activePane="bottomRight" state="frozen"/>
      <selection pane="topRight" activeCell="G1" sqref="G1"/>
      <selection pane="bottomLeft" activeCell="A7" sqref="A7"/>
      <selection pane="bottomRight" activeCell="G7" sqref="G7"/>
    </sheetView>
  </sheetViews>
  <sheetFormatPr baseColWidth="10" defaultRowHeight="15"/>
  <cols>
    <col min="1" max="3" width="3.83203125" style="9" customWidth="1"/>
    <col min="4" max="4" width="30.83203125" style="42" customWidth="1"/>
    <col min="5" max="6" width="12.83203125" style="42" customWidth="1"/>
    <col min="7" max="61" width="14" style="42" customWidth="1"/>
    <col min="62" max="67" width="14" style="34" customWidth="1"/>
  </cols>
  <sheetData>
    <row r="1" spans="1:67" ht="18">
      <c r="A1" s="21" t="s">
        <v>1678</v>
      </c>
      <c r="B1" s="11"/>
      <c r="C1" s="11"/>
      <c r="D1" s="33"/>
      <c r="E1" s="33"/>
      <c r="F1" s="33"/>
      <c r="G1" s="33"/>
      <c r="H1" s="33"/>
      <c r="I1" s="33"/>
      <c r="J1" s="33"/>
      <c r="K1" s="33"/>
      <c r="L1" s="33"/>
      <c r="M1" s="33"/>
      <c r="N1" s="33"/>
      <c r="O1" s="33"/>
      <c r="P1" s="33"/>
      <c r="Q1" s="33"/>
      <c r="R1" s="33"/>
      <c r="S1" s="33"/>
      <c r="T1" s="33"/>
      <c r="U1" s="33"/>
      <c r="V1" s="33"/>
      <c r="W1" s="33"/>
      <c r="X1" s="33"/>
      <c r="Y1" s="33"/>
      <c r="Z1" s="33"/>
      <c r="AA1" s="33"/>
      <c r="AB1" s="33"/>
      <c r="AC1" s="33"/>
      <c r="AD1" s="33"/>
      <c r="AE1" s="33"/>
      <c r="AF1" s="33"/>
      <c r="AG1" s="33"/>
      <c r="AH1" s="33"/>
      <c r="AI1" s="33"/>
      <c r="AJ1" s="33"/>
      <c r="AK1" s="33"/>
      <c r="AL1" s="33"/>
      <c r="AM1" s="33"/>
      <c r="AN1" s="33"/>
      <c r="AO1" s="33"/>
      <c r="AP1" s="33"/>
      <c r="AQ1" s="33"/>
      <c r="AR1" s="33"/>
      <c r="AS1" s="33"/>
      <c r="AT1" s="33"/>
      <c r="AU1" s="33"/>
      <c r="AV1" s="33"/>
      <c r="AW1" s="33"/>
      <c r="AX1" s="33"/>
      <c r="AY1" s="33"/>
      <c r="AZ1" s="33"/>
      <c r="BA1" s="33"/>
      <c r="BB1" s="33"/>
      <c r="BC1" s="33"/>
      <c r="BD1" s="33"/>
      <c r="BE1" s="33"/>
      <c r="BF1" s="33"/>
      <c r="BG1" s="33"/>
      <c r="BH1" s="33"/>
      <c r="BI1" s="33"/>
      <c r="BJ1" s="33"/>
      <c r="BK1" s="33"/>
      <c r="BL1" s="33"/>
      <c r="BM1" s="33"/>
      <c r="BN1" s="33"/>
      <c r="BO1" s="33"/>
    </row>
    <row r="2" spans="1:67" ht="16">
      <c r="A2" s="12" t="s">
        <v>1643</v>
      </c>
      <c r="B2" s="11"/>
      <c r="C2" s="11"/>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row>
    <row r="3" spans="1:67">
      <c r="A3" s="13" t="s">
        <v>1444</v>
      </c>
      <c r="B3" s="11"/>
      <c r="C3" s="11"/>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row>
    <row r="4" spans="1:67">
      <c r="A4" s="11"/>
      <c r="B4" s="11"/>
      <c r="C4" s="11"/>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row>
    <row r="5" spans="1:67" s="34" customFormat="1">
      <c r="A5" s="11"/>
      <c r="B5" s="22" t="s">
        <v>213</v>
      </c>
      <c r="C5" s="11"/>
      <c r="D5" s="33"/>
      <c r="E5" s="33"/>
      <c r="F5" s="33"/>
      <c r="G5" s="23" t="str">
        <f>'01 Major Assumptions'!G$12</f>
        <v>Jan-27</v>
      </c>
      <c r="H5" s="23" t="str">
        <f>'01 Major Assumptions'!H$12</f>
        <v>Feb-27</v>
      </c>
      <c r="I5" s="23" t="str">
        <f>'01 Major Assumptions'!I$12</f>
        <v>Mar-27</v>
      </c>
      <c r="J5" s="23" t="str">
        <f>'01 Major Assumptions'!J$12</f>
        <v>Apr-27</v>
      </c>
      <c r="K5" s="23" t="str">
        <f>'01 Major Assumptions'!K$12</f>
        <v>May-27</v>
      </c>
      <c r="L5" s="23" t="str">
        <f>'01 Major Assumptions'!L$12</f>
        <v>Jun-27</v>
      </c>
      <c r="M5" s="23" t="str">
        <f>'01 Major Assumptions'!M$12</f>
        <v>Jul-27</v>
      </c>
      <c r="N5" s="23" t="str">
        <f>'01 Major Assumptions'!N$12</f>
        <v>Aug-27</v>
      </c>
      <c r="O5" s="23" t="str">
        <f>'01 Major Assumptions'!O$12</f>
        <v>Sep-27</v>
      </c>
      <c r="P5" s="23" t="str">
        <f>'01 Major Assumptions'!P$12</f>
        <v>Oct-27</v>
      </c>
      <c r="Q5" s="23" t="str">
        <f>'01 Major Assumptions'!Q$12</f>
        <v>Nov-27</v>
      </c>
      <c r="R5" s="23" t="str">
        <f>'01 Major Assumptions'!R$12</f>
        <v>Dec-27</v>
      </c>
      <c r="S5" s="23" t="str">
        <f>'01 Major Assumptions'!S$12</f>
        <v>Jan-28</v>
      </c>
      <c r="T5" s="23" t="str">
        <f>'01 Major Assumptions'!T$12</f>
        <v>Feb-28</v>
      </c>
      <c r="U5" s="23" t="str">
        <f>'01 Major Assumptions'!U$12</f>
        <v>Mar-28</v>
      </c>
      <c r="V5" s="23" t="str">
        <f>'01 Major Assumptions'!V$12</f>
        <v>Apr-28</v>
      </c>
      <c r="W5" s="23" t="str">
        <f>'01 Major Assumptions'!W$12</f>
        <v>May-28</v>
      </c>
      <c r="X5" s="23" t="str">
        <f>'01 Major Assumptions'!X$12</f>
        <v>Jun-28</v>
      </c>
      <c r="Y5" s="23" t="str">
        <f>'01 Major Assumptions'!Y$12</f>
        <v>Jul-28</v>
      </c>
      <c r="Z5" s="23" t="str">
        <f>'01 Major Assumptions'!Z$12</f>
        <v>Aug-28</v>
      </c>
      <c r="AA5" s="23" t="str">
        <f>'01 Major Assumptions'!AA$12</f>
        <v>Sep-28</v>
      </c>
      <c r="AB5" s="23" t="str">
        <f>'01 Major Assumptions'!AB$12</f>
        <v>Oct-28</v>
      </c>
      <c r="AC5" s="23" t="str">
        <f>'01 Major Assumptions'!AC$12</f>
        <v>Nov-28</v>
      </c>
      <c r="AD5" s="23" t="str">
        <f>'01 Major Assumptions'!AD$12</f>
        <v>Dec-28</v>
      </c>
      <c r="AE5" s="23" t="str">
        <f>'01 Major Assumptions'!AE$12</f>
        <v>Jan-29</v>
      </c>
      <c r="AF5" s="23" t="str">
        <f>'01 Major Assumptions'!AF$12</f>
        <v>Feb-29</v>
      </c>
      <c r="AG5" s="23" t="str">
        <f>'01 Major Assumptions'!AG$12</f>
        <v>Mar-29</v>
      </c>
      <c r="AH5" s="23" t="str">
        <f>'01 Major Assumptions'!AH$12</f>
        <v>Apr-29</v>
      </c>
      <c r="AI5" s="23" t="str">
        <f>'01 Major Assumptions'!AI$12</f>
        <v>May-29</v>
      </c>
      <c r="AJ5" s="23" t="str">
        <f>'01 Major Assumptions'!AJ$12</f>
        <v>Jun-29</v>
      </c>
      <c r="AK5" s="23" t="str">
        <f>'01 Major Assumptions'!AK$12</f>
        <v>Jul-29</v>
      </c>
      <c r="AL5" s="23" t="str">
        <f>'01 Major Assumptions'!AL$12</f>
        <v>Aug-29</v>
      </c>
      <c r="AM5" s="23" t="str">
        <f>'01 Major Assumptions'!AM$12</f>
        <v>Sep-29</v>
      </c>
      <c r="AN5" s="23" t="str">
        <f>'01 Major Assumptions'!AN$12</f>
        <v>Oct-29</v>
      </c>
      <c r="AO5" s="23" t="str">
        <f>'01 Major Assumptions'!AO$12</f>
        <v>Nov-29</v>
      </c>
      <c r="AP5" s="23" t="str">
        <f>'01 Major Assumptions'!AP$12</f>
        <v>Dec-29</v>
      </c>
      <c r="AQ5" s="23" t="str">
        <f>'01 Major Assumptions'!AQ$12</f>
        <v>Jan-30</v>
      </c>
      <c r="AR5" s="23" t="str">
        <f>'01 Major Assumptions'!AR$12</f>
        <v>Feb-30</v>
      </c>
      <c r="AS5" s="23" t="str">
        <f>'01 Major Assumptions'!AS$12</f>
        <v>Mar-30</v>
      </c>
      <c r="AT5" s="23" t="str">
        <f>'01 Major Assumptions'!AT$12</f>
        <v>Apr-30</v>
      </c>
      <c r="AU5" s="23" t="str">
        <f>'01 Major Assumptions'!AU$12</f>
        <v>May-30</v>
      </c>
      <c r="AV5" s="23" t="str">
        <f>'01 Major Assumptions'!AV$12</f>
        <v>Jun-30</v>
      </c>
      <c r="AW5" s="23" t="str">
        <f>'01 Major Assumptions'!AW$12</f>
        <v>Jul-30</v>
      </c>
      <c r="AX5" s="23" t="str">
        <f>'01 Major Assumptions'!AX$12</f>
        <v>Aug-30</v>
      </c>
      <c r="AY5" s="23" t="str">
        <f>'01 Major Assumptions'!AY$12</f>
        <v>Sep-30</v>
      </c>
      <c r="AZ5" s="23" t="str">
        <f>'01 Major Assumptions'!AZ$12</f>
        <v>Oct-30</v>
      </c>
      <c r="BA5" s="23" t="str">
        <f>'01 Major Assumptions'!BA$12</f>
        <v>Nov-30</v>
      </c>
      <c r="BB5" s="23" t="str">
        <f>'01 Major Assumptions'!BB$12</f>
        <v>Dec-30</v>
      </c>
      <c r="BC5" s="23" t="str">
        <f>'01 Major Assumptions'!BC$12</f>
        <v>Jan-31</v>
      </c>
      <c r="BD5" s="23" t="str">
        <f>'01 Major Assumptions'!BD$12</f>
        <v>Feb-31</v>
      </c>
      <c r="BE5" s="23" t="str">
        <f>'01 Major Assumptions'!BE$12</f>
        <v>Mar-31</v>
      </c>
      <c r="BF5" s="23" t="str">
        <f>'01 Major Assumptions'!BF$12</f>
        <v>Apr-31</v>
      </c>
      <c r="BG5" s="23" t="str">
        <f>'01 Major Assumptions'!BG$12</f>
        <v>May-31</v>
      </c>
      <c r="BH5" s="23" t="str">
        <f>'01 Major Assumptions'!BH$12</f>
        <v>Jun-31</v>
      </c>
      <c r="BI5" s="23" t="str">
        <f>'01 Major Assumptions'!BI$12</f>
        <v>FY2032</v>
      </c>
      <c r="BJ5" s="23" t="str">
        <f>'01 Major Assumptions'!BJ$12</f>
        <v>FY2033</v>
      </c>
      <c r="BK5" s="23" t="str">
        <f>'01 Major Assumptions'!BK$12</f>
        <v>FY2034</v>
      </c>
      <c r="BL5" s="23" t="str">
        <f>'01 Major Assumptions'!BL$12</f>
        <v>FY2035</v>
      </c>
      <c r="BM5" s="23" t="str">
        <f>'01 Major Assumptions'!BM$12</f>
        <v>FY2036</v>
      </c>
      <c r="BN5" s="23" t="str">
        <f>'01 Major Assumptions'!BN$12</f>
        <v>FY2037</v>
      </c>
      <c r="BO5" s="23" t="str">
        <f>'01 Major Assumptions'!BO$12</f>
        <v>FY2038</v>
      </c>
    </row>
    <row r="6" spans="1:67">
      <c r="A6" s="11"/>
      <c r="B6" s="11"/>
      <c r="C6" s="11"/>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row>
    <row r="7" spans="1:67">
      <c r="A7" s="18" t="s">
        <v>471</v>
      </c>
      <c r="B7" s="18"/>
      <c r="C7" s="18"/>
      <c r="D7" s="39"/>
      <c r="E7" s="39"/>
      <c r="F7" s="39"/>
      <c r="G7" s="39"/>
      <c r="H7" s="39"/>
      <c r="I7" s="39"/>
      <c r="J7" s="39"/>
      <c r="K7" s="39"/>
      <c r="L7" s="39"/>
      <c r="M7" s="39"/>
      <c r="N7" s="39"/>
      <c r="O7" s="39"/>
      <c r="P7" s="39"/>
      <c r="Q7" s="39"/>
      <c r="R7" s="39"/>
      <c r="S7" s="39"/>
      <c r="T7" s="39"/>
      <c r="U7" s="39"/>
      <c r="V7" s="39"/>
      <c r="W7" s="39"/>
      <c r="X7" s="39"/>
      <c r="Y7" s="39"/>
      <c r="Z7" s="39"/>
      <c r="AA7" s="39"/>
      <c r="AB7" s="39"/>
      <c r="AC7" s="39"/>
      <c r="AD7" s="39"/>
      <c r="AE7" s="39"/>
      <c r="AF7" s="39"/>
      <c r="AG7" s="39"/>
      <c r="AH7" s="39"/>
      <c r="AI7" s="39"/>
      <c r="AJ7" s="39"/>
      <c r="AK7" s="39"/>
      <c r="AL7" s="39"/>
      <c r="AM7" s="39"/>
      <c r="AN7" s="39"/>
      <c r="AO7" s="39"/>
      <c r="AP7" s="39"/>
      <c r="AQ7" s="39"/>
      <c r="AR7" s="39"/>
      <c r="AS7" s="39"/>
      <c r="AT7" s="39"/>
      <c r="AU7" s="39"/>
      <c r="AV7" s="39"/>
      <c r="AW7" s="39"/>
      <c r="AX7" s="39"/>
      <c r="AY7" s="39"/>
      <c r="AZ7" s="39"/>
      <c r="BA7" s="39"/>
      <c r="BB7" s="39"/>
      <c r="BC7" s="39"/>
      <c r="BD7" s="39"/>
      <c r="BE7" s="39"/>
      <c r="BF7" s="39"/>
      <c r="BG7" s="39"/>
      <c r="BH7" s="39"/>
      <c r="BI7" s="39"/>
      <c r="BJ7" s="39"/>
      <c r="BK7" s="39"/>
      <c r="BL7" s="39"/>
      <c r="BM7" s="39"/>
      <c r="BN7" s="39"/>
      <c r="BO7" s="39"/>
    </row>
    <row r="8" spans="1:67">
      <c r="A8" s="11"/>
      <c r="B8" s="22" t="s">
        <v>472</v>
      </c>
      <c r="C8" s="11"/>
      <c r="D8" s="33"/>
      <c r="E8" s="33"/>
      <c r="F8" s="33"/>
      <c r="G8" s="89">
        <f>G9+G10</f>
        <v>0</v>
      </c>
      <c r="H8" s="89">
        <f t="shared" ref="H8:BI8" si="0">H9+H10</f>
        <v>0</v>
      </c>
      <c r="I8" s="89">
        <f t="shared" si="0"/>
        <v>0</v>
      </c>
      <c r="J8" s="89">
        <f t="shared" si="0"/>
        <v>0</v>
      </c>
      <c r="K8" s="89">
        <f t="shared" si="0"/>
        <v>0</v>
      </c>
      <c r="L8" s="89">
        <f t="shared" si="0"/>
        <v>0</v>
      </c>
      <c r="M8" s="89">
        <f t="shared" si="0"/>
        <v>0</v>
      </c>
      <c r="N8" s="89">
        <f t="shared" si="0"/>
        <v>0</v>
      </c>
      <c r="O8" s="89">
        <f t="shared" si="0"/>
        <v>0</v>
      </c>
      <c r="P8" s="89">
        <f t="shared" si="0"/>
        <v>0</v>
      </c>
      <c r="Q8" s="89">
        <f t="shared" si="0"/>
        <v>0</v>
      </c>
      <c r="R8" s="89">
        <f t="shared" si="0"/>
        <v>0</v>
      </c>
      <c r="S8" s="89">
        <f t="shared" si="0"/>
        <v>0</v>
      </c>
      <c r="T8" s="89">
        <f t="shared" si="0"/>
        <v>0</v>
      </c>
      <c r="U8" s="89">
        <f t="shared" si="0"/>
        <v>0</v>
      </c>
      <c r="V8" s="89">
        <f t="shared" si="0"/>
        <v>0</v>
      </c>
      <c r="W8" s="89">
        <f t="shared" si="0"/>
        <v>0</v>
      </c>
      <c r="X8" s="89">
        <f t="shared" si="0"/>
        <v>0</v>
      </c>
      <c r="Y8" s="89">
        <f t="shared" si="0"/>
        <v>0</v>
      </c>
      <c r="Z8" s="89">
        <f t="shared" si="0"/>
        <v>0</v>
      </c>
      <c r="AA8" s="89">
        <f t="shared" si="0"/>
        <v>0</v>
      </c>
      <c r="AB8" s="89">
        <f t="shared" si="0"/>
        <v>12974266.175197721</v>
      </c>
      <c r="AC8" s="89">
        <f t="shared" si="0"/>
        <v>17190902.682136975</v>
      </c>
      <c r="AD8" s="89">
        <f t="shared" si="0"/>
        <v>21407539.189076237</v>
      </c>
      <c r="AE8" s="89">
        <f t="shared" si="0"/>
        <v>26188121.789491151</v>
      </c>
      <c r="AF8" s="89">
        <f t="shared" si="0"/>
        <v>30497559.552318797</v>
      </c>
      <c r="AG8" s="89">
        <f t="shared" si="0"/>
        <v>34806997.315146454</v>
      </c>
      <c r="AH8" s="89">
        <f t="shared" si="0"/>
        <v>39116435.077974103</v>
      </c>
      <c r="AI8" s="89">
        <f t="shared" si="0"/>
        <v>43425872.840801761</v>
      </c>
      <c r="AJ8" s="89">
        <f t="shared" si="0"/>
        <v>47735310.603629425</v>
      </c>
      <c r="AK8" s="89">
        <f t="shared" si="0"/>
        <v>52044748.366457075</v>
      </c>
      <c r="AL8" s="89">
        <f t="shared" si="0"/>
        <v>56354186.129284717</v>
      </c>
      <c r="AM8" s="89">
        <f t="shared" si="0"/>
        <v>60663623.892112389</v>
      </c>
      <c r="AN8" s="89">
        <f t="shared" si="0"/>
        <v>64973061.654940039</v>
      </c>
      <c r="AO8" s="89">
        <f t="shared" si="0"/>
        <v>64973061.654940039</v>
      </c>
      <c r="AP8" s="89">
        <f t="shared" si="0"/>
        <v>64973061.654940039</v>
      </c>
      <c r="AQ8" s="89">
        <f t="shared" si="0"/>
        <v>66403138.823500626</v>
      </c>
      <c r="AR8" s="89">
        <f t="shared" si="0"/>
        <v>66403138.823500626</v>
      </c>
      <c r="AS8" s="89">
        <f t="shared" si="0"/>
        <v>66403138.823500626</v>
      </c>
      <c r="AT8" s="89">
        <f t="shared" si="0"/>
        <v>66403138.823500626</v>
      </c>
      <c r="AU8" s="89">
        <f t="shared" si="0"/>
        <v>66403138.823500626</v>
      </c>
      <c r="AV8" s="89">
        <f t="shared" si="0"/>
        <v>66403138.823500626</v>
      </c>
      <c r="AW8" s="89">
        <f t="shared" si="0"/>
        <v>66403138.823500626</v>
      </c>
      <c r="AX8" s="89">
        <f t="shared" si="0"/>
        <v>66403138.823500626</v>
      </c>
      <c r="AY8" s="89">
        <f t="shared" si="0"/>
        <v>66403138.823500626</v>
      </c>
      <c r="AZ8" s="89">
        <f t="shared" si="0"/>
        <v>66403138.823500626</v>
      </c>
      <c r="BA8" s="89">
        <f t="shared" si="0"/>
        <v>66403138.823500626</v>
      </c>
      <c r="BB8" s="89">
        <f t="shared" si="0"/>
        <v>66403138.823500626</v>
      </c>
      <c r="BC8" s="89">
        <f t="shared" si="0"/>
        <v>67864821.701948047</v>
      </c>
      <c r="BD8" s="89">
        <f t="shared" si="0"/>
        <v>67864821.701948047</v>
      </c>
      <c r="BE8" s="89">
        <f t="shared" si="0"/>
        <v>67864821.701948047</v>
      </c>
      <c r="BF8" s="89">
        <f t="shared" si="0"/>
        <v>67864821.701948047</v>
      </c>
      <c r="BG8" s="89">
        <f t="shared" si="0"/>
        <v>67864821.701948047</v>
      </c>
      <c r="BH8" s="89">
        <f t="shared" si="0"/>
        <v>67864821.701948047</v>
      </c>
      <c r="BI8" s="89">
        <f t="shared" si="0"/>
        <v>832305738.00371873</v>
      </c>
      <c r="BJ8" s="89">
        <f t="shared" ref="BJ8" si="1">BJ9+BJ10</f>
        <v>850629900.5042212</v>
      </c>
      <c r="BK8" s="89">
        <f t="shared" ref="BK8" si="2">BK9+BK10</f>
        <v>869359141.35276306</v>
      </c>
      <c r="BL8" s="89">
        <f t="shared" ref="BL8" si="3">BL9+BL10</f>
        <v>888502449.80356038</v>
      </c>
      <c r="BM8" s="89">
        <f t="shared" ref="BM8" si="4">BM9+BM10</f>
        <v>908069015.31271982</v>
      </c>
      <c r="BN8" s="89">
        <f t="shared" ref="BN8" si="5">BN9+BN10</f>
        <v>928068232.01186347</v>
      </c>
      <c r="BO8" s="89">
        <f t="shared" ref="BO8" si="6">BO9+BO10</f>
        <v>942482382.84129453</v>
      </c>
    </row>
    <row r="9" spans="1:67">
      <c r="A9" s="11"/>
      <c r="B9" s="11"/>
      <c r="C9" s="11" t="s">
        <v>473</v>
      </c>
      <c r="D9" s="33"/>
      <c r="E9" s="33"/>
      <c r="F9" s="33"/>
      <c r="G9" s="90">
        <f>'04 Operating Model'!G$101</f>
        <v>0</v>
      </c>
      <c r="H9" s="90">
        <f>'04 Operating Model'!H$101</f>
        <v>0</v>
      </c>
      <c r="I9" s="90">
        <f>'04 Operating Model'!I$101</f>
        <v>0</v>
      </c>
      <c r="J9" s="90">
        <f>'04 Operating Model'!J$101</f>
        <v>0</v>
      </c>
      <c r="K9" s="90">
        <f>'04 Operating Model'!K$101</f>
        <v>0</v>
      </c>
      <c r="L9" s="90">
        <f>'04 Operating Model'!L$101</f>
        <v>0</v>
      </c>
      <c r="M9" s="90">
        <f>'04 Operating Model'!M$101</f>
        <v>0</v>
      </c>
      <c r="N9" s="90">
        <f>'04 Operating Model'!N$101</f>
        <v>0</v>
      </c>
      <c r="O9" s="90">
        <f>'04 Operating Model'!O$101</f>
        <v>0</v>
      </c>
      <c r="P9" s="90">
        <f>'04 Operating Model'!P$101</f>
        <v>0</v>
      </c>
      <c r="Q9" s="90">
        <f>'04 Operating Model'!Q$101</f>
        <v>0</v>
      </c>
      <c r="R9" s="90">
        <f>'04 Operating Model'!R$101</f>
        <v>0</v>
      </c>
      <c r="S9" s="90">
        <f>'04 Operating Model'!S$101</f>
        <v>0</v>
      </c>
      <c r="T9" s="90">
        <f>'04 Operating Model'!T$101</f>
        <v>0</v>
      </c>
      <c r="U9" s="90">
        <f>'04 Operating Model'!U$101</f>
        <v>0</v>
      </c>
      <c r="V9" s="90">
        <f>'04 Operating Model'!V$101</f>
        <v>0</v>
      </c>
      <c r="W9" s="90">
        <f>'04 Operating Model'!W$101</f>
        <v>0</v>
      </c>
      <c r="X9" s="90">
        <f>'04 Operating Model'!X$101</f>
        <v>0</v>
      </c>
      <c r="Y9" s="90">
        <f>'04 Operating Model'!Y$101</f>
        <v>0</v>
      </c>
      <c r="Z9" s="90">
        <f>'04 Operating Model'!Z$101</f>
        <v>0</v>
      </c>
      <c r="AA9" s="90">
        <f>'04 Operating Model'!AA$101</f>
        <v>0</v>
      </c>
      <c r="AB9" s="90">
        <f>'04 Operating Model'!AB$101</f>
        <v>12974266.175197721</v>
      </c>
      <c r="AC9" s="90">
        <f>'04 Operating Model'!AC$101</f>
        <v>17190902.682136975</v>
      </c>
      <c r="AD9" s="90">
        <f>'04 Operating Model'!AD$101</f>
        <v>21407539.189076237</v>
      </c>
      <c r="AE9" s="90">
        <f>'04 Operating Model'!AE$101</f>
        <v>26188121.789491151</v>
      </c>
      <c r="AF9" s="90">
        <f>'04 Operating Model'!AF$101</f>
        <v>30497559.552318797</v>
      </c>
      <c r="AG9" s="90">
        <f>'04 Operating Model'!AG$101</f>
        <v>34806997.315146454</v>
      </c>
      <c r="AH9" s="90">
        <f>'04 Operating Model'!AH$101</f>
        <v>39116435.077974103</v>
      </c>
      <c r="AI9" s="90">
        <f>'04 Operating Model'!AI$101</f>
        <v>43425872.840801761</v>
      </c>
      <c r="AJ9" s="90">
        <f>'04 Operating Model'!AJ$101</f>
        <v>47735310.603629425</v>
      </c>
      <c r="AK9" s="90">
        <f>'04 Operating Model'!AK$101</f>
        <v>52044748.366457075</v>
      </c>
      <c r="AL9" s="90">
        <f>'04 Operating Model'!AL$101</f>
        <v>56354186.129284717</v>
      </c>
      <c r="AM9" s="90">
        <f>'04 Operating Model'!AM$101</f>
        <v>60663623.892112389</v>
      </c>
      <c r="AN9" s="90">
        <f>'04 Operating Model'!AN$101</f>
        <v>64973061.654940039</v>
      </c>
      <c r="AO9" s="90">
        <f>'04 Operating Model'!AO$101</f>
        <v>64973061.654940039</v>
      </c>
      <c r="AP9" s="90">
        <f>'04 Operating Model'!AP$101</f>
        <v>64973061.654940039</v>
      </c>
      <c r="AQ9" s="90">
        <f>'04 Operating Model'!AQ$101</f>
        <v>66403138.823500626</v>
      </c>
      <c r="AR9" s="90">
        <f>'04 Operating Model'!AR$101</f>
        <v>66403138.823500626</v>
      </c>
      <c r="AS9" s="90">
        <f>'04 Operating Model'!AS$101</f>
        <v>66403138.823500626</v>
      </c>
      <c r="AT9" s="90">
        <f>'04 Operating Model'!AT$101</f>
        <v>66403138.823500626</v>
      </c>
      <c r="AU9" s="90">
        <f>'04 Operating Model'!AU$101</f>
        <v>66403138.823500626</v>
      </c>
      <c r="AV9" s="90">
        <f>'04 Operating Model'!AV$101</f>
        <v>66403138.823500626</v>
      </c>
      <c r="AW9" s="90">
        <f>'04 Operating Model'!AW$101</f>
        <v>66403138.823500626</v>
      </c>
      <c r="AX9" s="90">
        <f>'04 Operating Model'!AX$101</f>
        <v>66403138.823500626</v>
      </c>
      <c r="AY9" s="90">
        <f>'04 Operating Model'!AY$101</f>
        <v>66403138.823500626</v>
      </c>
      <c r="AZ9" s="90">
        <f>'04 Operating Model'!AZ$101</f>
        <v>66403138.823500626</v>
      </c>
      <c r="BA9" s="90">
        <f>'04 Operating Model'!BA$101</f>
        <v>66403138.823500626</v>
      </c>
      <c r="BB9" s="90">
        <f>'04 Operating Model'!BB$101</f>
        <v>66403138.823500626</v>
      </c>
      <c r="BC9" s="90">
        <f>'04 Operating Model'!BC$101</f>
        <v>67864821.701948047</v>
      </c>
      <c r="BD9" s="90">
        <f>'04 Operating Model'!BD$101</f>
        <v>67864821.701948047</v>
      </c>
      <c r="BE9" s="90">
        <f>'04 Operating Model'!BE$101</f>
        <v>67864821.701948047</v>
      </c>
      <c r="BF9" s="90">
        <f>'04 Operating Model'!BF$101</f>
        <v>67864821.701948047</v>
      </c>
      <c r="BG9" s="90">
        <f>'04 Operating Model'!BG$101</f>
        <v>67864821.701948047</v>
      </c>
      <c r="BH9" s="90">
        <f>'04 Operating Model'!BH$101</f>
        <v>67864821.701948047</v>
      </c>
      <c r="BI9" s="90">
        <f>'04 Operating Model'!BI$101</f>
        <v>832305738.00371873</v>
      </c>
      <c r="BJ9" s="90">
        <f>'04 Operating Model'!BJ$101</f>
        <v>850629900.5042212</v>
      </c>
      <c r="BK9" s="90">
        <f>'04 Operating Model'!BK$101</f>
        <v>869359141.35276306</v>
      </c>
      <c r="BL9" s="90">
        <f>'04 Operating Model'!BL$101</f>
        <v>888502449.80356038</v>
      </c>
      <c r="BM9" s="90">
        <f>'04 Operating Model'!BM$101</f>
        <v>908069015.31271982</v>
      </c>
      <c r="BN9" s="90">
        <f>'04 Operating Model'!BN$101</f>
        <v>928068232.01186347</v>
      </c>
      <c r="BO9" s="90">
        <f>'04 Operating Model'!BO$101</f>
        <v>942482382.84129453</v>
      </c>
    </row>
    <row r="10" spans="1:67">
      <c r="A10" s="11"/>
      <c r="B10" s="11"/>
      <c r="C10" s="11" t="s">
        <v>474</v>
      </c>
      <c r="D10" s="33"/>
      <c r="E10" s="33"/>
      <c r="F10" s="33"/>
      <c r="G10" s="90">
        <f>0</f>
        <v>0</v>
      </c>
      <c r="H10" s="90">
        <f>0</f>
        <v>0</v>
      </c>
      <c r="I10" s="90">
        <f>0</f>
        <v>0</v>
      </c>
      <c r="J10" s="90">
        <f>0</f>
        <v>0</v>
      </c>
      <c r="K10" s="90">
        <f>0</f>
        <v>0</v>
      </c>
      <c r="L10" s="90">
        <f>0</f>
        <v>0</v>
      </c>
      <c r="M10" s="90">
        <f>0</f>
        <v>0</v>
      </c>
      <c r="N10" s="90">
        <f>0</f>
        <v>0</v>
      </c>
      <c r="O10" s="90">
        <f>0</f>
        <v>0</v>
      </c>
      <c r="P10" s="90">
        <f>0</f>
        <v>0</v>
      </c>
      <c r="Q10" s="90">
        <f>0</f>
        <v>0</v>
      </c>
      <c r="R10" s="90">
        <f>0</f>
        <v>0</v>
      </c>
      <c r="S10" s="90">
        <f>0</f>
        <v>0</v>
      </c>
      <c r="T10" s="90">
        <f>0</f>
        <v>0</v>
      </c>
      <c r="U10" s="90">
        <f>0</f>
        <v>0</v>
      </c>
      <c r="V10" s="90">
        <f>0</f>
        <v>0</v>
      </c>
      <c r="W10" s="90">
        <f>0</f>
        <v>0</v>
      </c>
      <c r="X10" s="90">
        <f>0</f>
        <v>0</v>
      </c>
      <c r="Y10" s="90">
        <f>0</f>
        <v>0</v>
      </c>
      <c r="Z10" s="90">
        <f>0</f>
        <v>0</v>
      </c>
      <c r="AA10" s="90">
        <f>0</f>
        <v>0</v>
      </c>
      <c r="AB10" s="90">
        <f>0</f>
        <v>0</v>
      </c>
      <c r="AC10" s="90">
        <f>0</f>
        <v>0</v>
      </c>
      <c r="AD10" s="90">
        <f>0</f>
        <v>0</v>
      </c>
      <c r="AE10" s="90">
        <f>0</f>
        <v>0</v>
      </c>
      <c r="AF10" s="90">
        <f>0</f>
        <v>0</v>
      </c>
      <c r="AG10" s="90">
        <f>0</f>
        <v>0</v>
      </c>
      <c r="AH10" s="90">
        <f>0</f>
        <v>0</v>
      </c>
      <c r="AI10" s="90">
        <f>0</f>
        <v>0</v>
      </c>
      <c r="AJ10" s="90">
        <f>0</f>
        <v>0</v>
      </c>
      <c r="AK10" s="90">
        <f>0</f>
        <v>0</v>
      </c>
      <c r="AL10" s="90">
        <f>0</f>
        <v>0</v>
      </c>
      <c r="AM10" s="90">
        <f>0</f>
        <v>0</v>
      </c>
      <c r="AN10" s="90">
        <f>0</f>
        <v>0</v>
      </c>
      <c r="AO10" s="90">
        <f>0</f>
        <v>0</v>
      </c>
      <c r="AP10" s="90">
        <f>0</f>
        <v>0</v>
      </c>
      <c r="AQ10" s="90">
        <f>0</f>
        <v>0</v>
      </c>
      <c r="AR10" s="90">
        <f>0</f>
        <v>0</v>
      </c>
      <c r="AS10" s="90">
        <f>0</f>
        <v>0</v>
      </c>
      <c r="AT10" s="90">
        <f>0</f>
        <v>0</v>
      </c>
      <c r="AU10" s="90">
        <f>0</f>
        <v>0</v>
      </c>
      <c r="AV10" s="90">
        <f>0</f>
        <v>0</v>
      </c>
      <c r="AW10" s="90">
        <f>0</f>
        <v>0</v>
      </c>
      <c r="AX10" s="90">
        <f>0</f>
        <v>0</v>
      </c>
      <c r="AY10" s="90">
        <f>0</f>
        <v>0</v>
      </c>
      <c r="AZ10" s="90">
        <f>0</f>
        <v>0</v>
      </c>
      <c r="BA10" s="90">
        <f>0</f>
        <v>0</v>
      </c>
      <c r="BB10" s="90">
        <f>0</f>
        <v>0</v>
      </c>
      <c r="BC10" s="90">
        <f>0</f>
        <v>0</v>
      </c>
      <c r="BD10" s="90">
        <f>0</f>
        <v>0</v>
      </c>
      <c r="BE10" s="90">
        <f>0</f>
        <v>0</v>
      </c>
      <c r="BF10" s="90">
        <f>0</f>
        <v>0</v>
      </c>
      <c r="BG10" s="90">
        <f>0</f>
        <v>0</v>
      </c>
      <c r="BH10" s="90">
        <f>0</f>
        <v>0</v>
      </c>
      <c r="BI10" s="90">
        <f>0</f>
        <v>0</v>
      </c>
      <c r="BJ10" s="90">
        <f>0</f>
        <v>0</v>
      </c>
      <c r="BK10" s="90">
        <f>0</f>
        <v>0</v>
      </c>
      <c r="BL10" s="90">
        <f>0</f>
        <v>0</v>
      </c>
      <c r="BM10" s="90">
        <f>0</f>
        <v>0</v>
      </c>
      <c r="BN10" s="90">
        <f>0</f>
        <v>0</v>
      </c>
      <c r="BO10" s="90">
        <f>0</f>
        <v>0</v>
      </c>
    </row>
    <row r="11" spans="1:67">
      <c r="A11" s="11"/>
      <c r="B11" s="32" t="s">
        <v>1797</v>
      </c>
      <c r="C11" s="11"/>
      <c r="D11" s="33"/>
      <c r="E11" s="33"/>
      <c r="F11" s="33"/>
      <c r="G11" s="90">
        <f>-'05 Opex'!G$87</f>
        <v>0</v>
      </c>
      <c r="H11" s="90">
        <f>-'05 Opex'!H$87</f>
        <v>0</v>
      </c>
      <c r="I11" s="90">
        <f>-'05 Opex'!I$87</f>
        <v>0</v>
      </c>
      <c r="J11" s="90">
        <f>-'05 Opex'!J$87</f>
        <v>0</v>
      </c>
      <c r="K11" s="90">
        <f>-'05 Opex'!K$87</f>
        <v>0</v>
      </c>
      <c r="L11" s="90">
        <f>-'05 Opex'!L$87</f>
        <v>0</v>
      </c>
      <c r="M11" s="90">
        <f>-'05 Opex'!M$87</f>
        <v>0</v>
      </c>
      <c r="N11" s="90">
        <f>-'05 Opex'!N$87</f>
        <v>0</v>
      </c>
      <c r="O11" s="90">
        <f>-'05 Opex'!O$87</f>
        <v>0</v>
      </c>
      <c r="P11" s="90">
        <f>-'05 Opex'!P$87</f>
        <v>0</v>
      </c>
      <c r="Q11" s="90">
        <f>-'05 Opex'!Q$87</f>
        <v>0</v>
      </c>
      <c r="R11" s="90">
        <f>-'05 Opex'!R$87</f>
        <v>0</v>
      </c>
      <c r="S11" s="90">
        <f>-'05 Opex'!S$87</f>
        <v>0</v>
      </c>
      <c r="T11" s="90">
        <f>-'05 Opex'!T$87</f>
        <v>0</v>
      </c>
      <c r="U11" s="90">
        <f>-'05 Opex'!U$87</f>
        <v>0</v>
      </c>
      <c r="V11" s="90">
        <f>-'05 Opex'!V$87</f>
        <v>0</v>
      </c>
      <c r="W11" s="90">
        <f>-'05 Opex'!W$87</f>
        <v>0</v>
      </c>
      <c r="X11" s="90">
        <f>-'05 Opex'!X$87</f>
        <v>0</v>
      </c>
      <c r="Y11" s="90">
        <f>-'05 Opex'!Y$87</f>
        <v>0</v>
      </c>
      <c r="Z11" s="90">
        <f>-'05 Opex'!Z$87</f>
        <v>0</v>
      </c>
      <c r="AA11" s="90">
        <f>-'05 Opex'!AA$87</f>
        <v>0</v>
      </c>
      <c r="AB11" s="90">
        <f>-'05 Opex'!AB$87</f>
        <v>-26349496.095231868</v>
      </c>
      <c r="AC11" s="90">
        <f>-'05 Opex'!AC$87</f>
        <v>-12014551.532914752</v>
      </c>
      <c r="AD11" s="90">
        <f>-'05 Opex'!AD$87</f>
        <v>-14535482.355355339</v>
      </c>
      <c r="AE11" s="90">
        <f>-'05 Opex'!AE$87</f>
        <v>-17402873.741590146</v>
      </c>
      <c r="AF11" s="90">
        <f>-'05 Opex'!AF$87</f>
        <v>-19971165.964322355</v>
      </c>
      <c r="AG11" s="90">
        <f>-'05 Opex'!AG$87</f>
        <v>-22541368.117488608</v>
      </c>
      <c r="AH11" s="90">
        <f>-'05 Opex'!AH$87</f>
        <v>-25113480.201088876</v>
      </c>
      <c r="AI11" s="90">
        <f>-'05 Opex'!AI$87</f>
        <v>-27687502.21512318</v>
      </c>
      <c r="AJ11" s="90">
        <f>-'05 Opex'!AJ$87</f>
        <v>-30263434.159591526</v>
      </c>
      <c r="AK11" s="90">
        <f>-'05 Opex'!AK$87</f>
        <v>-32841276.03449386</v>
      </c>
      <c r="AL11" s="90">
        <f>-'05 Opex'!AL$87</f>
        <v>-35421027.839830257</v>
      </c>
      <c r="AM11" s="90">
        <f>-'05 Opex'!AM$87</f>
        <v>-38002689.575600676</v>
      </c>
      <c r="AN11" s="90">
        <f>-'05 Opex'!AN$87</f>
        <v>-40586261.241805114</v>
      </c>
      <c r="AO11" s="90">
        <f>-'05 Opex'!AO$87</f>
        <v>-40600659.178923175</v>
      </c>
      <c r="AP11" s="90">
        <f>-'05 Opex'!AP$87</f>
        <v>-40615057.116041228</v>
      </c>
      <c r="AQ11" s="90">
        <f>-'05 Opex'!AQ$87</f>
        <v>-41386701.124668725</v>
      </c>
      <c r="AR11" s="90">
        <f>-'05 Opex'!AR$87</f>
        <v>-41401144.360602409</v>
      </c>
      <c r="AS11" s="90">
        <f>-'05 Opex'!AS$87</f>
        <v>-41415587.596536092</v>
      </c>
      <c r="AT11" s="90">
        <f>-'05 Opex'!AT$87</f>
        <v>-41430030.832469761</v>
      </c>
      <c r="AU11" s="90">
        <f>-'05 Opex'!AU$87</f>
        <v>-41444474.068403445</v>
      </c>
      <c r="AV11" s="90">
        <f>-'05 Opex'!AV$87</f>
        <v>-41458917.304337136</v>
      </c>
      <c r="AW11" s="90">
        <f>-'05 Opex'!AW$87</f>
        <v>-41473360.540270813</v>
      </c>
      <c r="AX11" s="90">
        <f>-'05 Opex'!AX$87</f>
        <v>-41487803.776204482</v>
      </c>
      <c r="AY11" s="90">
        <f>-'05 Opex'!AY$87</f>
        <v>-41502247.012138173</v>
      </c>
      <c r="AZ11" s="90">
        <f>-'05 Opex'!AZ$87</f>
        <v>-41516690.248071842</v>
      </c>
      <c r="BA11" s="90">
        <f>-'05 Opex'!BA$87</f>
        <v>-41531133.484005533</v>
      </c>
      <c r="BB11" s="90">
        <f>-'05 Opex'!BB$87</f>
        <v>-41545576.71993921</v>
      </c>
      <c r="BC11" s="90">
        <f>-'05 Opex'!BC$87</f>
        <v>-42338844.322867006</v>
      </c>
      <c r="BD11" s="90">
        <f>-'05 Opex'!BD$87</f>
        <v>-42353333.310604475</v>
      </c>
      <c r="BE11" s="90">
        <f>-'05 Opex'!BE$87</f>
        <v>-42367822.298341945</v>
      </c>
      <c r="BF11" s="90">
        <f>-'05 Opex'!BF$87</f>
        <v>-42382311.286079399</v>
      </c>
      <c r="BG11" s="90">
        <f>-'05 Opex'!BG$87</f>
        <v>-42396800.273816869</v>
      </c>
      <c r="BH11" s="90">
        <f>-'05 Opex'!BH$87</f>
        <v>-42411289.261554323</v>
      </c>
      <c r="BI11" s="90">
        <f>-'05 Opex'!BI$87</f>
        <v>-521005936.61150301</v>
      </c>
      <c r="BJ11" s="90">
        <f>-'05 Opex'!BJ$87</f>
        <v>-532991332.2641629</v>
      </c>
      <c r="BK11" s="90">
        <f>-'05 Opex'!BK$87</f>
        <v>-543504838.87229264</v>
      </c>
      <c r="BL11" s="90">
        <f>-'05 Opex'!BL$87</f>
        <v>-555496023.07840061</v>
      </c>
      <c r="BM11" s="90">
        <f>-'05 Opex'!BM$87</f>
        <v>-568386823.37332749</v>
      </c>
      <c r="BN11" s="90">
        <f>-'05 Opex'!BN$87</f>
        <v>-581993294.73624802</v>
      </c>
      <c r="BO11" s="90">
        <f>-'05 Opex'!BO$87</f>
        <v>-595265496.64208972</v>
      </c>
    </row>
    <row r="12" spans="1:67">
      <c r="A12" s="32"/>
      <c r="B12" s="32" t="s">
        <v>1798</v>
      </c>
      <c r="C12" s="35"/>
      <c r="D12" s="17"/>
      <c r="E12" s="17"/>
      <c r="F12" s="17"/>
      <c r="G12" s="92">
        <f>-'05 Opex'!G$88</f>
        <v>-29800</v>
      </c>
      <c r="H12" s="92">
        <f>-'05 Opex'!H$88</f>
        <v>-29800</v>
      </c>
      <c r="I12" s="92">
        <f>-'05 Opex'!I$88</f>
        <v>-29800</v>
      </c>
      <c r="J12" s="92">
        <f>-'05 Opex'!J$88</f>
        <v>-29800</v>
      </c>
      <c r="K12" s="92">
        <f>-'05 Opex'!K$88</f>
        <v>-29800</v>
      </c>
      <c r="L12" s="92">
        <f>-'05 Opex'!L$88</f>
        <v>-29800</v>
      </c>
      <c r="M12" s="92">
        <f>-'05 Opex'!M$88</f>
        <v>-29800</v>
      </c>
      <c r="N12" s="92">
        <f>-'05 Opex'!N$88</f>
        <v>-29800</v>
      </c>
      <c r="O12" s="92">
        <f>-'05 Opex'!O$88</f>
        <v>-29800</v>
      </c>
      <c r="P12" s="92">
        <f>-'05 Opex'!P$88</f>
        <v>-29800</v>
      </c>
      <c r="Q12" s="92">
        <f>-'05 Opex'!Q$88</f>
        <v>-29800</v>
      </c>
      <c r="R12" s="92">
        <f>-'05 Opex'!R$88</f>
        <v>-29800</v>
      </c>
      <c r="S12" s="92">
        <f>-'05 Opex'!S$88</f>
        <v>-30396</v>
      </c>
      <c r="T12" s="92">
        <f>-'05 Opex'!T$88</f>
        <v>-30396</v>
      </c>
      <c r="U12" s="92">
        <f>-'05 Opex'!U$88</f>
        <v>-30396</v>
      </c>
      <c r="V12" s="92">
        <f>-'05 Opex'!V$88</f>
        <v>-30396</v>
      </c>
      <c r="W12" s="92">
        <f>-'05 Opex'!W$88</f>
        <v>-30396</v>
      </c>
      <c r="X12" s="92">
        <f>-'05 Opex'!X$88</f>
        <v>-30396</v>
      </c>
      <c r="Y12" s="92">
        <f>-'05 Opex'!Y$88</f>
        <v>-30396</v>
      </c>
      <c r="Z12" s="92">
        <f>-'05 Opex'!Z$88</f>
        <v>-30396</v>
      </c>
      <c r="AA12" s="92">
        <f>-'05 Opex'!AA$88</f>
        <v>-30396</v>
      </c>
      <c r="AB12" s="92">
        <f>-'05 Opex'!AB$88</f>
        <v>-10523220.81666667</v>
      </c>
      <c r="AC12" s="92">
        <f>-'05 Opex'!AC$88</f>
        <v>-9678973.9404166657</v>
      </c>
      <c r="AD12" s="92">
        <f>-'05 Opex'!AD$88</f>
        <v>-8832823.0832638871</v>
      </c>
      <c r="AE12" s="92">
        <f>-'05 Opex'!AE$88</f>
        <v>-8053320.2620520778</v>
      </c>
      <c r="AF12" s="92">
        <f>-'05 Opex'!AF$88</f>
        <v>-7196021.063812498</v>
      </c>
      <c r="AG12" s="92">
        <f>-'05 Opex'!AG$88</f>
        <v>-6336811.9351388887</v>
      </c>
      <c r="AH12" s="92">
        <f>-'05 Opex'!AH$88</f>
        <v>-5475692.8760312535</v>
      </c>
      <c r="AI12" s="92">
        <f>-'05 Opex'!AI$88</f>
        <v>-4612663.886489585</v>
      </c>
      <c r="AJ12" s="92">
        <f>-'05 Opex'!AJ$88</f>
        <v>-3747724.966513887</v>
      </c>
      <c r="AK12" s="92">
        <f>-'05 Opex'!AK$88</f>
        <v>-2880876.1161041744</v>
      </c>
      <c r="AL12" s="92">
        <f>-'05 Opex'!AL$88</f>
        <v>-2012117.335260421</v>
      </c>
      <c r="AM12" s="92">
        <f>-'05 Opex'!AM$88</f>
        <v>-1141448.6239826456</v>
      </c>
      <c r="AN12" s="92">
        <f>-'05 Opex'!AN$88</f>
        <v>-268869.98227082938</v>
      </c>
      <c r="AO12" s="92">
        <f>-'05 Opex'!AO$88</f>
        <v>-269163.81772221625</v>
      </c>
      <c r="AP12" s="92">
        <f>-'05 Opex'!AP$88</f>
        <v>-269457.65317361057</v>
      </c>
      <c r="AQ12" s="92">
        <f>-'05 Opex'!AQ$88</f>
        <v>-272121.50505625457</v>
      </c>
      <c r="AR12" s="92">
        <f>-'05 Opex'!AR$88</f>
        <v>-272416.26497326791</v>
      </c>
      <c r="AS12" s="92">
        <f>-'05 Opex'!AS$88</f>
        <v>-272711.02489027381</v>
      </c>
      <c r="AT12" s="92">
        <f>-'05 Opex'!AT$88</f>
        <v>-273005.78480729461</v>
      </c>
      <c r="AU12" s="92">
        <f>-'05 Opex'!AU$88</f>
        <v>-273300.54472430795</v>
      </c>
      <c r="AV12" s="92">
        <f>-'05 Opex'!AV$88</f>
        <v>-273595.30464131385</v>
      </c>
      <c r="AW12" s="92">
        <f>-'05 Opex'!AW$88</f>
        <v>-273890.06455833465</v>
      </c>
      <c r="AX12" s="92">
        <f>-'05 Opex'!AX$88</f>
        <v>-274184.82447535545</v>
      </c>
      <c r="AY12" s="92">
        <f>-'05 Opex'!AY$88</f>
        <v>-274479.58439236134</v>
      </c>
      <c r="AZ12" s="92">
        <f>-'05 Opex'!AZ$88</f>
        <v>-274774.34430938214</v>
      </c>
      <c r="BA12" s="92">
        <f>-'05 Opex'!BA$88</f>
        <v>-275069.10422638804</v>
      </c>
      <c r="BB12" s="92">
        <f>-'05 Opex'!BB$88</f>
        <v>-275363.86414340883</v>
      </c>
      <c r="BC12" s="92">
        <f>-'05 Opex'!BC$88</f>
        <v>-278137.12775661098</v>
      </c>
      <c r="BD12" s="92">
        <f>-'05 Opex'!BD$88</f>
        <v>-278432.82138390141</v>
      </c>
      <c r="BE12" s="92">
        <f>-'05 Opex'!BE$88</f>
        <v>-278728.51501119183</v>
      </c>
      <c r="BF12" s="92">
        <f>-'05 Opex'!BF$88</f>
        <v>-279024.20863848971</v>
      </c>
      <c r="BG12" s="92">
        <f>-'05 Opex'!BG$88</f>
        <v>-279319.90226578014</v>
      </c>
      <c r="BH12" s="92">
        <f>-'05 Opex'!BH$88</f>
        <v>-279615.59589307802</v>
      </c>
      <c r="BI12" s="92">
        <f>-'05 Opex'!BI$88</f>
        <v>-3436635.6199849844</v>
      </c>
      <c r="BJ12" s="92">
        <f>-'05 Opex'!BJ$88</f>
        <v>-3511932.5322543383</v>
      </c>
      <c r="BK12" s="92">
        <f>-'05 Opex'!BK$88</f>
        <v>-3552853.1143975258</v>
      </c>
      <c r="BL12" s="92">
        <f>-'05 Opex'!BL$88</f>
        <v>-3619466.0970164537</v>
      </c>
      <c r="BM12" s="92">
        <f>-'05 Opex'!BM$88</f>
        <v>-3699843.4673015475</v>
      </c>
      <c r="BN12" s="92">
        <f>-'05 Opex'!BN$88</f>
        <v>-3790095.9015094638</v>
      </c>
      <c r="BO12" s="92">
        <f>-'05 Opex'!BO$88</f>
        <v>-3874231.8454333544</v>
      </c>
    </row>
    <row r="13" spans="1:67">
      <c r="A13" s="11"/>
      <c r="B13" s="22" t="s">
        <v>21</v>
      </c>
      <c r="C13" s="11"/>
      <c r="D13" s="33"/>
      <c r="E13" s="33"/>
      <c r="F13" s="33"/>
      <c r="G13" s="89">
        <f>G8+G11+G12</f>
        <v>-29800</v>
      </c>
      <c r="H13" s="89">
        <f t="shared" ref="H13:BO13" si="7">H8+H11+H12</f>
        <v>-29800</v>
      </c>
      <c r="I13" s="89">
        <f t="shared" si="7"/>
        <v>-29800</v>
      </c>
      <c r="J13" s="89">
        <f t="shared" si="7"/>
        <v>-29800</v>
      </c>
      <c r="K13" s="89">
        <f t="shared" si="7"/>
        <v>-29800</v>
      </c>
      <c r="L13" s="89">
        <f t="shared" si="7"/>
        <v>-29800</v>
      </c>
      <c r="M13" s="89">
        <f t="shared" si="7"/>
        <v>-29800</v>
      </c>
      <c r="N13" s="89">
        <f t="shared" si="7"/>
        <v>-29800</v>
      </c>
      <c r="O13" s="89">
        <f t="shared" si="7"/>
        <v>-29800</v>
      </c>
      <c r="P13" s="89">
        <f t="shared" si="7"/>
        <v>-29800</v>
      </c>
      <c r="Q13" s="89">
        <f t="shared" si="7"/>
        <v>-29800</v>
      </c>
      <c r="R13" s="89">
        <f t="shared" si="7"/>
        <v>-29800</v>
      </c>
      <c r="S13" s="89">
        <f t="shared" si="7"/>
        <v>-30396</v>
      </c>
      <c r="T13" s="89">
        <f t="shared" si="7"/>
        <v>-30396</v>
      </c>
      <c r="U13" s="89">
        <f t="shared" si="7"/>
        <v>-30396</v>
      </c>
      <c r="V13" s="89">
        <f t="shared" si="7"/>
        <v>-30396</v>
      </c>
      <c r="W13" s="89">
        <f t="shared" si="7"/>
        <v>-30396</v>
      </c>
      <c r="X13" s="89">
        <f t="shared" si="7"/>
        <v>-30396</v>
      </c>
      <c r="Y13" s="89">
        <f t="shared" si="7"/>
        <v>-30396</v>
      </c>
      <c r="Z13" s="89">
        <f t="shared" si="7"/>
        <v>-30396</v>
      </c>
      <c r="AA13" s="89">
        <f t="shared" si="7"/>
        <v>-30396</v>
      </c>
      <c r="AB13" s="89">
        <f t="shared" si="7"/>
        <v>-23898450.736700818</v>
      </c>
      <c r="AC13" s="89">
        <f t="shared" si="7"/>
        <v>-4502622.7911944427</v>
      </c>
      <c r="AD13" s="89">
        <f t="shared" si="7"/>
        <v>-1960766.2495429888</v>
      </c>
      <c r="AE13" s="89">
        <f t="shared" si="7"/>
        <v>731927.78584892675</v>
      </c>
      <c r="AF13" s="89">
        <f t="shared" si="7"/>
        <v>3330372.5241839439</v>
      </c>
      <c r="AG13" s="89">
        <f t="shared" si="7"/>
        <v>5928817.2625189573</v>
      </c>
      <c r="AH13" s="89">
        <f t="shared" si="7"/>
        <v>8527262.0008539744</v>
      </c>
      <c r="AI13" s="89">
        <f t="shared" si="7"/>
        <v>11125706.739188995</v>
      </c>
      <c r="AJ13" s="89">
        <f t="shared" si="7"/>
        <v>13724151.477524012</v>
      </c>
      <c r="AK13" s="89">
        <f t="shared" si="7"/>
        <v>16322596.215859041</v>
      </c>
      <c r="AL13" s="89">
        <f t="shared" si="7"/>
        <v>18921040.954194039</v>
      </c>
      <c r="AM13" s="89">
        <f t="shared" si="7"/>
        <v>21519485.692529067</v>
      </c>
      <c r="AN13" s="89">
        <f t="shared" si="7"/>
        <v>24117930.430864096</v>
      </c>
      <c r="AO13" s="89">
        <f t="shared" si="7"/>
        <v>24103238.658294648</v>
      </c>
      <c r="AP13" s="89">
        <f t="shared" si="7"/>
        <v>24088546.8857252</v>
      </c>
      <c r="AQ13" s="89">
        <f t="shared" si="7"/>
        <v>24744316.193775646</v>
      </c>
      <c r="AR13" s="89">
        <f t="shared" si="7"/>
        <v>24729578.197924949</v>
      </c>
      <c r="AS13" s="89">
        <f t="shared" si="7"/>
        <v>24714840.20207426</v>
      </c>
      <c r="AT13" s="89">
        <f t="shared" si="7"/>
        <v>24700102.20622357</v>
      </c>
      <c r="AU13" s="89">
        <f t="shared" si="7"/>
        <v>24685364.210372873</v>
      </c>
      <c r="AV13" s="89">
        <f t="shared" si="7"/>
        <v>24670626.214522175</v>
      </c>
      <c r="AW13" s="89">
        <f t="shared" si="7"/>
        <v>24655888.218671478</v>
      </c>
      <c r="AX13" s="89">
        <f t="shared" si="7"/>
        <v>24641150.222820789</v>
      </c>
      <c r="AY13" s="89">
        <f t="shared" si="7"/>
        <v>24626412.226970091</v>
      </c>
      <c r="AZ13" s="89">
        <f t="shared" si="7"/>
        <v>24611674.231119402</v>
      </c>
      <c r="BA13" s="89">
        <f t="shared" si="7"/>
        <v>24596936.235268705</v>
      </c>
      <c r="BB13" s="89">
        <f t="shared" si="7"/>
        <v>24582198.239418007</v>
      </c>
      <c r="BC13" s="89">
        <f t="shared" si="7"/>
        <v>25247840.25132443</v>
      </c>
      <c r="BD13" s="89">
        <f t="shared" si="7"/>
        <v>25233055.56995967</v>
      </c>
      <c r="BE13" s="89">
        <f t="shared" si="7"/>
        <v>25218270.888594911</v>
      </c>
      <c r="BF13" s="89">
        <f t="shared" si="7"/>
        <v>25203486.207230158</v>
      </c>
      <c r="BG13" s="89">
        <f t="shared" si="7"/>
        <v>25188701.525865398</v>
      </c>
      <c r="BH13" s="89">
        <f t="shared" si="7"/>
        <v>25173916.844500646</v>
      </c>
      <c r="BI13" s="89">
        <f t="shared" si="7"/>
        <v>307863165.77223074</v>
      </c>
      <c r="BJ13" s="89">
        <f t="shared" si="7"/>
        <v>314126635.70780396</v>
      </c>
      <c r="BK13" s="89">
        <f t="shared" si="7"/>
        <v>322301449.36607289</v>
      </c>
      <c r="BL13" s="89">
        <f t="shared" si="7"/>
        <v>329386960.62814331</v>
      </c>
      <c r="BM13" s="89">
        <f t="shared" si="7"/>
        <v>335982348.47209078</v>
      </c>
      <c r="BN13" s="89">
        <f t="shared" si="7"/>
        <v>342284841.37410599</v>
      </c>
      <c r="BO13" s="89">
        <f t="shared" si="7"/>
        <v>343342654.35377145</v>
      </c>
    </row>
    <row r="14" spans="1:67">
      <c r="A14" s="11"/>
      <c r="B14" s="11" t="s">
        <v>475</v>
      </c>
      <c r="C14" s="11"/>
      <c r="D14" s="33"/>
      <c r="E14" s="33"/>
      <c r="F14" s="33"/>
      <c r="G14" s="90">
        <f>G15+G16+G17</f>
        <v>-325000</v>
      </c>
      <c r="H14" s="90">
        <f t="shared" ref="H14:BI14" si="8">H15+H16+H17</f>
        <v>-325000</v>
      </c>
      <c r="I14" s="90">
        <f t="shared" si="8"/>
        <v>-325000</v>
      </c>
      <c r="J14" s="90">
        <f t="shared" si="8"/>
        <v>-325000</v>
      </c>
      <c r="K14" s="90">
        <f t="shared" si="8"/>
        <v>-325000</v>
      </c>
      <c r="L14" s="90">
        <f t="shared" si="8"/>
        <v>-325000</v>
      </c>
      <c r="M14" s="90">
        <f t="shared" si="8"/>
        <v>-325000</v>
      </c>
      <c r="N14" s="90">
        <f t="shared" si="8"/>
        <v>-325000</v>
      </c>
      <c r="O14" s="90">
        <f t="shared" si="8"/>
        <v>-325000</v>
      </c>
      <c r="P14" s="90">
        <f t="shared" si="8"/>
        <v>-418750</v>
      </c>
      <c r="Q14" s="90">
        <f t="shared" si="8"/>
        <v>-418750</v>
      </c>
      <c r="R14" s="90">
        <f t="shared" si="8"/>
        <v>-674583.33333333337</v>
      </c>
      <c r="S14" s="90">
        <f t="shared" si="8"/>
        <v>-570850</v>
      </c>
      <c r="T14" s="90">
        <f t="shared" si="8"/>
        <v>-1154183.3333333333</v>
      </c>
      <c r="U14" s="90">
        <f t="shared" si="8"/>
        <v>-1154183.3333333333</v>
      </c>
      <c r="V14" s="90">
        <f t="shared" si="8"/>
        <v>-1259808.3333333335</v>
      </c>
      <c r="W14" s="90">
        <f t="shared" si="8"/>
        <v>-1259808.3333333335</v>
      </c>
      <c r="X14" s="90">
        <f t="shared" si="8"/>
        <v>-1249391.6666666667</v>
      </c>
      <c r="Y14" s="90">
        <f t="shared" si="8"/>
        <v>-1249391.6666666667</v>
      </c>
      <c r="Z14" s="90">
        <f t="shared" si="8"/>
        <v>-1325016.6666666667</v>
      </c>
      <c r="AA14" s="90">
        <f t="shared" si="8"/>
        <v>-1325016.6666666667</v>
      </c>
      <c r="AB14" s="90">
        <f t="shared" si="8"/>
        <v>-4927058.1112938412</v>
      </c>
      <c r="AC14" s="90">
        <f t="shared" si="8"/>
        <v>-5081040.1406935062</v>
      </c>
      <c r="AD14" s="90">
        <f t="shared" si="8"/>
        <v>-5160022.1700931713</v>
      </c>
      <c r="AE14" s="90">
        <f t="shared" si="8"/>
        <v>-5389327.4701999798</v>
      </c>
      <c r="AF14" s="90">
        <f t="shared" si="8"/>
        <v>-4871792.932200186</v>
      </c>
      <c r="AG14" s="90">
        <f t="shared" si="8"/>
        <v>-5029258.3942003939</v>
      </c>
      <c r="AH14" s="90">
        <f t="shared" si="8"/>
        <v>-5152140.522867268</v>
      </c>
      <c r="AI14" s="90">
        <f t="shared" si="8"/>
        <v>-5309605.984867475</v>
      </c>
      <c r="AJ14" s="90">
        <f t="shared" si="8"/>
        <v>-5467071.4468676839</v>
      </c>
      <c r="AK14" s="90">
        <f t="shared" si="8"/>
        <v>-5624536.90886789</v>
      </c>
      <c r="AL14" s="90">
        <f t="shared" si="8"/>
        <v>-5782002.370868098</v>
      </c>
      <c r="AM14" s="90">
        <f t="shared" si="8"/>
        <v>-5939467.832868306</v>
      </c>
      <c r="AN14" s="90">
        <f t="shared" si="8"/>
        <v>-6096933.2948685121</v>
      </c>
      <c r="AO14" s="90">
        <f t="shared" si="8"/>
        <v>-6097461.940701846</v>
      </c>
      <c r="AP14" s="90">
        <f t="shared" si="8"/>
        <v>-6027157.253201846</v>
      </c>
      <c r="AQ14" s="90">
        <f t="shared" si="8"/>
        <v>-6137467.7732497044</v>
      </c>
      <c r="AR14" s="90">
        <f t="shared" si="8"/>
        <v>-6137996.4190830383</v>
      </c>
      <c r="AS14" s="90">
        <f t="shared" si="8"/>
        <v>-6138525.0649163723</v>
      </c>
      <c r="AT14" s="90">
        <f t="shared" si="8"/>
        <v>-6139053.7107497044</v>
      </c>
      <c r="AU14" s="90">
        <f t="shared" si="8"/>
        <v>-6139582.3565830383</v>
      </c>
      <c r="AV14" s="90">
        <f t="shared" si="8"/>
        <v>-6140111.0024163723</v>
      </c>
      <c r="AW14" s="90">
        <f t="shared" si="8"/>
        <v>-6140639.6482497044</v>
      </c>
      <c r="AX14" s="90">
        <f t="shared" si="8"/>
        <v>-6141168.2940830383</v>
      </c>
      <c r="AY14" s="90">
        <f t="shared" si="8"/>
        <v>-6141696.9399163723</v>
      </c>
      <c r="AZ14" s="90">
        <f t="shared" si="8"/>
        <v>-6142225.5857497044</v>
      </c>
      <c r="BA14" s="90">
        <f t="shared" si="8"/>
        <v>-6142754.2315830383</v>
      </c>
      <c r="BB14" s="90">
        <f t="shared" si="8"/>
        <v>-6143282.8774163723</v>
      </c>
      <c r="BC14" s="90">
        <f t="shared" si="8"/>
        <v>-6256805.7111953367</v>
      </c>
      <c r="BD14" s="90">
        <f t="shared" si="8"/>
        <v>-6257334.3570286706</v>
      </c>
      <c r="BE14" s="90">
        <f t="shared" si="8"/>
        <v>-6257863.0028620027</v>
      </c>
      <c r="BF14" s="90">
        <f t="shared" si="8"/>
        <v>-6258391.6486953367</v>
      </c>
      <c r="BG14" s="90">
        <f t="shared" si="8"/>
        <v>-6258920.2945286706</v>
      </c>
      <c r="BH14" s="90">
        <f t="shared" si="8"/>
        <v>-6259448.9403620027</v>
      </c>
      <c r="BI14" s="90">
        <f t="shared" si="8"/>
        <v>-76585294.394246548</v>
      </c>
      <c r="BJ14" s="90">
        <f t="shared" ref="BJ14" si="9">BJ15+BJ16+BJ17</f>
        <v>-78098408.418966532</v>
      </c>
      <c r="BK14" s="90">
        <f t="shared" ref="BK14" si="10">BK15+BK16+BK17</f>
        <v>-69154137.61242646</v>
      </c>
      <c r="BL14" s="90">
        <f t="shared" ref="BL14" si="11">BL15+BL16+BL17</f>
        <v>-67253945.74910447</v>
      </c>
      <c r="BM14" s="90">
        <f t="shared" ref="BM14" si="12">BM15+BM16+BM17</f>
        <v>-68899354.559662312</v>
      </c>
      <c r="BN14" s="90">
        <f t="shared" ref="BN14" si="13">BN15+BN16+BN17</f>
        <v>-70591946.280567855</v>
      </c>
      <c r="BO14" s="90">
        <f t="shared" ref="BO14" si="14">BO15+BO16+BO17</f>
        <v>-72267065.798385873</v>
      </c>
    </row>
    <row r="15" spans="1:67">
      <c r="A15" s="11"/>
      <c r="B15" s="11"/>
      <c r="C15" s="11" t="s">
        <v>431</v>
      </c>
      <c r="D15" s="33"/>
      <c r="E15" s="33"/>
      <c r="F15" s="33"/>
      <c r="G15" s="90">
        <f>-'05 Opex'!G$89</f>
        <v>0</v>
      </c>
      <c r="H15" s="90">
        <f>-'05 Opex'!H$89</f>
        <v>0</v>
      </c>
      <c r="I15" s="90">
        <f>-'05 Opex'!I$89</f>
        <v>0</v>
      </c>
      <c r="J15" s="90">
        <f>-'05 Opex'!J$89</f>
        <v>0</v>
      </c>
      <c r="K15" s="90">
        <f>-'05 Opex'!K$89</f>
        <v>0</v>
      </c>
      <c r="L15" s="90">
        <f>-'05 Opex'!L$89</f>
        <v>0</v>
      </c>
      <c r="M15" s="90">
        <f>-'05 Opex'!M$89</f>
        <v>0</v>
      </c>
      <c r="N15" s="90">
        <f>-'05 Opex'!N$89</f>
        <v>0</v>
      </c>
      <c r="O15" s="90">
        <f>-'05 Opex'!O$89</f>
        <v>0</v>
      </c>
      <c r="P15" s="90">
        <f>-'05 Opex'!P$89</f>
        <v>0</v>
      </c>
      <c r="Q15" s="90">
        <f>-'05 Opex'!Q$89</f>
        <v>0</v>
      </c>
      <c r="R15" s="90">
        <f>-'05 Opex'!R$89</f>
        <v>0</v>
      </c>
      <c r="S15" s="90">
        <f>-'05 Opex'!S$89</f>
        <v>0</v>
      </c>
      <c r="T15" s="90">
        <f>-'05 Opex'!T$89</f>
        <v>0</v>
      </c>
      <c r="U15" s="90">
        <f>-'05 Opex'!U$89</f>
        <v>0</v>
      </c>
      <c r="V15" s="90">
        <f>-'05 Opex'!V$89</f>
        <v>0</v>
      </c>
      <c r="W15" s="90">
        <f>-'05 Opex'!W$89</f>
        <v>0</v>
      </c>
      <c r="X15" s="90">
        <f>-'05 Opex'!X$89</f>
        <v>0</v>
      </c>
      <c r="Y15" s="90">
        <f>-'05 Opex'!Y$89</f>
        <v>0</v>
      </c>
      <c r="Z15" s="90">
        <f>-'05 Opex'!Z$89</f>
        <v>0</v>
      </c>
      <c r="AA15" s="90">
        <f>-'05 Opex'!AA$89</f>
        <v>0</v>
      </c>
      <c r="AB15" s="90">
        <f>-'05 Opex'!AB$89</f>
        <v>-459189.9909519772</v>
      </c>
      <c r="AC15" s="90">
        <f>-'05 Opex'!AC$89</f>
        <v>-608426.7380113696</v>
      </c>
      <c r="AD15" s="90">
        <f>-'05 Opex'!AD$89</f>
        <v>-757663.48507076246</v>
      </c>
      <c r="AE15" s="90">
        <f>-'05 Opex'!AE$89</f>
        <v>-927504.83799382171</v>
      </c>
      <c r="AF15" s="90">
        <f>-'05 Opex'!AF$89</f>
        <v>-1080132.216397868</v>
      </c>
      <c r="AG15" s="90">
        <f>-'05 Opex'!AG$89</f>
        <v>-1232759.5948019144</v>
      </c>
      <c r="AH15" s="90">
        <f>-'05 Opex'!AH$89</f>
        <v>-1385386.9732059606</v>
      </c>
      <c r="AI15" s="90">
        <f>-'05 Opex'!AI$89</f>
        <v>-1538014.3516100072</v>
      </c>
      <c r="AJ15" s="90">
        <f>-'05 Opex'!AJ$89</f>
        <v>-1690641.7300140543</v>
      </c>
      <c r="AK15" s="90">
        <f>-'05 Opex'!AK$89</f>
        <v>-1843269.108418101</v>
      </c>
      <c r="AL15" s="90">
        <f>-'05 Opex'!AL$89</f>
        <v>-1995896.4868221469</v>
      </c>
      <c r="AM15" s="90">
        <f>-'05 Opex'!AM$89</f>
        <v>-2148523.8652261938</v>
      </c>
      <c r="AN15" s="90">
        <f>-'05 Opex'!AN$89</f>
        <v>-2301151.2436302397</v>
      </c>
      <c r="AO15" s="90">
        <f>-'05 Opex'!AO$89</f>
        <v>-2301151.2436302397</v>
      </c>
      <c r="AP15" s="90">
        <f>-'05 Opex'!AP$89</f>
        <v>-2301151.2436302397</v>
      </c>
      <c r="AQ15" s="90">
        <f>-'05 Opex'!AQ$89</f>
        <v>-2353434.6897387048</v>
      </c>
      <c r="AR15" s="90">
        <f>-'05 Opex'!AR$89</f>
        <v>-2353434.6897387048</v>
      </c>
      <c r="AS15" s="90">
        <f>-'05 Opex'!AS$89</f>
        <v>-2353434.6897387048</v>
      </c>
      <c r="AT15" s="90">
        <f>-'05 Opex'!AT$89</f>
        <v>-2353434.6897387048</v>
      </c>
      <c r="AU15" s="90">
        <f>-'05 Opex'!AU$89</f>
        <v>-2353434.6897387048</v>
      </c>
      <c r="AV15" s="90">
        <f>-'05 Opex'!AV$89</f>
        <v>-2353434.6897387048</v>
      </c>
      <c r="AW15" s="90">
        <f>-'05 Opex'!AW$89</f>
        <v>-2353434.6897387048</v>
      </c>
      <c r="AX15" s="90">
        <f>-'05 Opex'!AX$89</f>
        <v>-2353434.6897387048</v>
      </c>
      <c r="AY15" s="90">
        <f>-'05 Opex'!AY$89</f>
        <v>-2353434.6897387048</v>
      </c>
      <c r="AZ15" s="90">
        <f>-'05 Opex'!AZ$89</f>
        <v>-2353434.6897387048</v>
      </c>
      <c r="BA15" s="90">
        <f>-'05 Opex'!BA$89</f>
        <v>-2353434.6897387048</v>
      </c>
      <c r="BB15" s="90">
        <f>-'05 Opex'!BB$89</f>
        <v>-2353434.6897387048</v>
      </c>
      <c r="BC15" s="90">
        <f>-'05 Opex'!BC$89</f>
        <v>-2406907.7944577644</v>
      </c>
      <c r="BD15" s="90">
        <f>-'05 Opex'!BD$89</f>
        <v>-2406907.7944577644</v>
      </c>
      <c r="BE15" s="90">
        <f>-'05 Opex'!BE$89</f>
        <v>-2406907.7944577644</v>
      </c>
      <c r="BF15" s="90">
        <f>-'05 Opex'!BF$89</f>
        <v>-2406907.7944577644</v>
      </c>
      <c r="BG15" s="90">
        <f>-'05 Opex'!BG$89</f>
        <v>-2406907.7944577644</v>
      </c>
      <c r="BH15" s="90">
        <f>-'05 Opex'!BH$89</f>
        <v>-2406907.7944577644</v>
      </c>
      <c r="BI15" s="90">
        <f>-'05 Opex'!BI$89</f>
        <v>-29539171.952669557</v>
      </c>
      <c r="BJ15" s="90">
        <f>-'05 Opex'!BJ$89</f>
        <v>-30210384.212845124</v>
      </c>
      <c r="BK15" s="90">
        <f>-'05 Opex'!BK$89</f>
        <v>-30896870.581110004</v>
      </c>
      <c r="BL15" s="90">
        <f>-'05 Opex'!BL$89</f>
        <v>-31598979.08647237</v>
      </c>
      <c r="BM15" s="90">
        <f>-'05 Opex'!BM$89</f>
        <v>-32317065.697098009</v>
      </c>
      <c r="BN15" s="90">
        <f>-'05 Opex'!BN$89</f>
        <v>-33051494.501600772</v>
      </c>
      <c r="BO15" s="90">
        <f>-'05 Opex'!BO$89</f>
        <v>-33742364.690069169</v>
      </c>
    </row>
    <row r="16" spans="1:67">
      <c r="A16" s="11"/>
      <c r="B16" s="11"/>
      <c r="C16" s="11" t="s">
        <v>432</v>
      </c>
      <c r="D16" s="33"/>
      <c r="E16" s="33"/>
      <c r="F16" s="33"/>
      <c r="G16" s="90">
        <f>-'05 Opex'!G$90</f>
        <v>-325000</v>
      </c>
      <c r="H16" s="90">
        <f>-'05 Opex'!H$90</f>
        <v>-325000</v>
      </c>
      <c r="I16" s="90">
        <f>-'05 Opex'!I$90</f>
        <v>-325000</v>
      </c>
      <c r="J16" s="90">
        <f>-'05 Opex'!J$90</f>
        <v>-325000</v>
      </c>
      <c r="K16" s="90">
        <f>-'05 Opex'!K$90</f>
        <v>-325000</v>
      </c>
      <c r="L16" s="90">
        <f>-'05 Opex'!L$90</f>
        <v>-325000</v>
      </c>
      <c r="M16" s="90">
        <f>-'05 Opex'!M$90</f>
        <v>-325000</v>
      </c>
      <c r="N16" s="90">
        <f>-'05 Opex'!N$90</f>
        <v>-325000</v>
      </c>
      <c r="O16" s="90">
        <f>-'05 Opex'!O$90</f>
        <v>-325000</v>
      </c>
      <c r="P16" s="90">
        <f>-'05 Opex'!P$90</f>
        <v>-418750</v>
      </c>
      <c r="Q16" s="90">
        <f>-'05 Opex'!Q$90</f>
        <v>-418750</v>
      </c>
      <c r="R16" s="90">
        <f>-'05 Opex'!R$90</f>
        <v>-674583.33333333337</v>
      </c>
      <c r="S16" s="90">
        <f>-'05 Opex'!S$90</f>
        <v>-570850</v>
      </c>
      <c r="T16" s="90">
        <f>-'05 Opex'!T$90</f>
        <v>-1154183.3333333333</v>
      </c>
      <c r="U16" s="90">
        <f>-'05 Opex'!U$90</f>
        <v>-1154183.3333333333</v>
      </c>
      <c r="V16" s="90">
        <f>-'05 Opex'!V$90</f>
        <v>-1259808.3333333335</v>
      </c>
      <c r="W16" s="90">
        <f>-'05 Opex'!W$90</f>
        <v>-1259808.3333333335</v>
      </c>
      <c r="X16" s="90">
        <f>-'05 Opex'!X$90</f>
        <v>-1249391.6666666667</v>
      </c>
      <c r="Y16" s="90">
        <f>-'05 Opex'!Y$90</f>
        <v>-1249391.6666666667</v>
      </c>
      <c r="Z16" s="90">
        <f>-'05 Opex'!Z$90</f>
        <v>-1325016.6666666667</v>
      </c>
      <c r="AA16" s="90">
        <f>-'05 Opex'!AA$90</f>
        <v>-1325016.6666666667</v>
      </c>
      <c r="AB16" s="90">
        <f>-'05 Opex'!AB$90</f>
        <v>-3301201.4536751979</v>
      </c>
      <c r="AC16" s="90">
        <f>-'05 Opex'!AC$90</f>
        <v>-3305946.7360154707</v>
      </c>
      <c r="AD16" s="90">
        <f>-'05 Opex'!AD$90</f>
        <v>-3235692.0183557426</v>
      </c>
      <c r="AE16" s="90">
        <f>-'05 Opex'!AE$90</f>
        <v>-3295155.9655394908</v>
      </c>
      <c r="AF16" s="90">
        <f>-'05 Opex'!AF$90</f>
        <v>-2624994.0491356519</v>
      </c>
      <c r="AG16" s="90">
        <f>-'05 Opex'!AG$90</f>
        <v>-2629832.132731813</v>
      </c>
      <c r="AH16" s="90">
        <f>-'05 Opex'!AH$90</f>
        <v>-2600086.8829946406</v>
      </c>
      <c r="AI16" s="90">
        <f>-'05 Opex'!AI$90</f>
        <v>-2604924.9665908013</v>
      </c>
      <c r="AJ16" s="90">
        <f>-'05 Opex'!AJ$90</f>
        <v>-2609763.0501869624</v>
      </c>
      <c r="AK16" s="90">
        <f>-'05 Opex'!AK$90</f>
        <v>-2614601.1337831235</v>
      </c>
      <c r="AL16" s="90">
        <f>-'05 Opex'!AL$90</f>
        <v>-2619439.2173792841</v>
      </c>
      <c r="AM16" s="90">
        <f>-'05 Opex'!AM$90</f>
        <v>-2624277.3009754452</v>
      </c>
      <c r="AN16" s="90">
        <f>-'05 Opex'!AN$90</f>
        <v>-2629115.3845716063</v>
      </c>
      <c r="AO16" s="90">
        <f>-'05 Opex'!AO$90</f>
        <v>-2629644.0304049393</v>
      </c>
      <c r="AP16" s="90">
        <f>-'05 Opex'!AP$90</f>
        <v>-2559339.3429049398</v>
      </c>
      <c r="AQ16" s="90">
        <f>-'05 Opex'!AQ$90</f>
        <v>-2617366.4168443335</v>
      </c>
      <c r="AR16" s="90">
        <f>-'05 Opex'!AR$90</f>
        <v>-2617895.0626776665</v>
      </c>
      <c r="AS16" s="90">
        <f>-'05 Opex'!AS$90</f>
        <v>-2618423.7085110005</v>
      </c>
      <c r="AT16" s="90">
        <f>-'05 Opex'!AT$90</f>
        <v>-2618952.3543443335</v>
      </c>
      <c r="AU16" s="90">
        <f>-'05 Opex'!AU$90</f>
        <v>-2619481.0001776665</v>
      </c>
      <c r="AV16" s="90">
        <f>-'05 Opex'!AV$90</f>
        <v>-2620009.6460110005</v>
      </c>
      <c r="AW16" s="90">
        <f>-'05 Opex'!AW$90</f>
        <v>-2620538.2918443335</v>
      </c>
      <c r="AX16" s="90">
        <f>-'05 Opex'!AX$90</f>
        <v>-2621066.9376776665</v>
      </c>
      <c r="AY16" s="90">
        <f>-'05 Opex'!AY$90</f>
        <v>-2621595.5835110005</v>
      </c>
      <c r="AZ16" s="90">
        <f>-'05 Opex'!AZ$90</f>
        <v>-2622124.2293443335</v>
      </c>
      <c r="BA16" s="90">
        <f>-'05 Opex'!BA$90</f>
        <v>-2622652.8751776665</v>
      </c>
      <c r="BB16" s="90">
        <f>-'05 Opex'!BB$90</f>
        <v>-2623181.5210110005</v>
      </c>
      <c r="BC16" s="90">
        <f>-'05 Opex'!BC$90</f>
        <v>-2683231.2500709058</v>
      </c>
      <c r="BD16" s="90">
        <f>-'05 Opex'!BD$90</f>
        <v>-2683759.8959042393</v>
      </c>
      <c r="BE16" s="90">
        <f>-'05 Opex'!BE$90</f>
        <v>-2684288.5417375728</v>
      </c>
      <c r="BF16" s="90">
        <f>-'05 Opex'!BF$90</f>
        <v>-2684817.1875709058</v>
      </c>
      <c r="BG16" s="90">
        <f>-'05 Opex'!BG$90</f>
        <v>-2685345.8334042393</v>
      </c>
      <c r="BH16" s="90">
        <f>-'05 Opex'!BH$90</f>
        <v>-2685874.4792375728</v>
      </c>
      <c r="BI16" s="90">
        <f>-'05 Opex'!BI$90</f>
        <v>-33046122.441576984</v>
      </c>
      <c r="BJ16" s="90">
        <f>-'05 Opex'!BJ$90</f>
        <v>-33888024.2061214</v>
      </c>
      <c r="BK16" s="90">
        <f>-'05 Opex'!BK$90</f>
        <v>-34757267.031316459</v>
      </c>
      <c r="BL16" s="90">
        <f>-'05 Opex'!BL$90</f>
        <v>-35654966.662632108</v>
      </c>
      <c r="BM16" s="90">
        <f>-'05 Opex'!BM$90</f>
        <v>-36582288.862564296</v>
      </c>
      <c r="BN16" s="90">
        <f>-'05 Opex'!BN$90</f>
        <v>-37540451.77896709</v>
      </c>
      <c r="BO16" s="90">
        <f>-'05 Opex'!BO$90</f>
        <v>-38524701.108316705</v>
      </c>
    </row>
    <row r="17" spans="1:67">
      <c r="A17" s="11"/>
      <c r="B17" s="11"/>
      <c r="C17" s="11" t="s">
        <v>433</v>
      </c>
      <c r="D17" s="33"/>
      <c r="E17" s="33"/>
      <c r="F17" s="33"/>
      <c r="G17" s="90">
        <f>-'05 Opex'!G$91</f>
        <v>0</v>
      </c>
      <c r="H17" s="90">
        <f>-'05 Opex'!H$91</f>
        <v>0</v>
      </c>
      <c r="I17" s="90">
        <f>-'05 Opex'!I$91</f>
        <v>0</v>
      </c>
      <c r="J17" s="90">
        <f>-'05 Opex'!J$91</f>
        <v>0</v>
      </c>
      <c r="K17" s="90">
        <f>-'05 Opex'!K$91</f>
        <v>0</v>
      </c>
      <c r="L17" s="90">
        <f>-'05 Opex'!L$91</f>
        <v>0</v>
      </c>
      <c r="M17" s="90">
        <f>-'05 Opex'!M$91</f>
        <v>0</v>
      </c>
      <c r="N17" s="90">
        <f>-'05 Opex'!N$91</f>
        <v>0</v>
      </c>
      <c r="O17" s="90">
        <f>-'05 Opex'!O$91</f>
        <v>0</v>
      </c>
      <c r="P17" s="90">
        <f>-'05 Opex'!P$91</f>
        <v>0</v>
      </c>
      <c r="Q17" s="90">
        <f>-'05 Opex'!Q$91</f>
        <v>0</v>
      </c>
      <c r="R17" s="90">
        <f>-'05 Opex'!R$91</f>
        <v>0</v>
      </c>
      <c r="S17" s="90">
        <f>-'05 Opex'!S$91</f>
        <v>0</v>
      </c>
      <c r="T17" s="90">
        <f>-'05 Opex'!T$91</f>
        <v>0</v>
      </c>
      <c r="U17" s="90">
        <f>-'05 Opex'!U$91</f>
        <v>0</v>
      </c>
      <c r="V17" s="90">
        <f>-'05 Opex'!V$91</f>
        <v>0</v>
      </c>
      <c r="W17" s="90">
        <f>-'05 Opex'!W$91</f>
        <v>0</v>
      </c>
      <c r="X17" s="90">
        <f>-'05 Opex'!X$91</f>
        <v>0</v>
      </c>
      <c r="Y17" s="90">
        <f>-'05 Opex'!Y$91</f>
        <v>0</v>
      </c>
      <c r="Z17" s="90">
        <f>-'05 Opex'!Z$91</f>
        <v>0</v>
      </c>
      <c r="AA17" s="90">
        <f>-'05 Opex'!AA$91</f>
        <v>0</v>
      </c>
      <c r="AB17" s="90">
        <f>-'05 Opex'!AB$91</f>
        <v>-1166666.6666666665</v>
      </c>
      <c r="AC17" s="90">
        <f>-'05 Opex'!AC$91</f>
        <v>-1166666.6666666665</v>
      </c>
      <c r="AD17" s="90">
        <f>-'05 Opex'!AD$91</f>
        <v>-1166666.6666666665</v>
      </c>
      <c r="AE17" s="90">
        <f>-'05 Opex'!AE$91</f>
        <v>-1166666.6666666665</v>
      </c>
      <c r="AF17" s="90">
        <f>-'05 Opex'!AF$91</f>
        <v>-1166666.6666666665</v>
      </c>
      <c r="AG17" s="90">
        <f>-'05 Opex'!AG$91</f>
        <v>-1166666.6666666665</v>
      </c>
      <c r="AH17" s="90">
        <f>-'05 Opex'!AH$91</f>
        <v>-1166666.6666666665</v>
      </c>
      <c r="AI17" s="90">
        <f>-'05 Opex'!AI$91</f>
        <v>-1166666.6666666665</v>
      </c>
      <c r="AJ17" s="90">
        <f>-'05 Opex'!AJ$91</f>
        <v>-1166666.6666666665</v>
      </c>
      <c r="AK17" s="90">
        <f>-'05 Opex'!AK$91</f>
        <v>-1166666.6666666665</v>
      </c>
      <c r="AL17" s="90">
        <f>-'05 Opex'!AL$91</f>
        <v>-1166666.6666666665</v>
      </c>
      <c r="AM17" s="90">
        <f>-'05 Opex'!AM$91</f>
        <v>-1166666.6666666665</v>
      </c>
      <c r="AN17" s="90">
        <f>-'05 Opex'!AN$91</f>
        <v>-1166666.6666666665</v>
      </c>
      <c r="AO17" s="90">
        <f>-'05 Opex'!AO$91</f>
        <v>-1166666.6666666665</v>
      </c>
      <c r="AP17" s="90">
        <f>-'05 Opex'!AP$91</f>
        <v>-1166666.6666666665</v>
      </c>
      <c r="AQ17" s="90">
        <f>-'05 Opex'!AQ$91</f>
        <v>-1166666.6666666665</v>
      </c>
      <c r="AR17" s="90">
        <f>-'05 Opex'!AR$91</f>
        <v>-1166666.6666666665</v>
      </c>
      <c r="AS17" s="90">
        <f>-'05 Opex'!AS$91</f>
        <v>-1166666.6666666665</v>
      </c>
      <c r="AT17" s="90">
        <f>-'05 Opex'!AT$91</f>
        <v>-1166666.6666666665</v>
      </c>
      <c r="AU17" s="90">
        <f>-'05 Opex'!AU$91</f>
        <v>-1166666.6666666665</v>
      </c>
      <c r="AV17" s="90">
        <f>-'05 Opex'!AV$91</f>
        <v>-1166666.6666666665</v>
      </c>
      <c r="AW17" s="90">
        <f>-'05 Opex'!AW$91</f>
        <v>-1166666.6666666665</v>
      </c>
      <c r="AX17" s="90">
        <f>-'05 Opex'!AX$91</f>
        <v>-1166666.6666666665</v>
      </c>
      <c r="AY17" s="90">
        <f>-'05 Opex'!AY$91</f>
        <v>-1166666.6666666665</v>
      </c>
      <c r="AZ17" s="90">
        <f>-'05 Opex'!AZ$91</f>
        <v>-1166666.6666666665</v>
      </c>
      <c r="BA17" s="90">
        <f>-'05 Opex'!BA$91</f>
        <v>-1166666.6666666665</v>
      </c>
      <c r="BB17" s="90">
        <f>-'05 Opex'!BB$91</f>
        <v>-1166666.6666666665</v>
      </c>
      <c r="BC17" s="90">
        <f>-'05 Opex'!BC$91</f>
        <v>-1166666.6666666665</v>
      </c>
      <c r="BD17" s="90">
        <f>-'05 Opex'!BD$91</f>
        <v>-1166666.6666666665</v>
      </c>
      <c r="BE17" s="90">
        <f>-'05 Opex'!BE$91</f>
        <v>-1166666.6666666665</v>
      </c>
      <c r="BF17" s="90">
        <f>-'05 Opex'!BF$91</f>
        <v>-1166666.6666666665</v>
      </c>
      <c r="BG17" s="90">
        <f>-'05 Opex'!BG$91</f>
        <v>-1166666.6666666665</v>
      </c>
      <c r="BH17" s="90">
        <f>-'05 Opex'!BH$91</f>
        <v>-1166666.6666666665</v>
      </c>
      <c r="BI17" s="90">
        <f>-'05 Opex'!BI$91</f>
        <v>-14000000</v>
      </c>
      <c r="BJ17" s="90">
        <f>-'05 Opex'!BJ$91</f>
        <v>-14000000</v>
      </c>
      <c r="BK17" s="90">
        <f>-'05 Opex'!BK$91</f>
        <v>-3499999.9999999925</v>
      </c>
      <c r="BL17" s="90">
        <f>-'05 Opex'!BL$91</f>
        <v>0</v>
      </c>
      <c r="BM17" s="90">
        <f>-'05 Opex'!BM$91</f>
        <v>0</v>
      </c>
      <c r="BN17" s="90">
        <f>-'05 Opex'!BN$91</f>
        <v>0</v>
      </c>
      <c r="BO17" s="90">
        <f>-'05 Opex'!BO$91</f>
        <v>0</v>
      </c>
    </row>
    <row r="18" spans="1:67">
      <c r="A18" s="11"/>
      <c r="B18" s="22" t="s">
        <v>476</v>
      </c>
      <c r="C18" s="11"/>
      <c r="D18" s="33"/>
      <c r="E18" s="33"/>
      <c r="F18" s="33"/>
      <c r="G18" s="89">
        <f>G13+G14</f>
        <v>-354800</v>
      </c>
      <c r="H18" s="89">
        <f t="shared" ref="H18:BI18" si="15">H13+H14</f>
        <v>-354800</v>
      </c>
      <c r="I18" s="89">
        <f t="shared" si="15"/>
        <v>-354800</v>
      </c>
      <c r="J18" s="89">
        <f t="shared" si="15"/>
        <v>-354800</v>
      </c>
      <c r="K18" s="89">
        <f t="shared" si="15"/>
        <v>-354800</v>
      </c>
      <c r="L18" s="89">
        <f t="shared" si="15"/>
        <v>-354800</v>
      </c>
      <c r="M18" s="89">
        <f t="shared" si="15"/>
        <v>-354800</v>
      </c>
      <c r="N18" s="89">
        <f t="shared" si="15"/>
        <v>-354800</v>
      </c>
      <c r="O18" s="89">
        <f t="shared" si="15"/>
        <v>-354800</v>
      </c>
      <c r="P18" s="89">
        <f t="shared" si="15"/>
        <v>-448550</v>
      </c>
      <c r="Q18" s="89">
        <f t="shared" si="15"/>
        <v>-448550</v>
      </c>
      <c r="R18" s="89">
        <f t="shared" si="15"/>
        <v>-704383.33333333337</v>
      </c>
      <c r="S18" s="89">
        <f t="shared" si="15"/>
        <v>-601246</v>
      </c>
      <c r="T18" s="89">
        <f t="shared" si="15"/>
        <v>-1184579.3333333333</v>
      </c>
      <c r="U18" s="89">
        <f t="shared" si="15"/>
        <v>-1184579.3333333333</v>
      </c>
      <c r="V18" s="89">
        <f t="shared" si="15"/>
        <v>-1290204.3333333335</v>
      </c>
      <c r="W18" s="89">
        <f t="shared" si="15"/>
        <v>-1290204.3333333335</v>
      </c>
      <c r="X18" s="89">
        <f t="shared" si="15"/>
        <v>-1279787.6666666667</v>
      </c>
      <c r="Y18" s="89">
        <f t="shared" si="15"/>
        <v>-1279787.6666666667</v>
      </c>
      <c r="Z18" s="89">
        <f t="shared" si="15"/>
        <v>-1355412.6666666667</v>
      </c>
      <c r="AA18" s="89">
        <f t="shared" si="15"/>
        <v>-1355412.6666666667</v>
      </c>
      <c r="AB18" s="89">
        <f t="shared" si="15"/>
        <v>-28825508.847994659</v>
      </c>
      <c r="AC18" s="89">
        <f t="shared" si="15"/>
        <v>-9583662.9318879489</v>
      </c>
      <c r="AD18" s="89">
        <f t="shared" si="15"/>
        <v>-7120788.4196361601</v>
      </c>
      <c r="AE18" s="89">
        <f t="shared" si="15"/>
        <v>-4657399.6843510531</v>
      </c>
      <c r="AF18" s="89">
        <f t="shared" si="15"/>
        <v>-1541420.4080162421</v>
      </c>
      <c r="AG18" s="89">
        <f t="shared" si="15"/>
        <v>899558.86831856333</v>
      </c>
      <c r="AH18" s="89">
        <f t="shared" si="15"/>
        <v>3375121.4779867064</v>
      </c>
      <c r="AI18" s="89">
        <f t="shared" si="15"/>
        <v>5816100.7543215202</v>
      </c>
      <c r="AJ18" s="89">
        <f t="shared" si="15"/>
        <v>8257080.0306563284</v>
      </c>
      <c r="AK18" s="89">
        <f t="shared" si="15"/>
        <v>10698059.306991151</v>
      </c>
      <c r="AL18" s="89">
        <f t="shared" si="15"/>
        <v>13139038.583325941</v>
      </c>
      <c r="AM18" s="89">
        <f t="shared" si="15"/>
        <v>15580017.859660761</v>
      </c>
      <c r="AN18" s="89">
        <f t="shared" si="15"/>
        <v>18020997.135995582</v>
      </c>
      <c r="AO18" s="89">
        <f t="shared" si="15"/>
        <v>18005776.717592802</v>
      </c>
      <c r="AP18" s="89">
        <f t="shared" si="15"/>
        <v>18061389.632523354</v>
      </c>
      <c r="AQ18" s="89">
        <f t="shared" si="15"/>
        <v>18606848.420525942</v>
      </c>
      <c r="AR18" s="89">
        <f t="shared" si="15"/>
        <v>18591581.778841913</v>
      </c>
      <c r="AS18" s="89">
        <f t="shared" si="15"/>
        <v>18576315.137157887</v>
      </c>
      <c r="AT18" s="89">
        <f t="shared" si="15"/>
        <v>18561048.495473865</v>
      </c>
      <c r="AU18" s="89">
        <f t="shared" si="15"/>
        <v>18545781.853789836</v>
      </c>
      <c r="AV18" s="89">
        <f t="shared" si="15"/>
        <v>18530515.212105803</v>
      </c>
      <c r="AW18" s="89">
        <f t="shared" si="15"/>
        <v>18515248.570421774</v>
      </c>
      <c r="AX18" s="89">
        <f t="shared" si="15"/>
        <v>18499981.928737752</v>
      </c>
      <c r="AY18" s="89">
        <f t="shared" si="15"/>
        <v>18484715.287053719</v>
      </c>
      <c r="AZ18" s="89">
        <f t="shared" si="15"/>
        <v>18469448.645369697</v>
      </c>
      <c r="BA18" s="89">
        <f t="shared" si="15"/>
        <v>18454182.003685668</v>
      </c>
      <c r="BB18" s="89">
        <f t="shared" si="15"/>
        <v>18438915.362001635</v>
      </c>
      <c r="BC18" s="89">
        <f t="shared" si="15"/>
        <v>18991034.540129095</v>
      </c>
      <c r="BD18" s="89">
        <f t="shared" si="15"/>
        <v>18975721.212931</v>
      </c>
      <c r="BE18" s="89">
        <f t="shared" si="15"/>
        <v>18960407.885732908</v>
      </c>
      <c r="BF18" s="89">
        <f t="shared" si="15"/>
        <v>18945094.558534823</v>
      </c>
      <c r="BG18" s="89">
        <f t="shared" si="15"/>
        <v>18929781.231336728</v>
      </c>
      <c r="BH18" s="89">
        <f t="shared" si="15"/>
        <v>18914467.904138643</v>
      </c>
      <c r="BI18" s="89">
        <f t="shared" si="15"/>
        <v>231277871.3779842</v>
      </c>
      <c r="BJ18" s="89">
        <f t="shared" ref="BJ18:BO18" si="16">BJ13+BJ14</f>
        <v>236028227.28883743</v>
      </c>
      <c r="BK18" s="89">
        <f t="shared" si="16"/>
        <v>253147311.75364643</v>
      </c>
      <c r="BL18" s="89">
        <f t="shared" si="16"/>
        <v>262133014.87903884</v>
      </c>
      <c r="BM18" s="89">
        <f t="shared" si="16"/>
        <v>267082993.91242847</v>
      </c>
      <c r="BN18" s="89">
        <f t="shared" si="16"/>
        <v>271692895.09353817</v>
      </c>
      <c r="BO18" s="89">
        <f t="shared" si="16"/>
        <v>271075588.55538559</v>
      </c>
    </row>
    <row r="19" spans="1:67">
      <c r="A19" s="11"/>
      <c r="B19" s="11" t="s">
        <v>1801</v>
      </c>
      <c r="C19" s="11"/>
      <c r="D19" s="33"/>
      <c r="E19" s="33"/>
      <c r="F19" s="33"/>
      <c r="G19" s="90">
        <f>-'06 Debt &amp; WC'!G$24-'06 Debt &amp; WC'!G$62</f>
        <v>0</v>
      </c>
      <c r="H19" s="90">
        <f>-'06 Debt &amp; WC'!H$24-'06 Debt &amp; WC'!H$62</f>
        <v>0</v>
      </c>
      <c r="I19" s="90">
        <f>-'06 Debt &amp; WC'!I$24-'06 Debt &amp; WC'!I$62</f>
        <v>0</v>
      </c>
      <c r="J19" s="90">
        <f>-'06 Debt &amp; WC'!J$24-'06 Debt &amp; WC'!J$62</f>
        <v>0</v>
      </c>
      <c r="K19" s="90">
        <f>-'06 Debt &amp; WC'!K$24-'06 Debt &amp; WC'!K$62</f>
        <v>0</v>
      </c>
      <c r="L19" s="90">
        <f>-'06 Debt &amp; WC'!L$24-'06 Debt &amp; WC'!L$62</f>
        <v>0</v>
      </c>
      <c r="M19" s="90">
        <f>-'06 Debt &amp; WC'!M$24-'06 Debt &amp; WC'!M$62</f>
        <v>0</v>
      </c>
      <c r="N19" s="90">
        <f>-'06 Debt &amp; WC'!N$24-'06 Debt &amp; WC'!N$62</f>
        <v>0</v>
      </c>
      <c r="O19" s="90">
        <f>-'06 Debt &amp; WC'!O$24-'06 Debt &amp; WC'!O$62</f>
        <v>0</v>
      </c>
      <c r="P19" s="90">
        <f>-'06 Debt &amp; WC'!P$24-'06 Debt &amp; WC'!P$62</f>
        <v>0</v>
      </c>
      <c r="Q19" s="90">
        <f>-'06 Debt &amp; WC'!Q$24-'06 Debt &amp; WC'!Q$62</f>
        <v>0</v>
      </c>
      <c r="R19" s="90">
        <f>-'06 Debt &amp; WC'!R$24-'06 Debt &amp; WC'!R$62</f>
        <v>0</v>
      </c>
      <c r="S19" s="90">
        <f>-'06 Debt &amp; WC'!S$24-'06 Debt &amp; WC'!S$62</f>
        <v>0</v>
      </c>
      <c r="T19" s="90">
        <f>-'06 Debt &amp; WC'!T$24-'06 Debt &amp; WC'!T$62</f>
        <v>0</v>
      </c>
      <c r="U19" s="90">
        <f>-'06 Debt &amp; WC'!U$24-'06 Debt &amp; WC'!U$62</f>
        <v>0</v>
      </c>
      <c r="V19" s="90">
        <f>-'06 Debt &amp; WC'!V$24-'06 Debt &amp; WC'!V$62</f>
        <v>0</v>
      </c>
      <c r="W19" s="90">
        <f>-'06 Debt &amp; WC'!W$24-'06 Debt &amp; WC'!W$62</f>
        <v>0</v>
      </c>
      <c r="X19" s="90">
        <f>-'06 Debt &amp; WC'!X$24-'06 Debt &amp; WC'!X$62</f>
        <v>0</v>
      </c>
      <c r="Y19" s="90">
        <f>-'06 Debt &amp; WC'!Y$24-'06 Debt &amp; WC'!Y$62</f>
        <v>0</v>
      </c>
      <c r="Z19" s="90">
        <f>-'06 Debt &amp; WC'!Z$24-'06 Debt &amp; WC'!Z$62</f>
        <v>0</v>
      </c>
      <c r="AA19" s="90">
        <f>-'06 Debt &amp; WC'!AA$24-'06 Debt &amp; WC'!AA$62</f>
        <v>0</v>
      </c>
      <c r="AB19" s="90">
        <f>-'06 Debt &amp; WC'!AB$24-'06 Debt &amp; WC'!AB$62</f>
        <v>-4357770.2000038223</v>
      </c>
      <c r="AC19" s="90">
        <f>-'06 Debt &amp; WC'!AC$24-'06 Debt &amp; WC'!AC$62</f>
        <v>-4640444.8071673159</v>
      </c>
      <c r="AD19" s="90">
        <f>-'06 Debt &amp; WC'!AD$24-'06 Debt &amp; WC'!AD$62</f>
        <v>-4762672.6822572527</v>
      </c>
      <c r="AE19" s="90">
        <f>-'06 Debt &amp; WC'!AE$24-'06 Debt &amp; WC'!AE$62</f>
        <v>-4813781.4115031827</v>
      </c>
      <c r="AF19" s="90">
        <f>-'06 Debt &amp; WC'!AF$24-'06 Debt &amp; WC'!AF$62</f>
        <v>-4859660.511128284</v>
      </c>
      <c r="AG19" s="90">
        <f>-'06 Debt &amp; WC'!AG$24-'06 Debt &amp; WC'!AG$62</f>
        <v>-4908854.1218097173</v>
      </c>
      <c r="AH19" s="90">
        <f>-'06 Debt &amp; WC'!AH$24-'06 Debt &amp; WC'!AH$62</f>
        <v>-4895385.0974284392</v>
      </c>
      <c r="AI19" s="90">
        <f>-'06 Debt &amp; WC'!AI$24-'06 Debt &amp; WC'!AI$62</f>
        <v>-4898920.3459735122</v>
      </c>
      <c r="AJ19" s="90">
        <f>-'06 Debt &amp; WC'!AJ$24-'06 Debt &amp; WC'!AJ$62</f>
        <v>-4869938.1927895518</v>
      </c>
      <c r="AK19" s="90">
        <f>-'06 Debt &amp; WC'!AK$24-'06 Debt &amp; WC'!AK$62</f>
        <v>-4846584.1811130345</v>
      </c>
      <c r="AL19" s="90">
        <f>-'06 Debt &amp; WC'!AL$24-'06 Debt &amp; WC'!AL$62</f>
        <v>-4786645.136182446</v>
      </c>
      <c r="AM19" s="90">
        <f>-'06 Debt &amp; WC'!AM$24-'06 Debt &amp; WC'!AM$62</f>
        <v>-4723134.1712759221</v>
      </c>
      <c r="AN19" s="90">
        <f>-'06 Debt &amp; WC'!AN$24-'06 Debt &amp; WC'!AN$62</f>
        <v>-4659114.493757382</v>
      </c>
      <c r="AO19" s="90">
        <f>-'06 Debt &amp; WC'!AO$24-'06 Debt &amp; WC'!AO$62</f>
        <v>-4552104.4794731373</v>
      </c>
      <c r="AP19" s="90">
        <f>-'06 Debt &amp; WC'!AP$24-'06 Debt &amp; WC'!AP$62</f>
        <v>-4442852.3995157359</v>
      </c>
      <c r="AQ19" s="90">
        <f>-'06 Debt &amp; WC'!AQ$24-'06 Debt &amp; WC'!AQ$62</f>
        <v>-4302615.4559690226</v>
      </c>
      <c r="AR19" s="90">
        <f>-'06 Debt &amp; WC'!AR$24-'06 Debt &amp; WC'!AR$62</f>
        <v>-4185027.4917956977</v>
      </c>
      <c r="AS19" s="90">
        <f>-'06 Debt &amp; WC'!AS$24-'06 Debt &amp; WC'!AS$62</f>
        <v>-4104753.4357318184</v>
      </c>
      <c r="AT19" s="90">
        <f>-'06 Debt &amp; WC'!AT$24-'06 Debt &amp; WC'!AT$62</f>
        <v>-4046500.9000035482</v>
      </c>
      <c r="AU19" s="90">
        <f>-'06 Debt &amp; WC'!AU$24-'06 Debt &amp; WC'!AU$62</f>
        <v>-3994622.6833368358</v>
      </c>
      <c r="AV19" s="90">
        <f>-'06 Debt &amp; WC'!AV$24-'06 Debt &amp; WC'!AV$62</f>
        <v>-3942744.4666701234</v>
      </c>
      <c r="AW19" s="90">
        <f>-'06 Debt &amp; WC'!AW$24-'06 Debt &amp; WC'!AW$62</f>
        <v>-3890866.250003411</v>
      </c>
      <c r="AX19" s="90">
        <f>-'06 Debt &amp; WC'!AX$24-'06 Debt &amp; WC'!AX$62</f>
        <v>-3838988.0333366985</v>
      </c>
      <c r="AY19" s="90">
        <f>-'06 Debt &amp; WC'!AY$24-'06 Debt &amp; WC'!AY$62</f>
        <v>-3787109.8166699861</v>
      </c>
      <c r="AZ19" s="90">
        <f ca="1">-'06 Debt &amp; WC'!AZ$24-'06 Debt &amp; WC'!AZ$62</f>
        <v>-3735231.6000032737</v>
      </c>
      <c r="BA19" s="90">
        <f ca="1">-'06 Debt &amp; WC'!BA$24-'06 Debt &amp; WC'!BA$62</f>
        <v>-3683353.3833365613</v>
      </c>
      <c r="BB19" s="90">
        <f ca="1">-'06 Debt &amp; WC'!BB$24-'06 Debt &amp; WC'!BB$62</f>
        <v>-3631475.1666698493</v>
      </c>
      <c r="BC19" s="90">
        <f ca="1">-'06 Debt &amp; WC'!BC$24-'06 Debt &amp; WC'!BC$62</f>
        <v>-3579596.9500031364</v>
      </c>
      <c r="BD19" s="90">
        <f ca="1">-'06 Debt &amp; WC'!BD$24-'06 Debt &amp; WC'!BD$62</f>
        <v>-3527718.7333364245</v>
      </c>
      <c r="BE19" s="90">
        <f ca="1">-'06 Debt &amp; WC'!BE$24-'06 Debt &amp; WC'!BE$62</f>
        <v>-3475840.5166697116</v>
      </c>
      <c r="BF19" s="90">
        <f ca="1">-'06 Debt &amp; WC'!BF$24-'06 Debt &amp; WC'!BF$62</f>
        <v>-3423962.3000029996</v>
      </c>
      <c r="BG19" s="90">
        <f ca="1">-'06 Debt &amp; WC'!BG$24-'06 Debt &amp; WC'!BG$62</f>
        <v>-3372084.0833362876</v>
      </c>
      <c r="BH19" s="90">
        <f ca="1">-'06 Debt &amp; WC'!BH$24-'06 Debt &amp; WC'!BH$62</f>
        <v>-3320205.8666695748</v>
      </c>
      <c r="BI19" s="90">
        <f ca="1">-'06 Debt &amp; WC'!BI$24-'06 Debt &amp; WC'!BI$62</f>
        <v>-39219931.800034352</v>
      </c>
      <c r="BJ19" s="90">
        <f ca="1">-'06 Debt &amp; WC'!BJ$24-'06 Debt &amp; WC'!BJ$62</f>
        <v>-31749468.6000278</v>
      </c>
      <c r="BK19" s="90">
        <f ca="1">-'06 Debt &amp; WC'!BK$24-'06 Debt &amp; WC'!BK$62</f>
        <v>-24279005.400021244</v>
      </c>
      <c r="BL19" s="90">
        <f ca="1">-'06 Debt &amp; WC'!BL$24-'06 Debt &amp; WC'!BL$62</f>
        <v>-16808542.200014696</v>
      </c>
      <c r="BM19" s="90">
        <f ca="1">-'06 Debt &amp; WC'!BM$24-'06 Debt &amp; WC'!BM$62</f>
        <v>-9338079.0000081416</v>
      </c>
      <c r="BN19" s="90">
        <f ca="1">-'06 Debt &amp; WC'!BN$24-'06 Debt &amp; WC'!BN$62</f>
        <v>-1867615.8000015889</v>
      </c>
      <c r="BO19" s="90">
        <f ca="1">-'06 Debt &amp; WC'!BO$24-'06 Debt &amp; WC'!BO$62</f>
        <v>-1867615.8000015889</v>
      </c>
    </row>
    <row r="20" spans="1:67">
      <c r="A20" s="11"/>
      <c r="B20" s="22" t="s">
        <v>477</v>
      </c>
      <c r="C20" s="11"/>
      <c r="D20" s="33"/>
      <c r="E20" s="33"/>
      <c r="F20" s="33"/>
      <c r="G20" s="89">
        <f>G18+G19</f>
        <v>-354800</v>
      </c>
      <c r="H20" s="89">
        <f t="shared" ref="H20:BI20" si="17">H18+H19</f>
        <v>-354800</v>
      </c>
      <c r="I20" s="89">
        <f t="shared" si="17"/>
        <v>-354800</v>
      </c>
      <c r="J20" s="89">
        <f t="shared" si="17"/>
        <v>-354800</v>
      </c>
      <c r="K20" s="89">
        <f t="shared" si="17"/>
        <v>-354800</v>
      </c>
      <c r="L20" s="89">
        <f t="shared" si="17"/>
        <v>-354800</v>
      </c>
      <c r="M20" s="89">
        <f t="shared" si="17"/>
        <v>-354800</v>
      </c>
      <c r="N20" s="89">
        <f t="shared" si="17"/>
        <v>-354800</v>
      </c>
      <c r="O20" s="89">
        <f t="shared" si="17"/>
        <v>-354800</v>
      </c>
      <c r="P20" s="89">
        <f t="shared" si="17"/>
        <v>-448550</v>
      </c>
      <c r="Q20" s="89">
        <f t="shared" si="17"/>
        <v>-448550</v>
      </c>
      <c r="R20" s="89">
        <f t="shared" si="17"/>
        <v>-704383.33333333337</v>
      </c>
      <c r="S20" s="89">
        <f t="shared" si="17"/>
        <v>-601246</v>
      </c>
      <c r="T20" s="89">
        <f t="shared" si="17"/>
        <v>-1184579.3333333333</v>
      </c>
      <c r="U20" s="89">
        <f t="shared" si="17"/>
        <v>-1184579.3333333333</v>
      </c>
      <c r="V20" s="89">
        <f t="shared" si="17"/>
        <v>-1290204.3333333335</v>
      </c>
      <c r="W20" s="89">
        <f t="shared" si="17"/>
        <v>-1290204.3333333335</v>
      </c>
      <c r="X20" s="89">
        <f t="shared" si="17"/>
        <v>-1279787.6666666667</v>
      </c>
      <c r="Y20" s="89">
        <f t="shared" si="17"/>
        <v>-1279787.6666666667</v>
      </c>
      <c r="Z20" s="89">
        <f t="shared" si="17"/>
        <v>-1355412.6666666667</v>
      </c>
      <c r="AA20" s="89">
        <f t="shared" si="17"/>
        <v>-1355412.6666666667</v>
      </c>
      <c r="AB20" s="89">
        <f t="shared" si="17"/>
        <v>-33183279.04799848</v>
      </c>
      <c r="AC20" s="89">
        <f t="shared" si="17"/>
        <v>-14224107.739055265</v>
      </c>
      <c r="AD20" s="89">
        <f t="shared" si="17"/>
        <v>-11883461.101893414</v>
      </c>
      <c r="AE20" s="89">
        <f t="shared" si="17"/>
        <v>-9471181.0958542358</v>
      </c>
      <c r="AF20" s="89">
        <f t="shared" si="17"/>
        <v>-6401080.9191445261</v>
      </c>
      <c r="AG20" s="89">
        <f t="shared" si="17"/>
        <v>-4009295.2534911539</v>
      </c>
      <c r="AH20" s="89">
        <f t="shared" si="17"/>
        <v>-1520263.6194417328</v>
      </c>
      <c r="AI20" s="89">
        <f t="shared" si="17"/>
        <v>917180.40834800806</v>
      </c>
      <c r="AJ20" s="89">
        <f t="shared" si="17"/>
        <v>3387141.8378667766</v>
      </c>
      <c r="AK20" s="89">
        <f t="shared" si="17"/>
        <v>5851475.1258781161</v>
      </c>
      <c r="AL20" s="89">
        <f t="shared" si="17"/>
        <v>8352393.4471434951</v>
      </c>
      <c r="AM20" s="89">
        <f t="shared" si="17"/>
        <v>10856883.688384838</v>
      </c>
      <c r="AN20" s="89">
        <f t="shared" si="17"/>
        <v>13361882.6422382</v>
      </c>
      <c r="AO20" s="89">
        <f t="shared" si="17"/>
        <v>13453672.238119666</v>
      </c>
      <c r="AP20" s="89">
        <f t="shared" si="17"/>
        <v>13618537.233007617</v>
      </c>
      <c r="AQ20" s="89">
        <f t="shared" si="17"/>
        <v>14304232.964556919</v>
      </c>
      <c r="AR20" s="89">
        <f t="shared" si="17"/>
        <v>14406554.287046215</v>
      </c>
      <c r="AS20" s="89">
        <f t="shared" si="17"/>
        <v>14471561.701426068</v>
      </c>
      <c r="AT20" s="89">
        <f t="shared" si="17"/>
        <v>14514547.595470317</v>
      </c>
      <c r="AU20" s="89">
        <f t="shared" si="17"/>
        <v>14551159.170453001</v>
      </c>
      <c r="AV20" s="89">
        <f t="shared" si="17"/>
        <v>14587770.745435679</v>
      </c>
      <c r="AW20" s="89">
        <f t="shared" si="17"/>
        <v>14624382.320418363</v>
      </c>
      <c r="AX20" s="89">
        <f t="shared" si="17"/>
        <v>14660993.895401053</v>
      </c>
      <c r="AY20" s="89">
        <f t="shared" si="17"/>
        <v>14697605.470383734</v>
      </c>
      <c r="AZ20" s="89">
        <f t="shared" ca="1" si="17"/>
        <v>14734217.045366423</v>
      </c>
      <c r="BA20" s="89">
        <f t="shared" ca="1" si="17"/>
        <v>14770828.620349107</v>
      </c>
      <c r="BB20" s="89">
        <f t="shared" ca="1" si="17"/>
        <v>14807440.195331786</v>
      </c>
      <c r="BC20" s="89">
        <f t="shared" ca="1" si="17"/>
        <v>15411437.590125959</v>
      </c>
      <c r="BD20" s="89">
        <f t="shared" ca="1" si="17"/>
        <v>15448002.479594575</v>
      </c>
      <c r="BE20" s="89">
        <f t="shared" ca="1" si="17"/>
        <v>15484567.369063197</v>
      </c>
      <c r="BF20" s="89">
        <f t="shared" ca="1" si="17"/>
        <v>15521132.258531824</v>
      </c>
      <c r="BG20" s="89">
        <f t="shared" ca="1" si="17"/>
        <v>15557697.14800044</v>
      </c>
      <c r="BH20" s="89">
        <f t="shared" ca="1" si="17"/>
        <v>15594262.037469069</v>
      </c>
      <c r="BI20" s="89">
        <f t="shared" ca="1" si="17"/>
        <v>192057939.57794985</v>
      </c>
      <c r="BJ20" s="89">
        <f t="shared" ref="BJ20" ca="1" si="18">BJ18+BJ19</f>
        <v>204278758.68880963</v>
      </c>
      <c r="BK20" s="89">
        <f t="shared" ref="BK20" ca="1" si="19">BK18+BK19</f>
        <v>228868306.35362518</v>
      </c>
      <c r="BL20" s="89">
        <f t="shared" ref="BL20" ca="1" si="20">BL18+BL19</f>
        <v>245324472.67902416</v>
      </c>
      <c r="BM20" s="89">
        <f t="shared" ref="BM20" ca="1" si="21">BM18+BM19</f>
        <v>257744914.91242033</v>
      </c>
      <c r="BN20" s="89">
        <f t="shared" ref="BN20" ca="1" si="22">BN18+BN19</f>
        <v>269825279.2935366</v>
      </c>
      <c r="BO20" s="89">
        <f t="shared" ref="BO20" ca="1" si="23">BO18+BO19</f>
        <v>269207972.75538403</v>
      </c>
    </row>
    <row r="21" spans="1:67">
      <c r="A21" s="11"/>
      <c r="B21" s="11" t="s">
        <v>2</v>
      </c>
      <c r="C21" s="11"/>
      <c r="D21" s="33"/>
      <c r="E21" s="33"/>
      <c r="F21" s="33"/>
      <c r="G21" s="90">
        <f>-G33</f>
        <v>0</v>
      </c>
      <c r="H21" s="90">
        <f t="shared" ref="H21:BI21" si="24">-H33</f>
        <v>0</v>
      </c>
      <c r="I21" s="90">
        <f t="shared" si="24"/>
        <v>0</v>
      </c>
      <c r="J21" s="90">
        <f t="shared" si="24"/>
        <v>0</v>
      </c>
      <c r="K21" s="90">
        <f t="shared" si="24"/>
        <v>0</v>
      </c>
      <c r="L21" s="90">
        <f t="shared" si="24"/>
        <v>0</v>
      </c>
      <c r="M21" s="90">
        <f t="shared" si="24"/>
        <v>0</v>
      </c>
      <c r="N21" s="90">
        <f t="shared" si="24"/>
        <v>0</v>
      </c>
      <c r="O21" s="90">
        <f t="shared" si="24"/>
        <v>0</v>
      </c>
      <c r="P21" s="90">
        <f t="shared" si="24"/>
        <v>0</v>
      </c>
      <c r="Q21" s="90">
        <f t="shared" si="24"/>
        <v>0</v>
      </c>
      <c r="R21" s="90">
        <f t="shared" si="24"/>
        <v>0</v>
      </c>
      <c r="S21" s="90">
        <f t="shared" si="24"/>
        <v>0</v>
      </c>
      <c r="T21" s="90">
        <f t="shared" si="24"/>
        <v>0</v>
      </c>
      <c r="U21" s="90">
        <f t="shared" si="24"/>
        <v>0</v>
      </c>
      <c r="V21" s="90">
        <f t="shared" si="24"/>
        <v>0</v>
      </c>
      <c r="W21" s="90">
        <f t="shared" si="24"/>
        <v>0</v>
      </c>
      <c r="X21" s="90">
        <f t="shared" si="24"/>
        <v>0</v>
      </c>
      <c r="Y21" s="90">
        <f t="shared" si="24"/>
        <v>0</v>
      </c>
      <c r="Z21" s="90">
        <f t="shared" si="24"/>
        <v>0</v>
      </c>
      <c r="AA21" s="90">
        <f t="shared" si="24"/>
        <v>0</v>
      </c>
      <c r="AB21" s="90">
        <f t="shared" si="24"/>
        <v>0</v>
      </c>
      <c r="AC21" s="90">
        <f t="shared" si="24"/>
        <v>0</v>
      </c>
      <c r="AD21" s="90">
        <f t="shared" si="24"/>
        <v>0</v>
      </c>
      <c r="AE21" s="90">
        <f t="shared" si="24"/>
        <v>0</v>
      </c>
      <c r="AF21" s="90">
        <f t="shared" si="24"/>
        <v>0</v>
      </c>
      <c r="AG21" s="90">
        <f t="shared" si="24"/>
        <v>0</v>
      </c>
      <c r="AH21" s="90">
        <f t="shared" si="24"/>
        <v>0</v>
      </c>
      <c r="AI21" s="90">
        <f t="shared" si="24"/>
        <v>0</v>
      </c>
      <c r="AJ21" s="90">
        <f t="shared" si="24"/>
        <v>0</v>
      </c>
      <c r="AK21" s="90">
        <f t="shared" si="24"/>
        <v>0</v>
      </c>
      <c r="AL21" s="90">
        <f t="shared" si="24"/>
        <v>0</v>
      </c>
      <c r="AM21" s="90">
        <f t="shared" si="24"/>
        <v>0</v>
      </c>
      <c r="AN21" s="90">
        <f t="shared" si="24"/>
        <v>0</v>
      </c>
      <c r="AO21" s="90">
        <f t="shared" si="24"/>
        <v>0</v>
      </c>
      <c r="AP21" s="90">
        <f t="shared" si="24"/>
        <v>0</v>
      </c>
      <c r="AQ21" s="90">
        <f t="shared" si="24"/>
        <v>0</v>
      </c>
      <c r="AR21" s="90">
        <f t="shared" si="24"/>
        <v>0</v>
      </c>
      <c r="AS21" s="90">
        <f t="shared" si="24"/>
        <v>0</v>
      </c>
      <c r="AT21" s="90">
        <f t="shared" si="24"/>
        <v>0</v>
      </c>
      <c r="AU21" s="90">
        <f t="shared" si="24"/>
        <v>0</v>
      </c>
      <c r="AV21" s="90">
        <f t="shared" si="24"/>
        <v>0</v>
      </c>
      <c r="AW21" s="90">
        <f t="shared" si="24"/>
        <v>0</v>
      </c>
      <c r="AX21" s="90">
        <f t="shared" si="24"/>
        <v>0</v>
      </c>
      <c r="AY21" s="90">
        <f t="shared" si="24"/>
        <v>0</v>
      </c>
      <c r="AZ21" s="90">
        <f t="shared" si="24"/>
        <v>0</v>
      </c>
      <c r="BA21" s="90">
        <f t="shared" si="24"/>
        <v>0</v>
      </c>
      <c r="BB21" s="90">
        <f t="shared" si="24"/>
        <v>0</v>
      </c>
      <c r="BC21" s="90">
        <f t="shared" si="24"/>
        <v>0</v>
      </c>
      <c r="BD21" s="90">
        <f t="shared" si="24"/>
        <v>0</v>
      </c>
      <c r="BE21" s="90">
        <f t="shared" si="24"/>
        <v>0</v>
      </c>
      <c r="BF21" s="90">
        <f t="shared" si="24"/>
        <v>0</v>
      </c>
      <c r="BG21" s="90">
        <f t="shared" si="24"/>
        <v>0</v>
      </c>
      <c r="BH21" s="90">
        <f t="shared" si="24"/>
        <v>0</v>
      </c>
      <c r="BI21" s="90">
        <f t="shared" si="24"/>
        <v>0</v>
      </c>
      <c r="BJ21" s="90">
        <f t="shared" ref="BJ21:BO21" si="25">-BJ33</f>
        <v>0</v>
      </c>
      <c r="BK21" s="90">
        <f t="shared" si="25"/>
        <v>0</v>
      </c>
      <c r="BL21" s="90">
        <f t="shared" si="25"/>
        <v>0</v>
      </c>
      <c r="BM21" s="90">
        <f t="shared" si="25"/>
        <v>0</v>
      </c>
      <c r="BN21" s="90">
        <f t="shared" ca="1" si="25"/>
        <v>-34703342.63666489</v>
      </c>
      <c r="BO21" s="90">
        <f t="shared" ca="1" si="25"/>
        <v>-53841594.551076807</v>
      </c>
    </row>
    <row r="22" spans="1:67">
      <c r="A22" s="11"/>
      <c r="B22" s="22" t="s">
        <v>23</v>
      </c>
      <c r="C22" s="11"/>
      <c r="D22" s="33"/>
      <c r="E22" s="33"/>
      <c r="F22" s="33"/>
      <c r="G22" s="89">
        <f>G20+G21</f>
        <v>-354800</v>
      </c>
      <c r="H22" s="89">
        <f t="shared" ref="H22:BI22" si="26">H20+H21</f>
        <v>-354800</v>
      </c>
      <c r="I22" s="89">
        <f t="shared" si="26"/>
        <v>-354800</v>
      </c>
      <c r="J22" s="89">
        <f t="shared" si="26"/>
        <v>-354800</v>
      </c>
      <c r="K22" s="89">
        <f t="shared" si="26"/>
        <v>-354800</v>
      </c>
      <c r="L22" s="89">
        <f t="shared" si="26"/>
        <v>-354800</v>
      </c>
      <c r="M22" s="89">
        <f t="shared" si="26"/>
        <v>-354800</v>
      </c>
      <c r="N22" s="89">
        <f t="shared" si="26"/>
        <v>-354800</v>
      </c>
      <c r="O22" s="89">
        <f t="shared" si="26"/>
        <v>-354800</v>
      </c>
      <c r="P22" s="89">
        <f t="shared" si="26"/>
        <v>-448550</v>
      </c>
      <c r="Q22" s="89">
        <f t="shared" si="26"/>
        <v>-448550</v>
      </c>
      <c r="R22" s="89">
        <f t="shared" si="26"/>
        <v>-704383.33333333337</v>
      </c>
      <c r="S22" s="89">
        <f t="shared" si="26"/>
        <v>-601246</v>
      </c>
      <c r="T22" s="89">
        <f t="shared" si="26"/>
        <v>-1184579.3333333333</v>
      </c>
      <c r="U22" s="89">
        <f t="shared" si="26"/>
        <v>-1184579.3333333333</v>
      </c>
      <c r="V22" s="89">
        <f t="shared" si="26"/>
        <v>-1290204.3333333335</v>
      </c>
      <c r="W22" s="89">
        <f t="shared" si="26"/>
        <v>-1290204.3333333335</v>
      </c>
      <c r="X22" s="89">
        <f t="shared" si="26"/>
        <v>-1279787.6666666667</v>
      </c>
      <c r="Y22" s="89">
        <f t="shared" si="26"/>
        <v>-1279787.6666666667</v>
      </c>
      <c r="Z22" s="89">
        <f t="shared" si="26"/>
        <v>-1355412.6666666667</v>
      </c>
      <c r="AA22" s="89">
        <f t="shared" si="26"/>
        <v>-1355412.6666666667</v>
      </c>
      <c r="AB22" s="89">
        <f t="shared" si="26"/>
        <v>-33183279.04799848</v>
      </c>
      <c r="AC22" s="89">
        <f t="shared" si="26"/>
        <v>-14224107.739055265</v>
      </c>
      <c r="AD22" s="89">
        <f t="shared" si="26"/>
        <v>-11883461.101893414</v>
      </c>
      <c r="AE22" s="89">
        <f t="shared" si="26"/>
        <v>-9471181.0958542358</v>
      </c>
      <c r="AF22" s="89">
        <f t="shared" si="26"/>
        <v>-6401080.9191445261</v>
      </c>
      <c r="AG22" s="89">
        <f t="shared" si="26"/>
        <v>-4009295.2534911539</v>
      </c>
      <c r="AH22" s="89">
        <f t="shared" si="26"/>
        <v>-1520263.6194417328</v>
      </c>
      <c r="AI22" s="89">
        <f t="shared" si="26"/>
        <v>917180.40834800806</v>
      </c>
      <c r="AJ22" s="89">
        <f t="shared" si="26"/>
        <v>3387141.8378667766</v>
      </c>
      <c r="AK22" s="89">
        <f t="shared" si="26"/>
        <v>5851475.1258781161</v>
      </c>
      <c r="AL22" s="89">
        <f t="shared" si="26"/>
        <v>8352393.4471434951</v>
      </c>
      <c r="AM22" s="89">
        <f t="shared" si="26"/>
        <v>10856883.688384838</v>
      </c>
      <c r="AN22" s="89">
        <f t="shared" si="26"/>
        <v>13361882.6422382</v>
      </c>
      <c r="AO22" s="89">
        <f t="shared" si="26"/>
        <v>13453672.238119666</v>
      </c>
      <c r="AP22" s="89">
        <f t="shared" si="26"/>
        <v>13618537.233007617</v>
      </c>
      <c r="AQ22" s="89">
        <f t="shared" si="26"/>
        <v>14304232.964556919</v>
      </c>
      <c r="AR22" s="89">
        <f t="shared" si="26"/>
        <v>14406554.287046215</v>
      </c>
      <c r="AS22" s="89">
        <f t="shared" si="26"/>
        <v>14471561.701426068</v>
      </c>
      <c r="AT22" s="89">
        <f t="shared" si="26"/>
        <v>14514547.595470317</v>
      </c>
      <c r="AU22" s="89">
        <f t="shared" si="26"/>
        <v>14551159.170453001</v>
      </c>
      <c r="AV22" s="89">
        <f t="shared" si="26"/>
        <v>14587770.745435679</v>
      </c>
      <c r="AW22" s="89">
        <f t="shared" si="26"/>
        <v>14624382.320418363</v>
      </c>
      <c r="AX22" s="89">
        <f t="shared" si="26"/>
        <v>14660993.895401053</v>
      </c>
      <c r="AY22" s="89">
        <f t="shared" si="26"/>
        <v>14697605.470383734</v>
      </c>
      <c r="AZ22" s="89">
        <f t="shared" ca="1" si="26"/>
        <v>14734217.045366423</v>
      </c>
      <c r="BA22" s="89">
        <f t="shared" ca="1" si="26"/>
        <v>14770828.620349107</v>
      </c>
      <c r="BB22" s="89">
        <f t="shared" ca="1" si="26"/>
        <v>14807440.195331786</v>
      </c>
      <c r="BC22" s="89">
        <f t="shared" ca="1" si="26"/>
        <v>15411437.590125959</v>
      </c>
      <c r="BD22" s="89">
        <f t="shared" ca="1" si="26"/>
        <v>15448002.479594575</v>
      </c>
      <c r="BE22" s="89">
        <f t="shared" ca="1" si="26"/>
        <v>15484567.369063197</v>
      </c>
      <c r="BF22" s="89">
        <f t="shared" ca="1" si="26"/>
        <v>15521132.258531824</v>
      </c>
      <c r="BG22" s="89">
        <f t="shared" ca="1" si="26"/>
        <v>15557697.14800044</v>
      </c>
      <c r="BH22" s="89">
        <f t="shared" ca="1" si="26"/>
        <v>15594262.037469069</v>
      </c>
      <c r="BI22" s="89">
        <f t="shared" ca="1" si="26"/>
        <v>192057939.57794985</v>
      </c>
      <c r="BJ22" s="89">
        <f t="shared" ref="BJ22" ca="1" si="27">BJ20+BJ21</f>
        <v>204278758.68880963</v>
      </c>
      <c r="BK22" s="89">
        <f t="shared" ref="BK22" ca="1" si="28">BK20+BK21</f>
        <v>228868306.35362518</v>
      </c>
      <c r="BL22" s="89">
        <f t="shared" ref="BL22" ca="1" si="29">BL20+BL21</f>
        <v>245324472.67902416</v>
      </c>
      <c r="BM22" s="89">
        <f t="shared" ref="BM22" ca="1" si="30">BM20+BM21</f>
        <v>257744914.91242033</v>
      </c>
      <c r="BN22" s="89">
        <f t="shared" ref="BN22" ca="1" si="31">BN20+BN21</f>
        <v>235121936.65687171</v>
      </c>
      <c r="BO22" s="89">
        <f t="shared" ref="BO22" ca="1" si="32">BO20+BO21</f>
        <v>215366378.20430723</v>
      </c>
    </row>
    <row r="23" spans="1:67">
      <c r="A23" s="11"/>
      <c r="B23" s="11"/>
      <c r="C23" s="11" t="s">
        <v>478</v>
      </c>
      <c r="D23" s="33"/>
      <c r="E23" s="33"/>
      <c r="F23" s="33"/>
      <c r="G23" s="90">
        <f>'03 CAPEX &amp; Depreciation'!G$167</f>
        <v>0</v>
      </c>
      <c r="H23" s="90">
        <f>'03 CAPEX &amp; Depreciation'!H$167</f>
        <v>0</v>
      </c>
      <c r="I23" s="90">
        <f>'03 CAPEX &amp; Depreciation'!I$167</f>
        <v>0</v>
      </c>
      <c r="J23" s="90">
        <f>'03 CAPEX &amp; Depreciation'!J$167</f>
        <v>0</v>
      </c>
      <c r="K23" s="90">
        <f>'03 CAPEX &amp; Depreciation'!K$167</f>
        <v>0</v>
      </c>
      <c r="L23" s="90">
        <f>'03 CAPEX &amp; Depreciation'!L$167</f>
        <v>0</v>
      </c>
      <c r="M23" s="90">
        <f>'03 CAPEX &amp; Depreciation'!M$167</f>
        <v>0</v>
      </c>
      <c r="N23" s="90">
        <f>'03 CAPEX &amp; Depreciation'!N$167</f>
        <v>0</v>
      </c>
      <c r="O23" s="90">
        <f>'03 CAPEX &amp; Depreciation'!O$167</f>
        <v>0</v>
      </c>
      <c r="P23" s="90">
        <f>'03 CAPEX &amp; Depreciation'!P$167</f>
        <v>0</v>
      </c>
      <c r="Q23" s="90">
        <f>'03 CAPEX &amp; Depreciation'!Q$167</f>
        <v>0</v>
      </c>
      <c r="R23" s="90">
        <f>'03 CAPEX &amp; Depreciation'!R$167</f>
        <v>0</v>
      </c>
      <c r="S23" s="90">
        <f>'03 CAPEX &amp; Depreciation'!S$167</f>
        <v>0</v>
      </c>
      <c r="T23" s="90">
        <f>'03 CAPEX &amp; Depreciation'!T$167</f>
        <v>0</v>
      </c>
      <c r="U23" s="90">
        <f>'03 CAPEX &amp; Depreciation'!U$167</f>
        <v>0</v>
      </c>
      <c r="V23" s="90">
        <f>'03 CAPEX &amp; Depreciation'!V$167</f>
        <v>0</v>
      </c>
      <c r="W23" s="90">
        <f>'03 CAPEX &amp; Depreciation'!W$167</f>
        <v>0</v>
      </c>
      <c r="X23" s="90">
        <f>'03 CAPEX &amp; Depreciation'!X$167</f>
        <v>0</v>
      </c>
      <c r="Y23" s="90">
        <f>'03 CAPEX &amp; Depreciation'!Y$167</f>
        <v>0</v>
      </c>
      <c r="Z23" s="90">
        <f>'03 CAPEX &amp; Depreciation'!Z$167</f>
        <v>0</v>
      </c>
      <c r="AA23" s="90">
        <f>'03 CAPEX &amp; Depreciation'!AA$167</f>
        <v>0</v>
      </c>
      <c r="AB23" s="90">
        <f>'03 CAPEX &amp; Depreciation'!AB$167</f>
        <v>9564374.9999999981</v>
      </c>
      <c r="AC23" s="90">
        <f>'03 CAPEX &amp; Depreciation'!AC$167</f>
        <v>9574444.4444444422</v>
      </c>
      <c r="AD23" s="90">
        <f>'03 CAPEX &amp; Depreciation'!AD$167</f>
        <v>9584513.8888888881</v>
      </c>
      <c r="AE23" s="90">
        <f>'03 CAPEX &amp; Depreciation'!AE$167</f>
        <v>9594583.3333333321</v>
      </c>
      <c r="AF23" s="90">
        <f>'03 CAPEX &amp; Depreciation'!AF$167</f>
        <v>9604652.7777777761</v>
      </c>
      <c r="AG23" s="90">
        <f>'03 CAPEX &amp; Depreciation'!AG$167</f>
        <v>9614722.2222222202</v>
      </c>
      <c r="AH23" s="90">
        <f>'03 CAPEX &amp; Depreciation'!AH$167</f>
        <v>9624791.666666666</v>
      </c>
      <c r="AI23" s="90">
        <f>'03 CAPEX &amp; Depreciation'!AI$167</f>
        <v>9634861.1111111101</v>
      </c>
      <c r="AJ23" s="90">
        <f>'03 CAPEX &amp; Depreciation'!AJ$167</f>
        <v>9644930.5555555541</v>
      </c>
      <c r="AK23" s="90">
        <f>'03 CAPEX &amp; Depreciation'!AK$167</f>
        <v>9654999.9999999981</v>
      </c>
      <c r="AL23" s="90">
        <f>'03 CAPEX &amp; Depreciation'!AL$167</f>
        <v>9665069.4444444422</v>
      </c>
      <c r="AM23" s="90">
        <f>'03 CAPEX &amp; Depreciation'!AM$167</f>
        <v>9675138.8888888881</v>
      </c>
      <c r="AN23" s="90">
        <f>'03 CAPEX &amp; Depreciation'!AN$167</f>
        <v>9685208.3333333321</v>
      </c>
      <c r="AO23" s="90">
        <f>'03 CAPEX &amp; Depreciation'!AO$167</f>
        <v>9695277.7777777761</v>
      </c>
      <c r="AP23" s="90">
        <f>'03 CAPEX &amp; Depreciation'!AP$167</f>
        <v>9705347.2222222202</v>
      </c>
      <c r="AQ23" s="90">
        <f>'03 CAPEX &amp; Depreciation'!AQ$167</f>
        <v>9715416.666666666</v>
      </c>
      <c r="AR23" s="90">
        <f>'03 CAPEX &amp; Depreciation'!AR$167</f>
        <v>9725486.1111111101</v>
      </c>
      <c r="AS23" s="90">
        <f>'03 CAPEX &amp; Depreciation'!AS$167</f>
        <v>9735555.5555555541</v>
      </c>
      <c r="AT23" s="90">
        <f>'03 CAPEX &amp; Depreciation'!AT$167</f>
        <v>9745624.9999999981</v>
      </c>
      <c r="AU23" s="90">
        <f>'03 CAPEX &amp; Depreciation'!AU$167</f>
        <v>9755694.4444444422</v>
      </c>
      <c r="AV23" s="90">
        <f>'03 CAPEX &amp; Depreciation'!AV$167</f>
        <v>9765763.8888888881</v>
      </c>
      <c r="AW23" s="90">
        <f>'03 CAPEX &amp; Depreciation'!AW$167</f>
        <v>9775833.3333333321</v>
      </c>
      <c r="AX23" s="90">
        <f>'03 CAPEX &amp; Depreciation'!AX$167</f>
        <v>9785902.7777777761</v>
      </c>
      <c r="AY23" s="90">
        <f>'03 CAPEX &amp; Depreciation'!AY$167</f>
        <v>9795972.2222222202</v>
      </c>
      <c r="AZ23" s="90">
        <f>'03 CAPEX &amp; Depreciation'!AZ$167</f>
        <v>9806041.666666666</v>
      </c>
      <c r="BA23" s="90">
        <f>'03 CAPEX &amp; Depreciation'!BA$167</f>
        <v>9816111.1111111101</v>
      </c>
      <c r="BB23" s="90">
        <f>'03 CAPEX &amp; Depreciation'!BB$167</f>
        <v>9826180.5555555541</v>
      </c>
      <c r="BC23" s="90">
        <f>'03 CAPEX &amp; Depreciation'!BC$167</f>
        <v>9836249.9999999981</v>
      </c>
      <c r="BD23" s="90">
        <f>'03 CAPEX &amp; Depreciation'!BD$167</f>
        <v>9846319.4444444422</v>
      </c>
      <c r="BE23" s="90">
        <f>'03 CAPEX &amp; Depreciation'!BE$167</f>
        <v>9856388.8888888881</v>
      </c>
      <c r="BF23" s="90">
        <f>'03 CAPEX &amp; Depreciation'!BF$167</f>
        <v>9866458.3333333321</v>
      </c>
      <c r="BG23" s="90">
        <f>'03 CAPEX &amp; Depreciation'!BG$167</f>
        <v>9876527.7777777761</v>
      </c>
      <c r="BH23" s="90">
        <f>'03 CAPEX &amp; Depreciation'!BH$167</f>
        <v>9886597.2222222202</v>
      </c>
      <c r="BI23" s="90">
        <f>'03 CAPEX &amp; Depreciation'!BI$167</f>
        <v>120089166.66666666</v>
      </c>
      <c r="BJ23" s="90">
        <f>'03 CAPEX &amp; Depreciation'!BJ$167</f>
        <v>121539166.66666666</v>
      </c>
      <c r="BK23" s="90">
        <f>'03 CAPEX &amp; Depreciation'!BK$167</f>
        <v>110689166.66666666</v>
      </c>
      <c r="BL23" s="90">
        <f>'03 CAPEX &amp; Depreciation'!BL$167</f>
        <v>108039166.66666666</v>
      </c>
      <c r="BM23" s="90">
        <f>'03 CAPEX &amp; Depreciation'!BM$167</f>
        <v>109489166.66666666</v>
      </c>
      <c r="BN23" s="90">
        <f>'03 CAPEX &amp; Depreciation'!BN$167</f>
        <v>110939166.66666666</v>
      </c>
      <c r="BO23" s="90">
        <f>'03 CAPEX &amp; Depreciation'!BO$167</f>
        <v>112389166.66666666</v>
      </c>
    </row>
    <row r="24" spans="1:67">
      <c r="A24" s="11"/>
      <c r="B24" s="22" t="s">
        <v>9</v>
      </c>
      <c r="C24" s="11"/>
      <c r="D24" s="33"/>
      <c r="E24" s="33"/>
      <c r="F24" s="33"/>
      <c r="G24" s="89">
        <f>G18+G23</f>
        <v>-354800</v>
      </c>
      <c r="H24" s="89">
        <f t="shared" ref="H24:BI24" si="33">H18+H23</f>
        <v>-354800</v>
      </c>
      <c r="I24" s="89">
        <f t="shared" si="33"/>
        <v>-354800</v>
      </c>
      <c r="J24" s="89">
        <f t="shared" si="33"/>
        <v>-354800</v>
      </c>
      <c r="K24" s="89">
        <f t="shared" si="33"/>
        <v>-354800</v>
      </c>
      <c r="L24" s="89">
        <f t="shared" si="33"/>
        <v>-354800</v>
      </c>
      <c r="M24" s="89">
        <f t="shared" si="33"/>
        <v>-354800</v>
      </c>
      <c r="N24" s="89">
        <f t="shared" si="33"/>
        <v>-354800</v>
      </c>
      <c r="O24" s="89">
        <f t="shared" si="33"/>
        <v>-354800</v>
      </c>
      <c r="P24" s="89">
        <f t="shared" si="33"/>
        <v>-448550</v>
      </c>
      <c r="Q24" s="89">
        <f t="shared" si="33"/>
        <v>-448550</v>
      </c>
      <c r="R24" s="89">
        <f t="shared" si="33"/>
        <v>-704383.33333333337</v>
      </c>
      <c r="S24" s="89">
        <f t="shared" si="33"/>
        <v>-601246</v>
      </c>
      <c r="T24" s="89">
        <f t="shared" si="33"/>
        <v>-1184579.3333333333</v>
      </c>
      <c r="U24" s="89">
        <f t="shared" si="33"/>
        <v>-1184579.3333333333</v>
      </c>
      <c r="V24" s="89">
        <f t="shared" si="33"/>
        <v>-1290204.3333333335</v>
      </c>
      <c r="W24" s="89">
        <f t="shared" si="33"/>
        <v>-1290204.3333333335</v>
      </c>
      <c r="X24" s="89">
        <f t="shared" si="33"/>
        <v>-1279787.6666666667</v>
      </c>
      <c r="Y24" s="89">
        <f t="shared" si="33"/>
        <v>-1279787.6666666667</v>
      </c>
      <c r="Z24" s="89">
        <f t="shared" si="33"/>
        <v>-1355412.6666666667</v>
      </c>
      <c r="AA24" s="89">
        <f t="shared" si="33"/>
        <v>-1355412.6666666667</v>
      </c>
      <c r="AB24" s="89">
        <f t="shared" si="33"/>
        <v>-19261133.847994663</v>
      </c>
      <c r="AC24" s="89">
        <f t="shared" si="33"/>
        <v>-9218.4874435067177</v>
      </c>
      <c r="AD24" s="89">
        <f t="shared" si="33"/>
        <v>2463725.4692527279</v>
      </c>
      <c r="AE24" s="89">
        <f t="shared" si="33"/>
        <v>4937183.648982279</v>
      </c>
      <c r="AF24" s="89">
        <f t="shared" si="33"/>
        <v>8063232.369761534</v>
      </c>
      <c r="AG24" s="89">
        <f t="shared" si="33"/>
        <v>10514281.090540783</v>
      </c>
      <c r="AH24" s="89">
        <f t="shared" si="33"/>
        <v>12999913.144653372</v>
      </c>
      <c r="AI24" s="89">
        <f t="shared" si="33"/>
        <v>15450961.865432631</v>
      </c>
      <c r="AJ24" s="89">
        <f t="shared" si="33"/>
        <v>17902010.586211883</v>
      </c>
      <c r="AK24" s="89">
        <f t="shared" si="33"/>
        <v>20353059.306991149</v>
      </c>
      <c r="AL24" s="89">
        <f t="shared" si="33"/>
        <v>22804108.027770385</v>
      </c>
      <c r="AM24" s="89">
        <f t="shared" si="33"/>
        <v>25255156.748549648</v>
      </c>
      <c r="AN24" s="89">
        <f t="shared" si="33"/>
        <v>27706205.469328914</v>
      </c>
      <c r="AO24" s="89">
        <f t="shared" si="33"/>
        <v>27701054.495370578</v>
      </c>
      <c r="AP24" s="89">
        <f t="shared" si="33"/>
        <v>27766736.854745574</v>
      </c>
      <c r="AQ24" s="89">
        <f t="shared" si="33"/>
        <v>28322265.08719261</v>
      </c>
      <c r="AR24" s="89">
        <f t="shared" si="33"/>
        <v>28317067.889953025</v>
      </c>
      <c r="AS24" s="89">
        <f t="shared" si="33"/>
        <v>28311870.692713439</v>
      </c>
      <c r="AT24" s="89">
        <f t="shared" si="33"/>
        <v>28306673.495473862</v>
      </c>
      <c r="AU24" s="89">
        <f t="shared" si="33"/>
        <v>28301476.298234276</v>
      </c>
      <c r="AV24" s="89">
        <f t="shared" si="33"/>
        <v>28296279.100994691</v>
      </c>
      <c r="AW24" s="89">
        <f t="shared" si="33"/>
        <v>28291081.903755106</v>
      </c>
      <c r="AX24" s="89">
        <f t="shared" si="33"/>
        <v>28285884.706515528</v>
      </c>
      <c r="AY24" s="89">
        <f t="shared" si="33"/>
        <v>28280687.509275939</v>
      </c>
      <c r="AZ24" s="89">
        <f t="shared" si="33"/>
        <v>28275490.312036365</v>
      </c>
      <c r="BA24" s="89">
        <f t="shared" si="33"/>
        <v>28270293.11479678</v>
      </c>
      <c r="BB24" s="89">
        <f t="shared" si="33"/>
        <v>28265095.917557187</v>
      </c>
      <c r="BC24" s="89">
        <f t="shared" si="33"/>
        <v>28827284.540129095</v>
      </c>
      <c r="BD24" s="89">
        <f t="shared" si="33"/>
        <v>28822040.65737544</v>
      </c>
      <c r="BE24" s="89">
        <f t="shared" si="33"/>
        <v>28816796.774621796</v>
      </c>
      <c r="BF24" s="89">
        <f t="shared" si="33"/>
        <v>28811552.891868155</v>
      </c>
      <c r="BG24" s="89">
        <f t="shared" si="33"/>
        <v>28806309.009114504</v>
      </c>
      <c r="BH24" s="89">
        <f t="shared" si="33"/>
        <v>28801065.126360863</v>
      </c>
      <c r="BI24" s="89">
        <f t="shared" si="33"/>
        <v>351367038.04465085</v>
      </c>
      <c r="BJ24" s="89">
        <f t="shared" ref="BJ24" si="34">BJ18+BJ23</f>
        <v>357567393.95550406</v>
      </c>
      <c r="BK24" s="89">
        <f t="shared" ref="BK24" si="35">BK18+BK23</f>
        <v>363836478.42031312</v>
      </c>
      <c r="BL24" s="89">
        <f t="shared" ref="BL24" si="36">BL18+BL23</f>
        <v>370172181.5457055</v>
      </c>
      <c r="BM24" s="89">
        <f t="shared" ref="BM24" si="37">BM18+BM23</f>
        <v>376572160.57909513</v>
      </c>
      <c r="BN24" s="89">
        <f t="shared" ref="BN24" si="38">BN18+BN23</f>
        <v>382632061.76020479</v>
      </c>
      <c r="BO24" s="89">
        <f t="shared" ref="BO24" si="39">BO18+BO23</f>
        <v>383464755.22205222</v>
      </c>
    </row>
    <row r="25" spans="1:67">
      <c r="A25" s="11"/>
      <c r="B25" s="11"/>
      <c r="C25" s="11"/>
      <c r="D25" s="33"/>
      <c r="E25" s="33"/>
      <c r="F25" s="3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row>
    <row r="26" spans="1:67">
      <c r="A26" s="18" t="s">
        <v>133</v>
      </c>
      <c r="B26" s="18"/>
      <c r="C26" s="18"/>
      <c r="D26" s="39"/>
      <c r="E26" s="39"/>
      <c r="F26" s="39"/>
      <c r="G26" s="40"/>
      <c r="H26" s="40"/>
      <c r="I26" s="40"/>
      <c r="J26" s="40"/>
      <c r="K26" s="40"/>
      <c r="L26" s="40"/>
      <c r="M26" s="40"/>
      <c r="N26" s="40"/>
      <c r="O26" s="40"/>
      <c r="P26" s="40"/>
      <c r="Q26" s="40"/>
      <c r="R26" s="40"/>
      <c r="S26" s="40"/>
      <c r="T26" s="40"/>
      <c r="U26" s="40"/>
      <c r="V26" s="40"/>
      <c r="W26" s="40"/>
      <c r="X26" s="40"/>
      <c r="Y26" s="40"/>
      <c r="Z26" s="40"/>
      <c r="AA26" s="40"/>
      <c r="AB26" s="40"/>
      <c r="AC26" s="40"/>
      <c r="AD26" s="40"/>
      <c r="AE26" s="40"/>
      <c r="AF26" s="40"/>
      <c r="AG26" s="40"/>
      <c r="AH26" s="40"/>
      <c r="AI26" s="40"/>
      <c r="AJ26" s="40"/>
      <c r="AK26" s="40"/>
      <c r="AL26" s="40"/>
      <c r="AM26" s="40"/>
      <c r="AN26" s="40"/>
      <c r="AO26" s="40"/>
      <c r="AP26" s="40"/>
      <c r="AQ26" s="40"/>
      <c r="AR26" s="40"/>
      <c r="AS26" s="40"/>
      <c r="AT26" s="40"/>
      <c r="AU26" s="40"/>
      <c r="AV26" s="40"/>
      <c r="AW26" s="40"/>
      <c r="AX26" s="40"/>
      <c r="AY26" s="40"/>
      <c r="AZ26" s="40"/>
      <c r="BA26" s="40"/>
      <c r="BB26" s="40"/>
      <c r="BC26" s="40"/>
      <c r="BD26" s="40"/>
      <c r="BE26" s="40"/>
      <c r="BF26" s="40"/>
      <c r="BG26" s="40"/>
      <c r="BH26" s="40"/>
      <c r="BI26" s="40"/>
      <c r="BJ26" s="40"/>
      <c r="BK26" s="40"/>
      <c r="BL26" s="40"/>
      <c r="BM26" s="40"/>
      <c r="BN26" s="40"/>
      <c r="BO26" s="40"/>
    </row>
    <row r="27" spans="1:67">
      <c r="A27" s="11"/>
      <c r="B27" s="11"/>
      <c r="C27" s="11" t="s">
        <v>479</v>
      </c>
      <c r="D27" s="33"/>
      <c r="E27" s="33"/>
      <c r="F27" s="33"/>
      <c r="G27" s="106">
        <f>IF(AND('01 Major Assumptions'!G$17&gt;='01 Major Assumptions'!$D$153,'01 Major Assumptions'!G$17&lt;'01 Major Assumptions'!$D$153+'01 Major Assumptions'!$D$152),1,0)</f>
        <v>0</v>
      </c>
      <c r="H27" s="106">
        <f>IF(AND('01 Major Assumptions'!H$17&gt;='01 Major Assumptions'!$D$153,'01 Major Assumptions'!H$17&lt;'01 Major Assumptions'!$D$153+'01 Major Assumptions'!$D$152),1,0)</f>
        <v>0</v>
      </c>
      <c r="I27" s="106">
        <f>IF(AND('01 Major Assumptions'!I$17&gt;='01 Major Assumptions'!$D$153,'01 Major Assumptions'!I$17&lt;'01 Major Assumptions'!$D$153+'01 Major Assumptions'!$D$152),1,0)</f>
        <v>0</v>
      </c>
      <c r="J27" s="106">
        <f>IF(AND('01 Major Assumptions'!J$17&gt;='01 Major Assumptions'!$D$153,'01 Major Assumptions'!J$17&lt;'01 Major Assumptions'!$D$153+'01 Major Assumptions'!$D$152),1,0)</f>
        <v>0</v>
      </c>
      <c r="K27" s="106">
        <f>IF(AND('01 Major Assumptions'!K$17&gt;='01 Major Assumptions'!$D$153,'01 Major Assumptions'!K$17&lt;'01 Major Assumptions'!$D$153+'01 Major Assumptions'!$D$152),1,0)</f>
        <v>0</v>
      </c>
      <c r="L27" s="106">
        <f>IF(AND('01 Major Assumptions'!L$17&gt;='01 Major Assumptions'!$D$153,'01 Major Assumptions'!L$17&lt;'01 Major Assumptions'!$D$153+'01 Major Assumptions'!$D$152),1,0)</f>
        <v>0</v>
      </c>
      <c r="M27" s="106">
        <f>IF(AND('01 Major Assumptions'!M$17&gt;='01 Major Assumptions'!$D$153,'01 Major Assumptions'!M$17&lt;'01 Major Assumptions'!$D$153+'01 Major Assumptions'!$D$152),1,0)</f>
        <v>0</v>
      </c>
      <c r="N27" s="106">
        <f>IF(AND('01 Major Assumptions'!N$17&gt;='01 Major Assumptions'!$D$153,'01 Major Assumptions'!N$17&lt;'01 Major Assumptions'!$D$153+'01 Major Assumptions'!$D$152),1,0)</f>
        <v>0</v>
      </c>
      <c r="O27" s="106">
        <f>IF(AND('01 Major Assumptions'!O$17&gt;='01 Major Assumptions'!$D$153,'01 Major Assumptions'!O$17&lt;'01 Major Assumptions'!$D$153+'01 Major Assumptions'!$D$152),1,0)</f>
        <v>0</v>
      </c>
      <c r="P27" s="106">
        <f>IF(AND('01 Major Assumptions'!P$17&gt;='01 Major Assumptions'!$D$153,'01 Major Assumptions'!P$17&lt;'01 Major Assumptions'!$D$153+'01 Major Assumptions'!$D$152),1,0)</f>
        <v>0</v>
      </c>
      <c r="Q27" s="106">
        <f>IF(AND('01 Major Assumptions'!Q$17&gt;='01 Major Assumptions'!$D$153,'01 Major Assumptions'!Q$17&lt;'01 Major Assumptions'!$D$153+'01 Major Assumptions'!$D$152),1,0)</f>
        <v>0</v>
      </c>
      <c r="R27" s="106">
        <f>IF(AND('01 Major Assumptions'!R$17&gt;='01 Major Assumptions'!$D$153,'01 Major Assumptions'!R$17&lt;'01 Major Assumptions'!$D$153+'01 Major Assumptions'!$D$152),1,0)</f>
        <v>0</v>
      </c>
      <c r="S27" s="106">
        <f>IF(AND('01 Major Assumptions'!S$17&gt;='01 Major Assumptions'!$D$153,'01 Major Assumptions'!S$17&lt;'01 Major Assumptions'!$D$153+'01 Major Assumptions'!$D$152),1,0)</f>
        <v>0</v>
      </c>
      <c r="T27" s="106">
        <f>IF(AND('01 Major Assumptions'!T$17&gt;='01 Major Assumptions'!$D$153,'01 Major Assumptions'!T$17&lt;'01 Major Assumptions'!$D$153+'01 Major Assumptions'!$D$152),1,0)</f>
        <v>0</v>
      </c>
      <c r="U27" s="106">
        <f>IF(AND('01 Major Assumptions'!U$17&gt;='01 Major Assumptions'!$D$153,'01 Major Assumptions'!U$17&lt;'01 Major Assumptions'!$D$153+'01 Major Assumptions'!$D$152),1,0)</f>
        <v>0</v>
      </c>
      <c r="V27" s="106">
        <f>IF(AND('01 Major Assumptions'!V$17&gt;='01 Major Assumptions'!$D$153,'01 Major Assumptions'!V$17&lt;'01 Major Assumptions'!$D$153+'01 Major Assumptions'!$D$152),1,0)</f>
        <v>0</v>
      </c>
      <c r="W27" s="106">
        <f>IF(AND('01 Major Assumptions'!W$17&gt;='01 Major Assumptions'!$D$153,'01 Major Assumptions'!W$17&lt;'01 Major Assumptions'!$D$153+'01 Major Assumptions'!$D$152),1,0)</f>
        <v>0</v>
      </c>
      <c r="X27" s="106">
        <f>IF(AND('01 Major Assumptions'!X$17&gt;='01 Major Assumptions'!$D$153,'01 Major Assumptions'!X$17&lt;'01 Major Assumptions'!$D$153+'01 Major Assumptions'!$D$152),1,0)</f>
        <v>0</v>
      </c>
      <c r="Y27" s="106">
        <f>IF(AND('01 Major Assumptions'!Y$17&gt;='01 Major Assumptions'!$D$153,'01 Major Assumptions'!Y$17&lt;'01 Major Assumptions'!$D$153+'01 Major Assumptions'!$D$152),1,0)</f>
        <v>0</v>
      </c>
      <c r="Z27" s="106">
        <f>IF(AND('01 Major Assumptions'!Z$17&gt;='01 Major Assumptions'!$D$153,'01 Major Assumptions'!Z$17&lt;'01 Major Assumptions'!$D$153+'01 Major Assumptions'!$D$152),1,0)</f>
        <v>0</v>
      </c>
      <c r="AA27" s="106">
        <f>IF(AND('01 Major Assumptions'!AA$17&gt;='01 Major Assumptions'!$D$153,'01 Major Assumptions'!AA$17&lt;'01 Major Assumptions'!$D$153+'01 Major Assumptions'!$D$152),1,0)</f>
        <v>0</v>
      </c>
      <c r="AB27" s="106">
        <f>IF(AND('01 Major Assumptions'!AB$17&gt;='01 Major Assumptions'!$D$153,'01 Major Assumptions'!AB$17&lt;'01 Major Assumptions'!$D$153+'01 Major Assumptions'!$D$152),1,0)</f>
        <v>1</v>
      </c>
      <c r="AC27" s="106">
        <f>IF(AND('01 Major Assumptions'!AC$17&gt;='01 Major Assumptions'!$D$153,'01 Major Assumptions'!AC$17&lt;'01 Major Assumptions'!$D$153+'01 Major Assumptions'!$D$152),1,0)</f>
        <v>1</v>
      </c>
      <c r="AD27" s="106">
        <f>IF(AND('01 Major Assumptions'!AD$17&gt;='01 Major Assumptions'!$D$153,'01 Major Assumptions'!AD$17&lt;'01 Major Assumptions'!$D$153+'01 Major Assumptions'!$D$152),1,0)</f>
        <v>1</v>
      </c>
      <c r="AE27" s="106">
        <f>IF(AND('01 Major Assumptions'!AE$17&gt;='01 Major Assumptions'!$D$153,'01 Major Assumptions'!AE$17&lt;'01 Major Assumptions'!$D$153+'01 Major Assumptions'!$D$152),1,0)</f>
        <v>1</v>
      </c>
      <c r="AF27" s="106">
        <f>IF(AND('01 Major Assumptions'!AF$17&gt;='01 Major Assumptions'!$D$153,'01 Major Assumptions'!AF$17&lt;'01 Major Assumptions'!$D$153+'01 Major Assumptions'!$D$152),1,0)</f>
        <v>1</v>
      </c>
      <c r="AG27" s="106">
        <f>IF(AND('01 Major Assumptions'!AG$17&gt;='01 Major Assumptions'!$D$153,'01 Major Assumptions'!AG$17&lt;'01 Major Assumptions'!$D$153+'01 Major Assumptions'!$D$152),1,0)</f>
        <v>1</v>
      </c>
      <c r="AH27" s="106">
        <f>IF(AND('01 Major Assumptions'!AH$17&gt;='01 Major Assumptions'!$D$153,'01 Major Assumptions'!AH$17&lt;'01 Major Assumptions'!$D$153+'01 Major Assumptions'!$D$152),1,0)</f>
        <v>1</v>
      </c>
      <c r="AI27" s="106">
        <f>IF(AND('01 Major Assumptions'!AI$17&gt;='01 Major Assumptions'!$D$153,'01 Major Assumptions'!AI$17&lt;'01 Major Assumptions'!$D$153+'01 Major Assumptions'!$D$152),1,0)</f>
        <v>1</v>
      </c>
      <c r="AJ27" s="106">
        <f>IF(AND('01 Major Assumptions'!AJ$17&gt;='01 Major Assumptions'!$D$153,'01 Major Assumptions'!AJ$17&lt;'01 Major Assumptions'!$D$153+'01 Major Assumptions'!$D$152),1,0)</f>
        <v>1</v>
      </c>
      <c r="AK27" s="106">
        <f>IF(AND('01 Major Assumptions'!AK$17&gt;='01 Major Assumptions'!$D$153,'01 Major Assumptions'!AK$17&lt;'01 Major Assumptions'!$D$153+'01 Major Assumptions'!$D$152),1,0)</f>
        <v>1</v>
      </c>
      <c r="AL27" s="106">
        <f>IF(AND('01 Major Assumptions'!AL$17&gt;='01 Major Assumptions'!$D$153,'01 Major Assumptions'!AL$17&lt;'01 Major Assumptions'!$D$153+'01 Major Assumptions'!$D$152),1,0)</f>
        <v>1</v>
      </c>
      <c r="AM27" s="106">
        <f>IF(AND('01 Major Assumptions'!AM$17&gt;='01 Major Assumptions'!$D$153,'01 Major Assumptions'!AM$17&lt;'01 Major Assumptions'!$D$153+'01 Major Assumptions'!$D$152),1,0)</f>
        <v>1</v>
      </c>
      <c r="AN27" s="106">
        <f>IF(AND('01 Major Assumptions'!AN$17&gt;='01 Major Assumptions'!$D$153,'01 Major Assumptions'!AN$17&lt;'01 Major Assumptions'!$D$153+'01 Major Assumptions'!$D$152),1,0)</f>
        <v>1</v>
      </c>
      <c r="AO27" s="106">
        <f>IF(AND('01 Major Assumptions'!AO$17&gt;='01 Major Assumptions'!$D$153,'01 Major Assumptions'!AO$17&lt;'01 Major Assumptions'!$D$153+'01 Major Assumptions'!$D$152),1,0)</f>
        <v>1</v>
      </c>
      <c r="AP27" s="106">
        <f>IF(AND('01 Major Assumptions'!AP$17&gt;='01 Major Assumptions'!$D$153,'01 Major Assumptions'!AP$17&lt;'01 Major Assumptions'!$D$153+'01 Major Assumptions'!$D$152),1,0)</f>
        <v>1</v>
      </c>
      <c r="AQ27" s="106">
        <f>IF(AND('01 Major Assumptions'!AQ$17&gt;='01 Major Assumptions'!$D$153,'01 Major Assumptions'!AQ$17&lt;'01 Major Assumptions'!$D$153+'01 Major Assumptions'!$D$152),1,0)</f>
        <v>1</v>
      </c>
      <c r="AR27" s="106">
        <f>IF(AND('01 Major Assumptions'!AR$17&gt;='01 Major Assumptions'!$D$153,'01 Major Assumptions'!AR$17&lt;'01 Major Assumptions'!$D$153+'01 Major Assumptions'!$D$152),1,0)</f>
        <v>1</v>
      </c>
      <c r="AS27" s="106">
        <f>IF(AND('01 Major Assumptions'!AS$17&gt;='01 Major Assumptions'!$D$153,'01 Major Assumptions'!AS$17&lt;'01 Major Assumptions'!$D$153+'01 Major Assumptions'!$D$152),1,0)</f>
        <v>1</v>
      </c>
      <c r="AT27" s="106">
        <f>IF(AND('01 Major Assumptions'!AT$17&gt;='01 Major Assumptions'!$D$153,'01 Major Assumptions'!AT$17&lt;'01 Major Assumptions'!$D$153+'01 Major Assumptions'!$D$152),1,0)</f>
        <v>1</v>
      </c>
      <c r="AU27" s="106">
        <f>IF(AND('01 Major Assumptions'!AU$17&gt;='01 Major Assumptions'!$D$153,'01 Major Assumptions'!AU$17&lt;'01 Major Assumptions'!$D$153+'01 Major Assumptions'!$D$152),1,0)</f>
        <v>1</v>
      </c>
      <c r="AV27" s="106">
        <f>IF(AND('01 Major Assumptions'!AV$17&gt;='01 Major Assumptions'!$D$153,'01 Major Assumptions'!AV$17&lt;'01 Major Assumptions'!$D$153+'01 Major Assumptions'!$D$152),1,0)</f>
        <v>1</v>
      </c>
      <c r="AW27" s="106">
        <f>IF(AND('01 Major Assumptions'!AW$17&gt;='01 Major Assumptions'!$D$153,'01 Major Assumptions'!AW$17&lt;'01 Major Assumptions'!$D$153+'01 Major Assumptions'!$D$152),1,0)</f>
        <v>1</v>
      </c>
      <c r="AX27" s="106">
        <f>IF(AND('01 Major Assumptions'!AX$17&gt;='01 Major Assumptions'!$D$153,'01 Major Assumptions'!AX$17&lt;'01 Major Assumptions'!$D$153+'01 Major Assumptions'!$D$152),1,0)</f>
        <v>1</v>
      </c>
      <c r="AY27" s="106">
        <f>IF(AND('01 Major Assumptions'!AY$17&gt;='01 Major Assumptions'!$D$153,'01 Major Assumptions'!AY$17&lt;'01 Major Assumptions'!$D$153+'01 Major Assumptions'!$D$152),1,0)</f>
        <v>1</v>
      </c>
      <c r="AZ27" s="106">
        <f>IF(AND('01 Major Assumptions'!AZ$17&gt;='01 Major Assumptions'!$D$153,'01 Major Assumptions'!AZ$17&lt;'01 Major Assumptions'!$D$153+'01 Major Assumptions'!$D$152),1,0)</f>
        <v>1</v>
      </c>
      <c r="BA27" s="106">
        <f>IF(AND('01 Major Assumptions'!BA$17&gt;='01 Major Assumptions'!$D$153,'01 Major Assumptions'!BA$17&lt;'01 Major Assumptions'!$D$153+'01 Major Assumptions'!$D$152),1,0)</f>
        <v>1</v>
      </c>
      <c r="BB27" s="106">
        <f>IF(AND('01 Major Assumptions'!BB$17&gt;='01 Major Assumptions'!$D$153,'01 Major Assumptions'!BB$17&lt;'01 Major Assumptions'!$D$153+'01 Major Assumptions'!$D$152),1,0)</f>
        <v>1</v>
      </c>
      <c r="BC27" s="106">
        <f>IF(AND('01 Major Assumptions'!BC$17&gt;='01 Major Assumptions'!$D$153,'01 Major Assumptions'!BC$17&lt;'01 Major Assumptions'!$D$153+'01 Major Assumptions'!$D$152),1,0)</f>
        <v>1</v>
      </c>
      <c r="BD27" s="106">
        <f>IF(AND('01 Major Assumptions'!BD$17&gt;='01 Major Assumptions'!$D$153,'01 Major Assumptions'!BD$17&lt;'01 Major Assumptions'!$D$153+'01 Major Assumptions'!$D$152),1,0)</f>
        <v>1</v>
      </c>
      <c r="BE27" s="106">
        <f>IF(AND('01 Major Assumptions'!BE$17&gt;='01 Major Assumptions'!$D$153,'01 Major Assumptions'!BE$17&lt;'01 Major Assumptions'!$D$153+'01 Major Assumptions'!$D$152),1,0)</f>
        <v>1</v>
      </c>
      <c r="BF27" s="106">
        <f>IF(AND('01 Major Assumptions'!BF$17&gt;='01 Major Assumptions'!$D$153,'01 Major Assumptions'!BF$17&lt;'01 Major Assumptions'!$D$153+'01 Major Assumptions'!$D$152),1,0)</f>
        <v>1</v>
      </c>
      <c r="BG27" s="106">
        <f>IF(AND('01 Major Assumptions'!BG$17&gt;='01 Major Assumptions'!$D$153,'01 Major Assumptions'!BG$17&lt;'01 Major Assumptions'!$D$153+'01 Major Assumptions'!$D$152),1,0)</f>
        <v>1</v>
      </c>
      <c r="BH27" s="106">
        <f>IF(AND('01 Major Assumptions'!BH$17&gt;='01 Major Assumptions'!$D$153,'01 Major Assumptions'!BH$17&lt;'01 Major Assumptions'!$D$153+'01 Major Assumptions'!$D$152),1,0)</f>
        <v>1</v>
      </c>
      <c r="BI27" s="106">
        <f>IF(AND('01 Major Assumptions'!BI$17&gt;='01 Major Assumptions'!$D$153,'01 Major Assumptions'!BI$17&lt;'01 Major Assumptions'!$D$153+'01 Major Assumptions'!$D$152),1,0)</f>
        <v>1</v>
      </c>
      <c r="BJ27" s="106">
        <f>IF(AND('01 Major Assumptions'!BJ$17&gt;='01 Major Assumptions'!$D$153,'01 Major Assumptions'!BJ$17&lt;'01 Major Assumptions'!$D$153+'01 Major Assumptions'!$D$152),1,0)</f>
        <v>1</v>
      </c>
      <c r="BK27" s="106">
        <f>IF(AND('01 Major Assumptions'!BK$17&gt;='01 Major Assumptions'!$D$153,'01 Major Assumptions'!BK$17&lt;'01 Major Assumptions'!$D$153+'01 Major Assumptions'!$D$152),1,0)</f>
        <v>1</v>
      </c>
      <c r="BL27" s="106">
        <f>IF(AND('01 Major Assumptions'!BL$17&gt;='01 Major Assumptions'!$D$153,'01 Major Assumptions'!BL$17&lt;'01 Major Assumptions'!$D$153+'01 Major Assumptions'!$D$152),1,0)</f>
        <v>1</v>
      </c>
      <c r="BM27" s="106">
        <f>IF(AND('01 Major Assumptions'!BM$17&gt;='01 Major Assumptions'!$D$153,'01 Major Assumptions'!BM$17&lt;'01 Major Assumptions'!$D$153+'01 Major Assumptions'!$D$152),1,0)</f>
        <v>1</v>
      </c>
      <c r="BN27" s="106">
        <f>IF(AND('01 Major Assumptions'!BN$17&gt;='01 Major Assumptions'!$D$153,'01 Major Assumptions'!BN$17&lt;'01 Major Assumptions'!$D$153+'01 Major Assumptions'!$D$152),1,0)</f>
        <v>0</v>
      </c>
      <c r="BO27" s="106">
        <f>IF(AND('01 Major Assumptions'!BO$17&gt;='01 Major Assumptions'!$D$153,'01 Major Assumptions'!BO$17&lt;'01 Major Assumptions'!$D$153+'01 Major Assumptions'!$D$152),1,0)</f>
        <v>0</v>
      </c>
    </row>
    <row r="28" spans="1:67">
      <c r="A28" s="11"/>
      <c r="B28" s="11"/>
      <c r="C28" s="11" t="s">
        <v>477</v>
      </c>
      <c r="D28" s="33"/>
      <c r="E28" s="33"/>
      <c r="F28" s="33"/>
      <c r="G28" s="90">
        <f>G20</f>
        <v>-354800</v>
      </c>
      <c r="H28" s="90">
        <f t="shared" ref="H28:BI28" si="40">H20</f>
        <v>-354800</v>
      </c>
      <c r="I28" s="90">
        <f t="shared" si="40"/>
        <v>-354800</v>
      </c>
      <c r="J28" s="90">
        <f t="shared" si="40"/>
        <v>-354800</v>
      </c>
      <c r="K28" s="90">
        <f t="shared" si="40"/>
        <v>-354800</v>
      </c>
      <c r="L28" s="90">
        <f t="shared" si="40"/>
        <v>-354800</v>
      </c>
      <c r="M28" s="90">
        <f t="shared" si="40"/>
        <v>-354800</v>
      </c>
      <c r="N28" s="90">
        <f t="shared" si="40"/>
        <v>-354800</v>
      </c>
      <c r="O28" s="90">
        <f t="shared" si="40"/>
        <v>-354800</v>
      </c>
      <c r="P28" s="90">
        <f t="shared" si="40"/>
        <v>-448550</v>
      </c>
      <c r="Q28" s="90">
        <f t="shared" si="40"/>
        <v>-448550</v>
      </c>
      <c r="R28" s="90">
        <f t="shared" si="40"/>
        <v>-704383.33333333337</v>
      </c>
      <c r="S28" s="90">
        <f t="shared" si="40"/>
        <v>-601246</v>
      </c>
      <c r="T28" s="90">
        <f t="shared" si="40"/>
        <v>-1184579.3333333333</v>
      </c>
      <c r="U28" s="90">
        <f t="shared" si="40"/>
        <v>-1184579.3333333333</v>
      </c>
      <c r="V28" s="90">
        <f t="shared" si="40"/>
        <v>-1290204.3333333335</v>
      </c>
      <c r="W28" s="90">
        <f t="shared" si="40"/>
        <v>-1290204.3333333335</v>
      </c>
      <c r="X28" s="90">
        <f t="shared" si="40"/>
        <v>-1279787.6666666667</v>
      </c>
      <c r="Y28" s="90">
        <f t="shared" si="40"/>
        <v>-1279787.6666666667</v>
      </c>
      <c r="Z28" s="90">
        <f t="shared" si="40"/>
        <v>-1355412.6666666667</v>
      </c>
      <c r="AA28" s="90">
        <f t="shared" si="40"/>
        <v>-1355412.6666666667</v>
      </c>
      <c r="AB28" s="90">
        <f t="shared" si="40"/>
        <v>-33183279.04799848</v>
      </c>
      <c r="AC28" s="90">
        <f t="shared" si="40"/>
        <v>-14224107.739055265</v>
      </c>
      <c r="AD28" s="90">
        <f t="shared" si="40"/>
        <v>-11883461.101893414</v>
      </c>
      <c r="AE28" s="90">
        <f t="shared" si="40"/>
        <v>-9471181.0958542358</v>
      </c>
      <c r="AF28" s="90">
        <f t="shared" si="40"/>
        <v>-6401080.9191445261</v>
      </c>
      <c r="AG28" s="90">
        <f t="shared" si="40"/>
        <v>-4009295.2534911539</v>
      </c>
      <c r="AH28" s="90">
        <f t="shared" si="40"/>
        <v>-1520263.6194417328</v>
      </c>
      <c r="AI28" s="90">
        <f t="shared" si="40"/>
        <v>917180.40834800806</v>
      </c>
      <c r="AJ28" s="90">
        <f t="shared" si="40"/>
        <v>3387141.8378667766</v>
      </c>
      <c r="AK28" s="90">
        <f t="shared" si="40"/>
        <v>5851475.1258781161</v>
      </c>
      <c r="AL28" s="90">
        <f t="shared" si="40"/>
        <v>8352393.4471434951</v>
      </c>
      <c r="AM28" s="90">
        <f t="shared" si="40"/>
        <v>10856883.688384838</v>
      </c>
      <c r="AN28" s="90">
        <f t="shared" si="40"/>
        <v>13361882.6422382</v>
      </c>
      <c r="AO28" s="90">
        <f t="shared" si="40"/>
        <v>13453672.238119666</v>
      </c>
      <c r="AP28" s="90">
        <f t="shared" si="40"/>
        <v>13618537.233007617</v>
      </c>
      <c r="AQ28" s="90">
        <f t="shared" si="40"/>
        <v>14304232.964556919</v>
      </c>
      <c r="AR28" s="90">
        <f t="shared" si="40"/>
        <v>14406554.287046215</v>
      </c>
      <c r="AS28" s="90">
        <f t="shared" si="40"/>
        <v>14471561.701426068</v>
      </c>
      <c r="AT28" s="90">
        <f t="shared" si="40"/>
        <v>14514547.595470317</v>
      </c>
      <c r="AU28" s="90">
        <f t="shared" si="40"/>
        <v>14551159.170453001</v>
      </c>
      <c r="AV28" s="90">
        <f t="shared" si="40"/>
        <v>14587770.745435679</v>
      </c>
      <c r="AW28" s="90">
        <f t="shared" si="40"/>
        <v>14624382.320418363</v>
      </c>
      <c r="AX28" s="90">
        <f t="shared" si="40"/>
        <v>14660993.895401053</v>
      </c>
      <c r="AY28" s="90">
        <f t="shared" si="40"/>
        <v>14697605.470383734</v>
      </c>
      <c r="AZ28" s="90">
        <f t="shared" ca="1" si="40"/>
        <v>14734217.045366423</v>
      </c>
      <c r="BA28" s="90">
        <f t="shared" ca="1" si="40"/>
        <v>14770828.620349107</v>
      </c>
      <c r="BB28" s="90">
        <f t="shared" ca="1" si="40"/>
        <v>14807440.195331786</v>
      </c>
      <c r="BC28" s="90">
        <f t="shared" ca="1" si="40"/>
        <v>15411437.590125959</v>
      </c>
      <c r="BD28" s="90">
        <f t="shared" ca="1" si="40"/>
        <v>15448002.479594575</v>
      </c>
      <c r="BE28" s="90">
        <f t="shared" ca="1" si="40"/>
        <v>15484567.369063197</v>
      </c>
      <c r="BF28" s="90">
        <f t="shared" ca="1" si="40"/>
        <v>15521132.258531824</v>
      </c>
      <c r="BG28" s="90">
        <f t="shared" ca="1" si="40"/>
        <v>15557697.14800044</v>
      </c>
      <c r="BH28" s="90">
        <f t="shared" ca="1" si="40"/>
        <v>15594262.037469069</v>
      </c>
      <c r="BI28" s="90">
        <f t="shared" ca="1" si="40"/>
        <v>192057939.57794985</v>
      </c>
      <c r="BJ28" s="90">
        <f t="shared" ref="BJ28:BO28" ca="1" si="41">BJ20</f>
        <v>204278758.68880963</v>
      </c>
      <c r="BK28" s="90">
        <f t="shared" ca="1" si="41"/>
        <v>228868306.35362518</v>
      </c>
      <c r="BL28" s="90">
        <f t="shared" ca="1" si="41"/>
        <v>245324472.67902416</v>
      </c>
      <c r="BM28" s="90">
        <f t="shared" ca="1" si="41"/>
        <v>257744914.91242033</v>
      </c>
      <c r="BN28" s="90">
        <f t="shared" ca="1" si="41"/>
        <v>269825279.2935366</v>
      </c>
      <c r="BO28" s="90">
        <f t="shared" ca="1" si="41"/>
        <v>269207972.75538403</v>
      </c>
    </row>
    <row r="29" spans="1:67">
      <c r="A29" s="11"/>
      <c r="B29" s="11"/>
      <c r="C29" s="11" t="s">
        <v>480</v>
      </c>
      <c r="D29" s="33"/>
      <c r="E29" s="33"/>
      <c r="F29" s="33"/>
      <c r="G29" s="90">
        <f>0</f>
        <v>0</v>
      </c>
      <c r="H29" s="90">
        <f>G32</f>
        <v>354800</v>
      </c>
      <c r="I29" s="90">
        <f t="shared" ref="I29:BO29" si="42">H32</f>
        <v>709600</v>
      </c>
      <c r="J29" s="90">
        <f t="shared" si="42"/>
        <v>1064400</v>
      </c>
      <c r="K29" s="90">
        <f t="shared" si="42"/>
        <v>1419200</v>
      </c>
      <c r="L29" s="90">
        <f t="shared" si="42"/>
        <v>1774000</v>
      </c>
      <c r="M29" s="90">
        <f t="shared" si="42"/>
        <v>2128800</v>
      </c>
      <c r="N29" s="90">
        <f t="shared" si="42"/>
        <v>2483600</v>
      </c>
      <c r="O29" s="90">
        <f t="shared" si="42"/>
        <v>2838400</v>
      </c>
      <c r="P29" s="90">
        <f t="shared" si="42"/>
        <v>3193200</v>
      </c>
      <c r="Q29" s="90">
        <f t="shared" si="42"/>
        <v>3641750</v>
      </c>
      <c r="R29" s="90">
        <f t="shared" si="42"/>
        <v>4090300</v>
      </c>
      <c r="S29" s="90">
        <f t="shared" si="42"/>
        <v>4794683.333333333</v>
      </c>
      <c r="T29" s="90">
        <f t="shared" si="42"/>
        <v>5395929.333333333</v>
      </c>
      <c r="U29" s="90">
        <f t="shared" si="42"/>
        <v>6580508.666666666</v>
      </c>
      <c r="V29" s="90">
        <f t="shared" si="42"/>
        <v>7765087.9999999991</v>
      </c>
      <c r="W29" s="90">
        <f t="shared" si="42"/>
        <v>9055292.3333333321</v>
      </c>
      <c r="X29" s="90">
        <f t="shared" si="42"/>
        <v>10345496.666666666</v>
      </c>
      <c r="Y29" s="90">
        <f t="shared" si="42"/>
        <v>11625284.333333332</v>
      </c>
      <c r="Z29" s="90">
        <f t="shared" si="42"/>
        <v>12905071.999999998</v>
      </c>
      <c r="AA29" s="90">
        <f t="shared" si="42"/>
        <v>14260484.666666664</v>
      </c>
      <c r="AB29" s="90">
        <f t="shared" si="42"/>
        <v>15615897.33333333</v>
      </c>
      <c r="AC29" s="90">
        <f t="shared" si="42"/>
        <v>48799176.381331809</v>
      </c>
      <c r="AD29" s="90">
        <f t="shared" si="42"/>
        <v>63023284.120387077</v>
      </c>
      <c r="AE29" s="90">
        <f t="shared" si="42"/>
        <v>74906745.222280487</v>
      </c>
      <c r="AF29" s="90">
        <f t="shared" si="42"/>
        <v>84377926.318134725</v>
      </c>
      <c r="AG29" s="90">
        <f t="shared" si="42"/>
        <v>90779007.237279251</v>
      </c>
      <c r="AH29" s="90">
        <f t="shared" si="42"/>
        <v>94788302.4907704</v>
      </c>
      <c r="AI29" s="90">
        <f t="shared" si="42"/>
        <v>96308566.110212132</v>
      </c>
      <c r="AJ29" s="90">
        <f t="shared" si="42"/>
        <v>96308566.110212132</v>
      </c>
      <c r="AK29" s="90">
        <f t="shared" si="42"/>
        <v>96308566.110212132</v>
      </c>
      <c r="AL29" s="90">
        <f t="shared" si="42"/>
        <v>96308566.110212132</v>
      </c>
      <c r="AM29" s="90">
        <f t="shared" si="42"/>
        <v>96308566.110212132</v>
      </c>
      <c r="AN29" s="90">
        <f t="shared" si="42"/>
        <v>96308566.110212132</v>
      </c>
      <c r="AO29" s="90">
        <f t="shared" si="42"/>
        <v>96308566.110212132</v>
      </c>
      <c r="AP29" s="90">
        <f t="shared" si="42"/>
        <v>96308566.110212132</v>
      </c>
      <c r="AQ29" s="90">
        <f t="shared" si="42"/>
        <v>96308566.110212132</v>
      </c>
      <c r="AR29" s="90">
        <f t="shared" si="42"/>
        <v>96308566.110212132</v>
      </c>
      <c r="AS29" s="90">
        <f t="shared" si="42"/>
        <v>96308566.110212132</v>
      </c>
      <c r="AT29" s="90">
        <f t="shared" si="42"/>
        <v>96308566.110212132</v>
      </c>
      <c r="AU29" s="90">
        <f t="shared" si="42"/>
        <v>96308566.110212132</v>
      </c>
      <c r="AV29" s="90">
        <f t="shared" si="42"/>
        <v>96308566.110212132</v>
      </c>
      <c r="AW29" s="90">
        <f t="shared" si="42"/>
        <v>96308566.110212132</v>
      </c>
      <c r="AX29" s="90">
        <f t="shared" si="42"/>
        <v>96308566.110212132</v>
      </c>
      <c r="AY29" s="90">
        <f t="shared" si="42"/>
        <v>96308566.110212132</v>
      </c>
      <c r="AZ29" s="90">
        <f t="shared" si="42"/>
        <v>96308566.110212132</v>
      </c>
      <c r="BA29" s="90">
        <f t="shared" ca="1" si="42"/>
        <v>96308566.110212132</v>
      </c>
      <c r="BB29" s="90">
        <f t="shared" ca="1" si="42"/>
        <v>96308566.110212132</v>
      </c>
      <c r="BC29" s="90">
        <f t="shared" ca="1" si="42"/>
        <v>96308566.110212132</v>
      </c>
      <c r="BD29" s="90">
        <f t="shared" ca="1" si="42"/>
        <v>96308566.110212132</v>
      </c>
      <c r="BE29" s="90">
        <f t="shared" ca="1" si="42"/>
        <v>96308566.110212132</v>
      </c>
      <c r="BF29" s="90">
        <f t="shared" ca="1" si="42"/>
        <v>96308566.110212132</v>
      </c>
      <c r="BG29" s="90">
        <f t="shared" ca="1" si="42"/>
        <v>96308566.110212132</v>
      </c>
      <c r="BH29" s="90">
        <f t="shared" ca="1" si="42"/>
        <v>96308566.110212132</v>
      </c>
      <c r="BI29" s="90">
        <f t="shared" ca="1" si="42"/>
        <v>96308566.110212132</v>
      </c>
      <c r="BJ29" s="90">
        <f t="shared" ca="1" si="42"/>
        <v>96308566.110212132</v>
      </c>
      <c r="BK29" s="90">
        <f t="shared" ca="1" si="42"/>
        <v>96308566.110212132</v>
      </c>
      <c r="BL29" s="90">
        <f t="shared" ca="1" si="42"/>
        <v>96308566.110212132</v>
      </c>
      <c r="BM29" s="90">
        <f t="shared" ca="1" si="42"/>
        <v>96308566.110212132</v>
      </c>
      <c r="BN29" s="90">
        <f t="shared" ca="1" si="42"/>
        <v>96308566.110212132</v>
      </c>
      <c r="BO29" s="90">
        <f t="shared" ca="1" si="42"/>
        <v>0</v>
      </c>
    </row>
    <row r="30" spans="1:67">
      <c r="A30" s="11"/>
      <c r="B30" s="11"/>
      <c r="C30" s="11" t="s">
        <v>1684</v>
      </c>
      <c r="D30" s="33"/>
      <c r="E30" s="33"/>
      <c r="F30" s="33"/>
      <c r="G30" s="90">
        <f>IF(G27=1,0,-MIN(G29,MAX(0,G28)))</f>
        <v>0</v>
      </c>
      <c r="H30" s="90">
        <f t="shared" ref="H30:BO30" si="43">IF(H27=1,0,-MIN(H29,MAX(0,H28)))</f>
        <v>0</v>
      </c>
      <c r="I30" s="90">
        <f t="shared" si="43"/>
        <v>0</v>
      </c>
      <c r="J30" s="90">
        <f t="shared" si="43"/>
        <v>0</v>
      </c>
      <c r="K30" s="90">
        <f t="shared" si="43"/>
        <v>0</v>
      </c>
      <c r="L30" s="90">
        <f t="shared" si="43"/>
        <v>0</v>
      </c>
      <c r="M30" s="90">
        <f t="shared" si="43"/>
        <v>0</v>
      </c>
      <c r="N30" s="90">
        <f t="shared" si="43"/>
        <v>0</v>
      </c>
      <c r="O30" s="90">
        <f t="shared" si="43"/>
        <v>0</v>
      </c>
      <c r="P30" s="90">
        <f t="shared" si="43"/>
        <v>0</v>
      </c>
      <c r="Q30" s="90">
        <f t="shared" si="43"/>
        <v>0</v>
      </c>
      <c r="R30" s="90">
        <f t="shared" si="43"/>
        <v>0</v>
      </c>
      <c r="S30" s="90">
        <f t="shared" si="43"/>
        <v>0</v>
      </c>
      <c r="T30" s="90">
        <f t="shared" si="43"/>
        <v>0</v>
      </c>
      <c r="U30" s="90">
        <f t="shared" si="43"/>
        <v>0</v>
      </c>
      <c r="V30" s="90">
        <f t="shared" si="43"/>
        <v>0</v>
      </c>
      <c r="W30" s="90">
        <f t="shared" si="43"/>
        <v>0</v>
      </c>
      <c r="X30" s="90">
        <f t="shared" si="43"/>
        <v>0</v>
      </c>
      <c r="Y30" s="90">
        <f t="shared" si="43"/>
        <v>0</v>
      </c>
      <c r="Z30" s="90">
        <f t="shared" si="43"/>
        <v>0</v>
      </c>
      <c r="AA30" s="90">
        <f t="shared" si="43"/>
        <v>0</v>
      </c>
      <c r="AB30" s="90">
        <f t="shared" si="43"/>
        <v>0</v>
      </c>
      <c r="AC30" s="90">
        <f t="shared" si="43"/>
        <v>0</v>
      </c>
      <c r="AD30" s="90">
        <f t="shared" si="43"/>
        <v>0</v>
      </c>
      <c r="AE30" s="90">
        <f t="shared" si="43"/>
        <v>0</v>
      </c>
      <c r="AF30" s="90">
        <f t="shared" si="43"/>
        <v>0</v>
      </c>
      <c r="AG30" s="90">
        <f t="shared" si="43"/>
        <v>0</v>
      </c>
      <c r="AH30" s="90">
        <f t="shared" si="43"/>
        <v>0</v>
      </c>
      <c r="AI30" s="90">
        <f t="shared" si="43"/>
        <v>0</v>
      </c>
      <c r="AJ30" s="90">
        <f t="shared" si="43"/>
        <v>0</v>
      </c>
      <c r="AK30" s="90">
        <f t="shared" si="43"/>
        <v>0</v>
      </c>
      <c r="AL30" s="90">
        <f t="shared" si="43"/>
        <v>0</v>
      </c>
      <c r="AM30" s="90">
        <f t="shared" si="43"/>
        <v>0</v>
      </c>
      <c r="AN30" s="90">
        <f t="shared" si="43"/>
        <v>0</v>
      </c>
      <c r="AO30" s="90">
        <f t="shared" si="43"/>
        <v>0</v>
      </c>
      <c r="AP30" s="90">
        <f t="shared" si="43"/>
        <v>0</v>
      </c>
      <c r="AQ30" s="90">
        <f t="shared" si="43"/>
        <v>0</v>
      </c>
      <c r="AR30" s="90">
        <f t="shared" si="43"/>
        <v>0</v>
      </c>
      <c r="AS30" s="90">
        <f t="shared" si="43"/>
        <v>0</v>
      </c>
      <c r="AT30" s="90">
        <f t="shared" si="43"/>
        <v>0</v>
      </c>
      <c r="AU30" s="90">
        <f t="shared" si="43"/>
        <v>0</v>
      </c>
      <c r="AV30" s="90">
        <f t="shared" si="43"/>
        <v>0</v>
      </c>
      <c r="AW30" s="90">
        <f t="shared" si="43"/>
        <v>0</v>
      </c>
      <c r="AX30" s="90">
        <f t="shared" si="43"/>
        <v>0</v>
      </c>
      <c r="AY30" s="90">
        <f t="shared" si="43"/>
        <v>0</v>
      </c>
      <c r="AZ30" s="90">
        <f t="shared" si="43"/>
        <v>0</v>
      </c>
      <c r="BA30" s="90">
        <f t="shared" si="43"/>
        <v>0</v>
      </c>
      <c r="BB30" s="90">
        <f t="shared" si="43"/>
        <v>0</v>
      </c>
      <c r="BC30" s="90">
        <f t="shared" si="43"/>
        <v>0</v>
      </c>
      <c r="BD30" s="90">
        <f t="shared" si="43"/>
        <v>0</v>
      </c>
      <c r="BE30" s="90">
        <f t="shared" si="43"/>
        <v>0</v>
      </c>
      <c r="BF30" s="90">
        <f t="shared" si="43"/>
        <v>0</v>
      </c>
      <c r="BG30" s="90">
        <f t="shared" si="43"/>
        <v>0</v>
      </c>
      <c r="BH30" s="90">
        <f t="shared" si="43"/>
        <v>0</v>
      </c>
      <c r="BI30" s="90">
        <f t="shared" si="43"/>
        <v>0</v>
      </c>
      <c r="BJ30" s="90">
        <f t="shared" si="43"/>
        <v>0</v>
      </c>
      <c r="BK30" s="90">
        <f t="shared" si="43"/>
        <v>0</v>
      </c>
      <c r="BL30" s="90">
        <f t="shared" si="43"/>
        <v>0</v>
      </c>
      <c r="BM30" s="90">
        <f t="shared" si="43"/>
        <v>0</v>
      </c>
      <c r="BN30" s="90">
        <f t="shared" ca="1" si="43"/>
        <v>-96308566.110212132</v>
      </c>
      <c r="BO30" s="90">
        <f t="shared" ca="1" si="43"/>
        <v>0</v>
      </c>
    </row>
    <row r="31" spans="1:67">
      <c r="A31" s="11"/>
      <c r="B31" s="11"/>
      <c r="C31" s="11" t="s">
        <v>481</v>
      </c>
      <c r="D31" s="33"/>
      <c r="E31" s="33"/>
      <c r="F31" s="33"/>
      <c r="G31" s="90">
        <f>MAX(0,G28+G30)</f>
        <v>0</v>
      </c>
      <c r="H31" s="90">
        <f t="shared" ref="H31:BI31" si="44">MAX(0,H28+H30)</f>
        <v>0</v>
      </c>
      <c r="I31" s="90">
        <f t="shared" si="44"/>
        <v>0</v>
      </c>
      <c r="J31" s="90">
        <f t="shared" si="44"/>
        <v>0</v>
      </c>
      <c r="K31" s="90">
        <f t="shared" si="44"/>
        <v>0</v>
      </c>
      <c r="L31" s="90">
        <f t="shared" si="44"/>
        <v>0</v>
      </c>
      <c r="M31" s="90">
        <f t="shared" si="44"/>
        <v>0</v>
      </c>
      <c r="N31" s="90">
        <f t="shared" si="44"/>
        <v>0</v>
      </c>
      <c r="O31" s="90">
        <f t="shared" si="44"/>
        <v>0</v>
      </c>
      <c r="P31" s="90">
        <f t="shared" si="44"/>
        <v>0</v>
      </c>
      <c r="Q31" s="90">
        <f t="shared" si="44"/>
        <v>0</v>
      </c>
      <c r="R31" s="90">
        <f t="shared" si="44"/>
        <v>0</v>
      </c>
      <c r="S31" s="90">
        <f t="shared" si="44"/>
        <v>0</v>
      </c>
      <c r="T31" s="90">
        <f t="shared" si="44"/>
        <v>0</v>
      </c>
      <c r="U31" s="90">
        <f t="shared" si="44"/>
        <v>0</v>
      </c>
      <c r="V31" s="90">
        <f t="shared" si="44"/>
        <v>0</v>
      </c>
      <c r="W31" s="90">
        <f t="shared" si="44"/>
        <v>0</v>
      </c>
      <c r="X31" s="90">
        <f t="shared" si="44"/>
        <v>0</v>
      </c>
      <c r="Y31" s="90">
        <f t="shared" si="44"/>
        <v>0</v>
      </c>
      <c r="Z31" s="90">
        <f t="shared" si="44"/>
        <v>0</v>
      </c>
      <c r="AA31" s="90">
        <f t="shared" si="44"/>
        <v>0</v>
      </c>
      <c r="AB31" s="90">
        <f t="shared" si="44"/>
        <v>0</v>
      </c>
      <c r="AC31" s="90">
        <f t="shared" si="44"/>
        <v>0</v>
      </c>
      <c r="AD31" s="90">
        <f t="shared" si="44"/>
        <v>0</v>
      </c>
      <c r="AE31" s="90">
        <f t="shared" si="44"/>
        <v>0</v>
      </c>
      <c r="AF31" s="90">
        <f t="shared" si="44"/>
        <v>0</v>
      </c>
      <c r="AG31" s="90">
        <f t="shared" si="44"/>
        <v>0</v>
      </c>
      <c r="AH31" s="90">
        <f t="shared" si="44"/>
        <v>0</v>
      </c>
      <c r="AI31" s="90">
        <f t="shared" si="44"/>
        <v>917180.40834800806</v>
      </c>
      <c r="AJ31" s="90">
        <f t="shared" si="44"/>
        <v>3387141.8378667766</v>
      </c>
      <c r="AK31" s="90">
        <f t="shared" si="44"/>
        <v>5851475.1258781161</v>
      </c>
      <c r="AL31" s="90">
        <f t="shared" si="44"/>
        <v>8352393.4471434951</v>
      </c>
      <c r="AM31" s="90">
        <f t="shared" si="44"/>
        <v>10856883.688384838</v>
      </c>
      <c r="AN31" s="90">
        <f t="shared" si="44"/>
        <v>13361882.6422382</v>
      </c>
      <c r="AO31" s="90">
        <f t="shared" si="44"/>
        <v>13453672.238119666</v>
      </c>
      <c r="AP31" s="90">
        <f t="shared" si="44"/>
        <v>13618537.233007617</v>
      </c>
      <c r="AQ31" s="90">
        <f t="shared" si="44"/>
        <v>14304232.964556919</v>
      </c>
      <c r="AR31" s="90">
        <f t="shared" si="44"/>
        <v>14406554.287046215</v>
      </c>
      <c r="AS31" s="90">
        <f t="shared" si="44"/>
        <v>14471561.701426068</v>
      </c>
      <c r="AT31" s="90">
        <f t="shared" si="44"/>
        <v>14514547.595470317</v>
      </c>
      <c r="AU31" s="90">
        <f t="shared" si="44"/>
        <v>14551159.170453001</v>
      </c>
      <c r="AV31" s="90">
        <f t="shared" si="44"/>
        <v>14587770.745435679</v>
      </c>
      <c r="AW31" s="90">
        <f t="shared" si="44"/>
        <v>14624382.320418363</v>
      </c>
      <c r="AX31" s="90">
        <f t="shared" si="44"/>
        <v>14660993.895401053</v>
      </c>
      <c r="AY31" s="90">
        <f t="shared" si="44"/>
        <v>14697605.470383734</v>
      </c>
      <c r="AZ31" s="90">
        <f t="shared" ca="1" si="44"/>
        <v>14734217.045366423</v>
      </c>
      <c r="BA31" s="90">
        <f t="shared" ca="1" si="44"/>
        <v>14770828.620349107</v>
      </c>
      <c r="BB31" s="90">
        <f t="shared" ca="1" si="44"/>
        <v>14807440.195331786</v>
      </c>
      <c r="BC31" s="90">
        <f t="shared" ca="1" si="44"/>
        <v>15411437.590125959</v>
      </c>
      <c r="BD31" s="90">
        <f t="shared" ca="1" si="44"/>
        <v>15448002.479594575</v>
      </c>
      <c r="BE31" s="90">
        <f t="shared" ca="1" si="44"/>
        <v>15484567.369063197</v>
      </c>
      <c r="BF31" s="90">
        <f t="shared" ca="1" si="44"/>
        <v>15521132.258531824</v>
      </c>
      <c r="BG31" s="90">
        <f t="shared" ca="1" si="44"/>
        <v>15557697.14800044</v>
      </c>
      <c r="BH31" s="90">
        <f t="shared" ca="1" si="44"/>
        <v>15594262.037469069</v>
      </c>
      <c r="BI31" s="90">
        <f t="shared" ca="1" si="44"/>
        <v>192057939.57794985</v>
      </c>
      <c r="BJ31" s="90">
        <f t="shared" ref="BJ31" ca="1" si="45">MAX(0,BJ28+BJ30)</f>
        <v>204278758.68880963</v>
      </c>
      <c r="BK31" s="90">
        <f t="shared" ref="BK31" ca="1" si="46">MAX(0,BK28+BK30)</f>
        <v>228868306.35362518</v>
      </c>
      <c r="BL31" s="90">
        <f t="shared" ref="BL31" ca="1" si="47">MAX(0,BL28+BL30)</f>
        <v>245324472.67902416</v>
      </c>
      <c r="BM31" s="90">
        <f t="shared" ref="BM31" ca="1" si="48">MAX(0,BM28+BM30)</f>
        <v>257744914.91242033</v>
      </c>
      <c r="BN31" s="90">
        <f t="shared" ref="BN31" ca="1" si="49">MAX(0,BN28+BN30)</f>
        <v>173516713.18332446</v>
      </c>
      <c r="BO31" s="90">
        <f t="shared" ref="BO31" ca="1" si="50">MAX(0,BO28+BO30)</f>
        <v>269207972.75538403</v>
      </c>
    </row>
    <row r="32" spans="1:67">
      <c r="A32" s="11"/>
      <c r="B32" s="11"/>
      <c r="C32" s="11" t="s">
        <v>482</v>
      </c>
      <c r="D32" s="33"/>
      <c r="E32" s="33"/>
      <c r="F32" s="33"/>
      <c r="G32" s="90">
        <f>G29+G30+MAX(0,-G28)</f>
        <v>354800</v>
      </c>
      <c r="H32" s="90">
        <f t="shared" ref="H32:BI32" si="51">H29+H30+MAX(0,-H28)</f>
        <v>709600</v>
      </c>
      <c r="I32" s="90">
        <f t="shared" si="51"/>
        <v>1064400</v>
      </c>
      <c r="J32" s="90">
        <f t="shared" si="51"/>
        <v>1419200</v>
      </c>
      <c r="K32" s="90">
        <f t="shared" si="51"/>
        <v>1774000</v>
      </c>
      <c r="L32" s="90">
        <f t="shared" si="51"/>
        <v>2128800</v>
      </c>
      <c r="M32" s="90">
        <f t="shared" si="51"/>
        <v>2483600</v>
      </c>
      <c r="N32" s="90">
        <f t="shared" si="51"/>
        <v>2838400</v>
      </c>
      <c r="O32" s="90">
        <f t="shared" si="51"/>
        <v>3193200</v>
      </c>
      <c r="P32" s="90">
        <f t="shared" si="51"/>
        <v>3641750</v>
      </c>
      <c r="Q32" s="90">
        <f t="shared" si="51"/>
        <v>4090300</v>
      </c>
      <c r="R32" s="90">
        <f t="shared" si="51"/>
        <v>4794683.333333333</v>
      </c>
      <c r="S32" s="90">
        <f t="shared" si="51"/>
        <v>5395929.333333333</v>
      </c>
      <c r="T32" s="90">
        <f t="shared" si="51"/>
        <v>6580508.666666666</v>
      </c>
      <c r="U32" s="90">
        <f t="shared" si="51"/>
        <v>7765087.9999999991</v>
      </c>
      <c r="V32" s="90">
        <f t="shared" si="51"/>
        <v>9055292.3333333321</v>
      </c>
      <c r="W32" s="90">
        <f t="shared" si="51"/>
        <v>10345496.666666666</v>
      </c>
      <c r="X32" s="90">
        <f t="shared" si="51"/>
        <v>11625284.333333332</v>
      </c>
      <c r="Y32" s="90">
        <f t="shared" si="51"/>
        <v>12905071.999999998</v>
      </c>
      <c r="Z32" s="90">
        <f t="shared" si="51"/>
        <v>14260484.666666664</v>
      </c>
      <c r="AA32" s="90">
        <f t="shared" si="51"/>
        <v>15615897.33333333</v>
      </c>
      <c r="AB32" s="90">
        <f t="shared" si="51"/>
        <v>48799176.381331809</v>
      </c>
      <c r="AC32" s="90">
        <f t="shared" si="51"/>
        <v>63023284.120387077</v>
      </c>
      <c r="AD32" s="90">
        <f t="shared" si="51"/>
        <v>74906745.222280487</v>
      </c>
      <c r="AE32" s="90">
        <f t="shared" si="51"/>
        <v>84377926.318134725</v>
      </c>
      <c r="AF32" s="90">
        <f t="shared" si="51"/>
        <v>90779007.237279251</v>
      </c>
      <c r="AG32" s="90">
        <f t="shared" si="51"/>
        <v>94788302.4907704</v>
      </c>
      <c r="AH32" s="90">
        <f t="shared" si="51"/>
        <v>96308566.110212132</v>
      </c>
      <c r="AI32" s="90">
        <f t="shared" si="51"/>
        <v>96308566.110212132</v>
      </c>
      <c r="AJ32" s="90">
        <f t="shared" si="51"/>
        <v>96308566.110212132</v>
      </c>
      <c r="AK32" s="90">
        <f t="shared" si="51"/>
        <v>96308566.110212132</v>
      </c>
      <c r="AL32" s="90">
        <f t="shared" si="51"/>
        <v>96308566.110212132</v>
      </c>
      <c r="AM32" s="90">
        <f t="shared" si="51"/>
        <v>96308566.110212132</v>
      </c>
      <c r="AN32" s="90">
        <f t="shared" si="51"/>
        <v>96308566.110212132</v>
      </c>
      <c r="AO32" s="90">
        <f t="shared" si="51"/>
        <v>96308566.110212132</v>
      </c>
      <c r="AP32" s="90">
        <f t="shared" si="51"/>
        <v>96308566.110212132</v>
      </c>
      <c r="AQ32" s="90">
        <f t="shared" si="51"/>
        <v>96308566.110212132</v>
      </c>
      <c r="AR32" s="90">
        <f t="shared" si="51"/>
        <v>96308566.110212132</v>
      </c>
      <c r="AS32" s="90">
        <f t="shared" si="51"/>
        <v>96308566.110212132</v>
      </c>
      <c r="AT32" s="90">
        <f t="shared" si="51"/>
        <v>96308566.110212132</v>
      </c>
      <c r="AU32" s="90">
        <f t="shared" si="51"/>
        <v>96308566.110212132</v>
      </c>
      <c r="AV32" s="90">
        <f t="shared" si="51"/>
        <v>96308566.110212132</v>
      </c>
      <c r="AW32" s="90">
        <f t="shared" si="51"/>
        <v>96308566.110212132</v>
      </c>
      <c r="AX32" s="90">
        <f t="shared" si="51"/>
        <v>96308566.110212132</v>
      </c>
      <c r="AY32" s="90">
        <f t="shared" si="51"/>
        <v>96308566.110212132</v>
      </c>
      <c r="AZ32" s="90">
        <f t="shared" ca="1" si="51"/>
        <v>96308566.110212132</v>
      </c>
      <c r="BA32" s="90">
        <f t="shared" ca="1" si="51"/>
        <v>96308566.110212132</v>
      </c>
      <c r="BB32" s="90">
        <f t="shared" ca="1" si="51"/>
        <v>96308566.110212132</v>
      </c>
      <c r="BC32" s="90">
        <f t="shared" ca="1" si="51"/>
        <v>96308566.110212132</v>
      </c>
      <c r="BD32" s="90">
        <f t="shared" ca="1" si="51"/>
        <v>96308566.110212132</v>
      </c>
      <c r="BE32" s="90">
        <f t="shared" ca="1" si="51"/>
        <v>96308566.110212132</v>
      </c>
      <c r="BF32" s="90">
        <f t="shared" ca="1" si="51"/>
        <v>96308566.110212132</v>
      </c>
      <c r="BG32" s="90">
        <f t="shared" ca="1" si="51"/>
        <v>96308566.110212132</v>
      </c>
      <c r="BH32" s="90">
        <f t="shared" ca="1" si="51"/>
        <v>96308566.110212132</v>
      </c>
      <c r="BI32" s="90">
        <f t="shared" ca="1" si="51"/>
        <v>96308566.110212132</v>
      </c>
      <c r="BJ32" s="90">
        <f t="shared" ref="BJ32:BO32" ca="1" si="52">BJ29+BJ30+MAX(0,-BJ28)</f>
        <v>96308566.110212132</v>
      </c>
      <c r="BK32" s="90">
        <f t="shared" ca="1" si="52"/>
        <v>96308566.110212132</v>
      </c>
      <c r="BL32" s="90">
        <f t="shared" ca="1" si="52"/>
        <v>96308566.110212132</v>
      </c>
      <c r="BM32" s="90">
        <f t="shared" ca="1" si="52"/>
        <v>96308566.110212132</v>
      </c>
      <c r="BN32" s="90">
        <f t="shared" ca="1" si="52"/>
        <v>0</v>
      </c>
      <c r="BO32" s="90">
        <f t="shared" ca="1" si="52"/>
        <v>0</v>
      </c>
    </row>
    <row r="33" spans="1:67">
      <c r="A33" s="11"/>
      <c r="B33" s="11"/>
      <c r="C33" s="11" t="s">
        <v>483</v>
      </c>
      <c r="D33" s="33"/>
      <c r="E33" s="33"/>
      <c r="F33" s="33"/>
      <c r="G33" s="90">
        <f>IF(G27=1,0,G31*'01 Major Assumptions'!$D$151)</f>
        <v>0</v>
      </c>
      <c r="H33" s="90">
        <f>IF(H27=1,0,H31*'01 Major Assumptions'!$D$151)</f>
        <v>0</v>
      </c>
      <c r="I33" s="90">
        <f>IF(I27=1,0,I31*'01 Major Assumptions'!$D$151)</f>
        <v>0</v>
      </c>
      <c r="J33" s="90">
        <f>IF(J27=1,0,J31*'01 Major Assumptions'!$D$151)</f>
        <v>0</v>
      </c>
      <c r="K33" s="90">
        <f>IF(K27=1,0,K31*'01 Major Assumptions'!$D$151)</f>
        <v>0</v>
      </c>
      <c r="L33" s="90">
        <f>IF(L27=1,0,L31*'01 Major Assumptions'!$D$151)</f>
        <v>0</v>
      </c>
      <c r="M33" s="90">
        <f>IF(M27=1,0,M31*'01 Major Assumptions'!$D$151)</f>
        <v>0</v>
      </c>
      <c r="N33" s="90">
        <f>IF(N27=1,0,N31*'01 Major Assumptions'!$D$151)</f>
        <v>0</v>
      </c>
      <c r="O33" s="90">
        <f>IF(O27=1,0,O31*'01 Major Assumptions'!$D$151)</f>
        <v>0</v>
      </c>
      <c r="P33" s="90">
        <f>IF(P27=1,0,P31*'01 Major Assumptions'!$D$151)</f>
        <v>0</v>
      </c>
      <c r="Q33" s="90">
        <f>IF(Q27=1,0,Q31*'01 Major Assumptions'!$D$151)</f>
        <v>0</v>
      </c>
      <c r="R33" s="90">
        <f>IF(R27=1,0,R31*'01 Major Assumptions'!$D$151)</f>
        <v>0</v>
      </c>
      <c r="S33" s="90">
        <f>IF(S27=1,0,S31*'01 Major Assumptions'!$D$151)</f>
        <v>0</v>
      </c>
      <c r="T33" s="90">
        <f>IF(T27=1,0,T31*'01 Major Assumptions'!$D$151)</f>
        <v>0</v>
      </c>
      <c r="U33" s="90">
        <f>IF(U27=1,0,U31*'01 Major Assumptions'!$D$151)</f>
        <v>0</v>
      </c>
      <c r="V33" s="90">
        <f>IF(V27=1,0,V31*'01 Major Assumptions'!$D$151)</f>
        <v>0</v>
      </c>
      <c r="W33" s="90">
        <f>IF(W27=1,0,W31*'01 Major Assumptions'!$D$151)</f>
        <v>0</v>
      </c>
      <c r="X33" s="90">
        <f>IF(X27=1,0,X31*'01 Major Assumptions'!$D$151)</f>
        <v>0</v>
      </c>
      <c r="Y33" s="90">
        <f>IF(Y27=1,0,Y31*'01 Major Assumptions'!$D$151)</f>
        <v>0</v>
      </c>
      <c r="Z33" s="90">
        <f>IF(Z27=1,0,Z31*'01 Major Assumptions'!$D$151)</f>
        <v>0</v>
      </c>
      <c r="AA33" s="90">
        <f>IF(AA27=1,0,AA31*'01 Major Assumptions'!$D$151)</f>
        <v>0</v>
      </c>
      <c r="AB33" s="90">
        <f>IF(AB27=1,0,AB31*'01 Major Assumptions'!$D$151)</f>
        <v>0</v>
      </c>
      <c r="AC33" s="90">
        <f>IF(AC27=1,0,AC31*'01 Major Assumptions'!$D$151)</f>
        <v>0</v>
      </c>
      <c r="AD33" s="90">
        <f>IF(AD27=1,0,AD31*'01 Major Assumptions'!$D$151)</f>
        <v>0</v>
      </c>
      <c r="AE33" s="90">
        <f>IF(AE27=1,0,AE31*'01 Major Assumptions'!$D$151)</f>
        <v>0</v>
      </c>
      <c r="AF33" s="90">
        <f>IF(AF27=1,0,AF31*'01 Major Assumptions'!$D$151)</f>
        <v>0</v>
      </c>
      <c r="AG33" s="90">
        <f>IF(AG27=1,0,AG31*'01 Major Assumptions'!$D$151)</f>
        <v>0</v>
      </c>
      <c r="AH33" s="90">
        <f>IF(AH27=1,0,AH31*'01 Major Assumptions'!$D$151)</f>
        <v>0</v>
      </c>
      <c r="AI33" s="90">
        <f>IF(AI27=1,0,AI31*'01 Major Assumptions'!$D$151)</f>
        <v>0</v>
      </c>
      <c r="AJ33" s="90">
        <f>IF(AJ27=1,0,AJ31*'01 Major Assumptions'!$D$151)</f>
        <v>0</v>
      </c>
      <c r="AK33" s="90">
        <f>IF(AK27=1,0,AK31*'01 Major Assumptions'!$D$151)</f>
        <v>0</v>
      </c>
      <c r="AL33" s="90">
        <f>IF(AL27=1,0,AL31*'01 Major Assumptions'!$D$151)</f>
        <v>0</v>
      </c>
      <c r="AM33" s="90">
        <f>IF(AM27=1,0,AM31*'01 Major Assumptions'!$D$151)</f>
        <v>0</v>
      </c>
      <c r="AN33" s="90">
        <f>IF(AN27=1,0,AN31*'01 Major Assumptions'!$D$151)</f>
        <v>0</v>
      </c>
      <c r="AO33" s="90">
        <f>IF(AO27=1,0,AO31*'01 Major Assumptions'!$D$151)</f>
        <v>0</v>
      </c>
      <c r="AP33" s="90">
        <f>IF(AP27=1,0,AP31*'01 Major Assumptions'!$D$151)</f>
        <v>0</v>
      </c>
      <c r="AQ33" s="90">
        <f>IF(AQ27=1,0,AQ31*'01 Major Assumptions'!$D$151)</f>
        <v>0</v>
      </c>
      <c r="AR33" s="90">
        <f>IF(AR27=1,0,AR31*'01 Major Assumptions'!$D$151)</f>
        <v>0</v>
      </c>
      <c r="AS33" s="90">
        <f>IF(AS27=1,0,AS31*'01 Major Assumptions'!$D$151)</f>
        <v>0</v>
      </c>
      <c r="AT33" s="90">
        <f>IF(AT27=1,0,AT31*'01 Major Assumptions'!$D$151)</f>
        <v>0</v>
      </c>
      <c r="AU33" s="90">
        <f>IF(AU27=1,0,AU31*'01 Major Assumptions'!$D$151)</f>
        <v>0</v>
      </c>
      <c r="AV33" s="90">
        <f>IF(AV27=1,0,AV31*'01 Major Assumptions'!$D$151)</f>
        <v>0</v>
      </c>
      <c r="AW33" s="90">
        <f>IF(AW27=1,0,AW31*'01 Major Assumptions'!$D$151)</f>
        <v>0</v>
      </c>
      <c r="AX33" s="90">
        <f>IF(AX27=1,0,AX31*'01 Major Assumptions'!$D$151)</f>
        <v>0</v>
      </c>
      <c r="AY33" s="90">
        <f>IF(AY27=1,0,AY31*'01 Major Assumptions'!$D$151)</f>
        <v>0</v>
      </c>
      <c r="AZ33" s="90">
        <f>IF(AZ27=1,0,AZ31*'01 Major Assumptions'!$D$151)</f>
        <v>0</v>
      </c>
      <c r="BA33" s="90">
        <f>IF(BA27=1,0,BA31*'01 Major Assumptions'!$D$151)</f>
        <v>0</v>
      </c>
      <c r="BB33" s="90">
        <f>IF(BB27=1,0,BB31*'01 Major Assumptions'!$D$151)</f>
        <v>0</v>
      </c>
      <c r="BC33" s="90">
        <f>IF(BC27=1,0,BC31*'01 Major Assumptions'!$D$151)</f>
        <v>0</v>
      </c>
      <c r="BD33" s="90">
        <f>IF(BD27=1,0,BD31*'01 Major Assumptions'!$D$151)</f>
        <v>0</v>
      </c>
      <c r="BE33" s="90">
        <f>IF(BE27=1,0,BE31*'01 Major Assumptions'!$D$151)</f>
        <v>0</v>
      </c>
      <c r="BF33" s="90">
        <f>IF(BF27=1,0,BF31*'01 Major Assumptions'!$D$151)</f>
        <v>0</v>
      </c>
      <c r="BG33" s="90">
        <f>IF(BG27=1,0,BG31*'01 Major Assumptions'!$D$151)</f>
        <v>0</v>
      </c>
      <c r="BH33" s="90">
        <f>IF(BH27=1,0,BH31*'01 Major Assumptions'!$D$151)</f>
        <v>0</v>
      </c>
      <c r="BI33" s="90">
        <f>IF(BI27=1,0,BI31*'01 Major Assumptions'!$D$151)</f>
        <v>0</v>
      </c>
      <c r="BJ33" s="90">
        <f>IF(BJ27=1,0,BJ31*'01 Major Assumptions'!$D$151)</f>
        <v>0</v>
      </c>
      <c r="BK33" s="90">
        <f>IF(BK27=1,0,BK31*'01 Major Assumptions'!$D$151)</f>
        <v>0</v>
      </c>
      <c r="BL33" s="90">
        <f>IF(BL27=1,0,BL31*'01 Major Assumptions'!$D$151)</f>
        <v>0</v>
      </c>
      <c r="BM33" s="90">
        <f>IF(BM27=1,0,BM31*'01 Major Assumptions'!$D$151)</f>
        <v>0</v>
      </c>
      <c r="BN33" s="90">
        <f ca="1">IF(BN27=1,0,BN31*'01 Major Assumptions'!$D$151)</f>
        <v>34703342.63666489</v>
      </c>
      <c r="BO33" s="90">
        <f ca="1">IF(BO27=1,0,BO31*'01 Major Assumptions'!$D$151)</f>
        <v>53841594.551076807</v>
      </c>
    </row>
    <row r="34" spans="1:67">
      <c r="A34" s="11"/>
      <c r="B34" s="11"/>
      <c r="C34" s="11"/>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row>
    <row r="35" spans="1:67">
      <c r="A35" s="18" t="s">
        <v>512</v>
      </c>
      <c r="B35" s="18"/>
      <c r="C35" s="18"/>
      <c r="D35" s="39"/>
      <c r="E35" s="39"/>
      <c r="F35" s="39"/>
      <c r="G35" s="39"/>
      <c r="H35" s="39"/>
      <c r="I35" s="39"/>
      <c r="J35" s="39"/>
      <c r="K35" s="39"/>
      <c r="L35" s="39"/>
      <c r="M35" s="39"/>
      <c r="N35" s="39"/>
      <c r="O35" s="39"/>
      <c r="P35" s="39"/>
      <c r="Q35" s="39"/>
      <c r="R35" s="39"/>
      <c r="S35" s="39"/>
      <c r="T35" s="39"/>
      <c r="U35" s="39"/>
      <c r="V35" s="39"/>
      <c r="W35" s="39"/>
      <c r="X35" s="39"/>
      <c r="Y35" s="39"/>
      <c r="Z35" s="39"/>
      <c r="AA35" s="39"/>
      <c r="AB35" s="39"/>
      <c r="AC35" s="39"/>
      <c r="AD35" s="39"/>
      <c r="AE35" s="39"/>
      <c r="AF35" s="39"/>
      <c r="AG35" s="39"/>
      <c r="AH35" s="39"/>
      <c r="AI35" s="39"/>
      <c r="AJ35" s="39"/>
      <c r="AK35" s="39"/>
      <c r="AL35" s="39"/>
      <c r="AM35" s="39"/>
      <c r="AN35" s="39"/>
      <c r="AO35" s="39"/>
      <c r="AP35" s="39"/>
      <c r="AQ35" s="39"/>
      <c r="AR35" s="39"/>
      <c r="AS35" s="39"/>
      <c r="AT35" s="39"/>
      <c r="AU35" s="39"/>
      <c r="AV35" s="39"/>
      <c r="AW35" s="39"/>
      <c r="AX35" s="39"/>
      <c r="AY35" s="39"/>
      <c r="AZ35" s="39"/>
      <c r="BA35" s="39"/>
      <c r="BB35" s="39"/>
      <c r="BC35" s="39"/>
      <c r="BD35" s="39"/>
      <c r="BE35" s="39"/>
      <c r="BF35" s="39"/>
      <c r="BG35" s="39"/>
      <c r="BH35" s="39"/>
      <c r="BI35" s="39"/>
      <c r="BJ35" s="39"/>
      <c r="BK35" s="39"/>
      <c r="BL35" s="39"/>
      <c r="BM35" s="39"/>
      <c r="BN35" s="39"/>
      <c r="BO35" s="39"/>
    </row>
    <row r="36" spans="1:67">
      <c r="A36" s="11"/>
      <c r="B36" s="11" t="s">
        <v>513</v>
      </c>
      <c r="C36" s="11"/>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row>
    <row r="37" spans="1:67">
      <c r="A37" s="11"/>
      <c r="B37" s="11"/>
      <c r="C37" s="11" t="s">
        <v>514</v>
      </c>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c r="BI37" s="33"/>
      <c r="BJ37" s="33"/>
      <c r="BK37" s="33"/>
      <c r="BL37" s="33"/>
      <c r="BM37" s="33"/>
      <c r="BN37" s="33"/>
      <c r="BO37" s="33"/>
    </row>
    <row r="38" spans="1:67">
      <c r="A38" s="11"/>
      <c r="B38" s="11"/>
      <c r="C38" s="11"/>
      <c r="D38" s="11" t="s">
        <v>515</v>
      </c>
      <c r="E38" s="33"/>
      <c r="F38" s="33"/>
      <c r="G38" s="90">
        <f>G85</f>
        <v>500000</v>
      </c>
      <c r="H38" s="90">
        <f t="shared" ref="H38:BI38" si="53">H85</f>
        <v>500000</v>
      </c>
      <c r="I38" s="90">
        <f t="shared" si="53"/>
        <v>500000</v>
      </c>
      <c r="J38" s="90">
        <f t="shared" si="53"/>
        <v>500000</v>
      </c>
      <c r="K38" s="90">
        <f t="shared" si="53"/>
        <v>500000</v>
      </c>
      <c r="L38" s="90">
        <f t="shared" si="53"/>
        <v>500000</v>
      </c>
      <c r="M38" s="90">
        <f t="shared" si="53"/>
        <v>500000</v>
      </c>
      <c r="N38" s="90">
        <f t="shared" si="53"/>
        <v>500000</v>
      </c>
      <c r="O38" s="90">
        <f t="shared" si="53"/>
        <v>500000</v>
      </c>
      <c r="P38" s="90">
        <f t="shared" si="53"/>
        <v>500000</v>
      </c>
      <c r="Q38" s="90">
        <f t="shared" si="53"/>
        <v>500000</v>
      </c>
      <c r="R38" s="90">
        <f t="shared" si="53"/>
        <v>500000</v>
      </c>
      <c r="S38" s="90">
        <f t="shared" si="53"/>
        <v>500000</v>
      </c>
      <c r="T38" s="90">
        <f t="shared" si="53"/>
        <v>500000</v>
      </c>
      <c r="U38" s="90">
        <f t="shared" si="53"/>
        <v>500000</v>
      </c>
      <c r="V38" s="90">
        <f t="shared" si="53"/>
        <v>500000</v>
      </c>
      <c r="W38" s="90">
        <f t="shared" si="53"/>
        <v>500000</v>
      </c>
      <c r="X38" s="90">
        <f t="shared" si="53"/>
        <v>500000</v>
      </c>
      <c r="Y38" s="90">
        <f t="shared" si="53"/>
        <v>500000</v>
      </c>
      <c r="Z38" s="90">
        <f t="shared" si="53"/>
        <v>500000</v>
      </c>
      <c r="AA38" s="90">
        <f t="shared" si="53"/>
        <v>500000</v>
      </c>
      <c r="AB38" s="90">
        <f t="shared" si="53"/>
        <v>500000</v>
      </c>
      <c r="AC38" s="90">
        <f t="shared" si="53"/>
        <v>500000</v>
      </c>
      <c r="AD38" s="90">
        <f t="shared" si="53"/>
        <v>500000</v>
      </c>
      <c r="AE38" s="90">
        <f t="shared" si="53"/>
        <v>500000</v>
      </c>
      <c r="AF38" s="90">
        <f t="shared" si="53"/>
        <v>500000</v>
      </c>
      <c r="AG38" s="90">
        <f t="shared" si="53"/>
        <v>500000</v>
      </c>
      <c r="AH38" s="90">
        <f t="shared" si="53"/>
        <v>500000</v>
      </c>
      <c r="AI38" s="90">
        <f t="shared" si="53"/>
        <v>500000</v>
      </c>
      <c r="AJ38" s="90">
        <f t="shared" si="53"/>
        <v>500000</v>
      </c>
      <c r="AK38" s="90">
        <f t="shared" si="53"/>
        <v>500000</v>
      </c>
      <c r="AL38" s="90">
        <f t="shared" si="53"/>
        <v>500000</v>
      </c>
      <c r="AM38" s="90">
        <f t="shared" si="53"/>
        <v>500000</v>
      </c>
      <c r="AN38" s="90">
        <f t="shared" si="53"/>
        <v>500000</v>
      </c>
      <c r="AO38" s="90">
        <f t="shared" si="53"/>
        <v>500000</v>
      </c>
      <c r="AP38" s="90">
        <f t="shared" si="53"/>
        <v>500000</v>
      </c>
      <c r="AQ38" s="90">
        <f t="shared" si="53"/>
        <v>500000</v>
      </c>
      <c r="AR38" s="90">
        <f t="shared" si="53"/>
        <v>500000</v>
      </c>
      <c r="AS38" s="90">
        <f t="shared" si="53"/>
        <v>21459041.030712649</v>
      </c>
      <c r="AT38" s="90">
        <f t="shared" si="53"/>
        <v>32347811.413072284</v>
      </c>
      <c r="AU38" s="90">
        <f t="shared" si="53"/>
        <v>48606549.209578365</v>
      </c>
      <c r="AV38" s="90">
        <f t="shared" si="53"/>
        <v>59588414.540110096</v>
      </c>
      <c r="AW38" s="90">
        <f t="shared" si="53"/>
        <v>75940781.466152519</v>
      </c>
      <c r="AX38" s="90">
        <f t="shared" si="53"/>
        <v>89677919.123580322</v>
      </c>
      <c r="AY38" s="90">
        <f t="shared" ca="1" si="53"/>
        <v>100799426.87637028</v>
      </c>
      <c r="AZ38" s="90">
        <f t="shared" ca="1" si="53"/>
        <v>117292237.49671727</v>
      </c>
      <c r="BA38" s="90">
        <f t="shared" ca="1" si="53"/>
        <v>128506840.1976794</v>
      </c>
      <c r="BB38" s="90">
        <f t="shared" ca="1" si="53"/>
        <v>145093279.94756278</v>
      </c>
      <c r="BC38" s="90">
        <f t="shared" ca="1" si="53"/>
        <v>157543249.5274702</v>
      </c>
      <c r="BD38" s="90">
        <f t="shared" ca="1" si="53"/>
        <v>163387864.5560039</v>
      </c>
      <c r="BE38" s="90">
        <f t="shared" ca="1" si="53"/>
        <v>186758922.12003058</v>
      </c>
      <c r="BF38" s="90">
        <f t="shared" ca="1" si="53"/>
        <v>198717358.53872833</v>
      </c>
      <c r="BG38" s="90">
        <f t="shared" ca="1" si="53"/>
        <v>216161132.04824322</v>
      </c>
      <c r="BH38" s="90">
        <f t="shared" ca="1" si="53"/>
        <v>228212567.03211629</v>
      </c>
      <c r="BI38" s="90">
        <f t="shared" ca="1" si="53"/>
        <v>376476331.8802197</v>
      </c>
      <c r="BJ38" s="90">
        <f t="shared" ref="BJ38:BO38" ca="1" si="54">BJ85</f>
        <v>475302300.03478366</v>
      </c>
      <c r="BK38" s="90">
        <f t="shared" ca="1" si="54"/>
        <v>581945124.0021683</v>
      </c>
      <c r="BL38" s="90">
        <f t="shared" ca="1" si="54"/>
        <v>690054293.49789166</v>
      </c>
      <c r="BM38" s="90">
        <f t="shared" ca="1" si="54"/>
        <v>804012826.85955906</v>
      </c>
      <c r="BN38" s="90">
        <f t="shared" ca="1" si="54"/>
        <v>996785697.31151521</v>
      </c>
      <c r="BO38" s="90">
        <f t="shared" ca="1" si="54"/>
        <v>1183601460.3055732</v>
      </c>
    </row>
    <row r="39" spans="1:67">
      <c r="A39" s="11"/>
      <c r="B39" s="11"/>
      <c r="C39" s="11"/>
      <c r="D39" s="11" t="s">
        <v>0</v>
      </c>
      <c r="E39" s="33"/>
      <c r="F39" s="33"/>
      <c r="G39" s="90">
        <f>'06 Debt &amp; WC'!G$45</f>
        <v>0</v>
      </c>
      <c r="H39" s="90">
        <f>'06 Debt &amp; WC'!H$45</f>
        <v>0</v>
      </c>
      <c r="I39" s="90">
        <f>'06 Debt &amp; WC'!I$45</f>
        <v>0</v>
      </c>
      <c r="J39" s="90">
        <f>'06 Debt &amp; WC'!J$45</f>
        <v>0</v>
      </c>
      <c r="K39" s="90">
        <f>'06 Debt &amp; WC'!K$45</f>
        <v>0</v>
      </c>
      <c r="L39" s="90">
        <f>'06 Debt &amp; WC'!L$45</f>
        <v>0</v>
      </c>
      <c r="M39" s="90">
        <f>'06 Debt &amp; WC'!M$45</f>
        <v>0</v>
      </c>
      <c r="N39" s="90">
        <f>'06 Debt &amp; WC'!N$45</f>
        <v>0</v>
      </c>
      <c r="O39" s="90">
        <f>'06 Debt &amp; WC'!O$45</f>
        <v>0</v>
      </c>
      <c r="P39" s="90">
        <f>'06 Debt &amp; WC'!P$45</f>
        <v>0</v>
      </c>
      <c r="Q39" s="90">
        <f>'06 Debt &amp; WC'!Q$45</f>
        <v>0</v>
      </c>
      <c r="R39" s="90">
        <f>'06 Debt &amp; WC'!R$45</f>
        <v>0</v>
      </c>
      <c r="S39" s="90">
        <f>'06 Debt &amp; WC'!S$45</f>
        <v>0</v>
      </c>
      <c r="T39" s="90">
        <f>'06 Debt &amp; WC'!T$45</f>
        <v>0</v>
      </c>
      <c r="U39" s="90">
        <f>'06 Debt &amp; WC'!U$45</f>
        <v>0</v>
      </c>
      <c r="V39" s="90">
        <f>'06 Debt &amp; WC'!V$45</f>
        <v>0</v>
      </c>
      <c r="W39" s="90">
        <f>'06 Debt &amp; WC'!W$45</f>
        <v>0</v>
      </c>
      <c r="X39" s="90">
        <f>'06 Debt &amp; WC'!X$45</f>
        <v>0</v>
      </c>
      <c r="Y39" s="90">
        <f>'06 Debt &amp; WC'!Y$45</f>
        <v>0</v>
      </c>
      <c r="Z39" s="90">
        <f>'06 Debt &amp; WC'!Z$45</f>
        <v>0</v>
      </c>
      <c r="AA39" s="90">
        <f>'06 Debt &amp; WC'!AA$45</f>
        <v>0</v>
      </c>
      <c r="AB39" s="90">
        <f>'06 Debt &amp; WC'!AB$45</f>
        <v>18833612.189803142</v>
      </c>
      <c r="AC39" s="90">
        <f>'06 Debt &amp; WC'!AC$45</f>
        <v>25786354.023205463</v>
      </c>
      <c r="AD39" s="90">
        <f>'06 Debt &amp; WC'!AD$45</f>
        <v>31075460.113175184</v>
      </c>
      <c r="AE39" s="90">
        <f>'06 Debt &amp; WC'!AE$45</f>
        <v>38015015.500874251</v>
      </c>
      <c r="AF39" s="90">
        <f>'06 Debt &amp; WC'!AF$45</f>
        <v>49013934.994798064</v>
      </c>
      <c r="AG39" s="90">
        <f>'06 Debt &amp; WC'!AG$45</f>
        <v>50526286.425212592</v>
      </c>
      <c r="AH39" s="90">
        <f>'06 Debt &amp; WC'!AH$45</f>
        <v>58674652.616961151</v>
      </c>
      <c r="AI39" s="90">
        <f>'06 Debt &amp; WC'!AI$45</f>
        <v>63037557.34955094</v>
      </c>
      <c r="AJ39" s="90">
        <f>'06 Debt &amp; WC'!AJ$45</f>
        <v>71602965.905444145</v>
      </c>
      <c r="AK39" s="90">
        <f>'06 Debt &amp; WC'!AK$45</f>
        <v>75548828.273889288</v>
      </c>
      <c r="AL39" s="90">
        <f>'06 Debt &amp; WC'!AL$45</f>
        <v>81804463.736058459</v>
      </c>
      <c r="AM39" s="90">
        <f>'06 Debt &amp; WC'!AM$45</f>
        <v>90995435.838168591</v>
      </c>
      <c r="AN39" s="90">
        <f>'06 Debt &amp; WC'!AN$45</f>
        <v>94315734.660396844</v>
      </c>
      <c r="AO39" s="90">
        <f>'06 Debt &amp; WC'!AO$45</f>
        <v>97459592.482410058</v>
      </c>
      <c r="AP39" s="90">
        <f>'06 Debt &amp; WC'!AP$45</f>
        <v>94315734.660396844</v>
      </c>
      <c r="AQ39" s="90">
        <f>'06 Debt &amp; WC'!AQ$45</f>
        <v>96391653.130888</v>
      </c>
      <c r="AR39" s="90">
        <f>'06 Debt &amp; WC'!AR$45</f>
        <v>106719330.25205457</v>
      </c>
      <c r="AS39" s="90">
        <f>'06 Debt &amp; WC'!AS$45</f>
        <v>96391653.130888</v>
      </c>
      <c r="AT39" s="90">
        <f>'06 Debt &amp; WC'!AT$45</f>
        <v>99604708.235250935</v>
      </c>
      <c r="AU39" s="90">
        <f>'06 Debt &amp; WC'!AU$45</f>
        <v>96391653.130888</v>
      </c>
      <c r="AV39" s="90">
        <f>'06 Debt &amp; WC'!AV$45</f>
        <v>99604708.235250935</v>
      </c>
      <c r="AW39" s="90">
        <f>'06 Debt &amp; WC'!AW$45</f>
        <v>96391653.130888</v>
      </c>
      <c r="AX39" s="90">
        <f>'06 Debt &amp; WC'!AX$45</f>
        <v>96391653.130888</v>
      </c>
      <c r="AY39" s="90">
        <f>'06 Debt &amp; WC'!AY$45</f>
        <v>99604708.235250935</v>
      </c>
      <c r="AZ39" s="90">
        <f>'06 Debt &amp; WC'!AZ$45</f>
        <v>96391653.130888</v>
      </c>
      <c r="BA39" s="90">
        <f>'06 Debt &amp; WC'!BA$45</f>
        <v>99604708.235250935</v>
      </c>
      <c r="BB39" s="90">
        <f>'06 Debt &amp; WC'!BB$45</f>
        <v>96391653.130888</v>
      </c>
      <c r="BC39" s="90">
        <f>'06 Debt &amp; WC'!BC$45</f>
        <v>98513450.857666522</v>
      </c>
      <c r="BD39" s="90">
        <f>'06 Debt &amp; WC'!BD$45</f>
        <v>109068463.44955936</v>
      </c>
      <c r="BE39" s="90">
        <f>'06 Debt &amp; WC'!BE$45</f>
        <v>98513450.857666522</v>
      </c>
      <c r="BF39" s="90">
        <f>'06 Debt &amp; WC'!BF$45</f>
        <v>101797232.55292207</v>
      </c>
      <c r="BG39" s="90">
        <f>'06 Debt &amp; WC'!BG$45</f>
        <v>98513450.857666522</v>
      </c>
      <c r="BH39" s="90">
        <f>'06 Debt &amp; WC'!BH$45</f>
        <v>101797232.55292207</v>
      </c>
      <c r="BI39" s="90">
        <f>'06 Debt &amp; WC'!BI$45</f>
        <v>102332672.70537525</v>
      </c>
      <c r="BJ39" s="90">
        <f>'06 Debt &amp; WC'!BJ$45</f>
        <v>104872179.51421906</v>
      </c>
      <c r="BK39" s="90">
        <f>'06 Debt &amp; WC'!BK$45</f>
        <v>107181264.00239544</v>
      </c>
      <c r="BL39" s="90">
        <f>'06 Debt &amp; WC'!BL$45</f>
        <v>109541397.92098689</v>
      </c>
      <c r="BM39" s="90">
        <f>'06 Debt &amp; WC'!BM$45</f>
        <v>111647829.75156392</v>
      </c>
      <c r="BN39" s="90">
        <f>'06 Debt &amp; WC'!BN$45</f>
        <v>114419371.06995578</v>
      </c>
      <c r="BO39" s="90">
        <f>'06 Debt &amp; WC'!BO$45</f>
        <v>116196458.15851577</v>
      </c>
    </row>
    <row r="40" spans="1:67">
      <c r="A40" s="11"/>
      <c r="B40" s="11"/>
      <c r="C40" s="11"/>
      <c r="D40" s="11" t="s">
        <v>516</v>
      </c>
      <c r="E40" s="33"/>
      <c r="F40" s="33"/>
      <c r="G40" s="90">
        <f>'06 Debt &amp; WC'!G$48+'06 Debt &amp; WC'!G$49+'06 Debt &amp; WC'!G$50</f>
        <v>14419.354838709678</v>
      </c>
      <c r="H40" s="90">
        <f>'06 Debt &amp; WC'!H$48+'06 Debt &amp; WC'!H$49+'06 Debt &amp; WC'!H$50</f>
        <v>15964.285714285714</v>
      </c>
      <c r="I40" s="90">
        <f>'06 Debt &amp; WC'!I$48+'06 Debt &amp; WC'!I$49+'06 Debt &amp; WC'!I$50</f>
        <v>14419.354838709678</v>
      </c>
      <c r="J40" s="90">
        <f>'06 Debt &amp; WC'!J$48+'06 Debt &amp; WC'!J$49+'06 Debt &amp; WC'!J$50</f>
        <v>14900</v>
      </c>
      <c r="K40" s="90">
        <f>'06 Debt &amp; WC'!K$48+'06 Debt &amp; WC'!K$49+'06 Debt &amp; WC'!K$50</f>
        <v>14419.354838709678</v>
      </c>
      <c r="L40" s="90">
        <f>'06 Debt &amp; WC'!L$48+'06 Debt &amp; WC'!L$49+'06 Debt &amp; WC'!L$50</f>
        <v>14900</v>
      </c>
      <c r="M40" s="90">
        <f>'06 Debt &amp; WC'!M$48+'06 Debt &amp; WC'!M$49+'06 Debt &amp; WC'!M$50</f>
        <v>14419.354838709678</v>
      </c>
      <c r="N40" s="90">
        <f>'06 Debt &amp; WC'!N$48+'06 Debt &amp; WC'!N$49+'06 Debt &amp; WC'!N$50</f>
        <v>14419.354838709678</v>
      </c>
      <c r="O40" s="90">
        <f>'06 Debt &amp; WC'!O$48+'06 Debt &amp; WC'!O$49+'06 Debt &amp; WC'!O$50</f>
        <v>14900</v>
      </c>
      <c r="P40" s="90">
        <f>'06 Debt &amp; WC'!P$48+'06 Debt &amp; WC'!P$49+'06 Debt &amp; WC'!P$50</f>
        <v>14419.354838709678</v>
      </c>
      <c r="Q40" s="90">
        <f>'06 Debt &amp; WC'!Q$48+'06 Debt &amp; WC'!Q$49+'06 Debt &amp; WC'!Q$50</f>
        <v>14900</v>
      </c>
      <c r="R40" s="90">
        <f>'06 Debt &amp; WC'!R$48+'06 Debt &amp; WC'!R$49+'06 Debt &amp; WC'!R$50</f>
        <v>14419.354838709678</v>
      </c>
      <c r="S40" s="90">
        <f>'06 Debt &amp; WC'!S$48+'06 Debt &amp; WC'!S$49+'06 Debt &amp; WC'!S$50</f>
        <v>14707.741935483871</v>
      </c>
      <c r="T40" s="90">
        <f>'06 Debt &amp; WC'!T$48+'06 Debt &amp; WC'!T$49+'06 Debt &amp; WC'!T$50</f>
        <v>15722.068965517241</v>
      </c>
      <c r="U40" s="90">
        <f>'06 Debt &amp; WC'!U$48+'06 Debt &amp; WC'!U$49+'06 Debt &amp; WC'!U$50</f>
        <v>14707.741935483871</v>
      </c>
      <c r="V40" s="90">
        <f>'06 Debt &amp; WC'!V$48+'06 Debt &amp; WC'!V$49+'06 Debt &amp; WC'!V$50</f>
        <v>15198</v>
      </c>
      <c r="W40" s="90">
        <f>'06 Debt &amp; WC'!W$48+'06 Debt &amp; WC'!W$49+'06 Debt &amp; WC'!W$50</f>
        <v>14707.741935483871</v>
      </c>
      <c r="X40" s="90">
        <f>'06 Debt &amp; WC'!X$48+'06 Debt &amp; WC'!X$49+'06 Debt &amp; WC'!X$50</f>
        <v>15198</v>
      </c>
      <c r="Y40" s="90">
        <f>'06 Debt &amp; WC'!Y$48+'06 Debt &amp; WC'!Y$49+'06 Debt &amp; WC'!Y$50</f>
        <v>14707.741935483871</v>
      </c>
      <c r="Z40" s="90">
        <f>'06 Debt &amp; WC'!Z$48+'06 Debt &amp; WC'!Z$49+'06 Debt &amp; WC'!Z$50</f>
        <v>14707.741935483871</v>
      </c>
      <c r="AA40" s="90">
        <f>'06 Debt &amp; WC'!AA$48+'06 Debt &amp; WC'!AA$49+'06 Debt &amp; WC'!AA$50</f>
        <v>15198</v>
      </c>
      <c r="AB40" s="90">
        <f>'06 Debt &amp; WC'!AB$48+'06 Debt &amp; WC'!AB$49+'06 Debt &amp; WC'!AB$50</f>
        <v>34715735.887434848</v>
      </c>
      <c r="AC40" s="90">
        <f>'06 Debt &amp; WC'!AC$48+'06 Debt &amp; WC'!AC$49+'06 Debt &amp; WC'!AC$50</f>
        <v>27723362.439131729</v>
      </c>
      <c r="AD40" s="90">
        <f>'06 Debt &amp; WC'!AD$48+'06 Debt &amp; WC'!AD$49+'06 Debt &amp; WC'!AD$50</f>
        <v>28184885.409772813</v>
      </c>
      <c r="AE40" s="90">
        <f>'06 Debt &amp; WC'!AE$48+'06 Debt &amp; WC'!AE$49+'06 Debt &amp; WC'!AE$50</f>
        <v>29627523.89960153</v>
      </c>
      <c r="AF40" s="90">
        <f>'06 Debt &amp; WC'!AF$48+'06 Debt &amp; WC'!AF$49+'06 Debt &amp; WC'!AF$50</f>
        <v>31873534.700071782</v>
      </c>
      <c r="AG40" s="90">
        <f>'06 Debt &amp; WC'!AG$48+'06 Debt &amp; WC'!AG$49+'06 Debt &amp; WC'!AG$50</f>
        <v>31286998.639365908</v>
      </c>
      <c r="AH40" s="90">
        <f>'06 Debt &amp; WC'!AH$48+'06 Debt &amp; WC'!AH$49+'06 Debt &amp; WC'!AH$50</f>
        <v>32612670.234534308</v>
      </c>
      <c r="AI40" s="90">
        <f>'06 Debt &amp; WC'!AI$48+'06 Debt &amp; WC'!AI$49+'06 Debt &amp; WC'!AI$50</f>
        <v>32946473.379130282</v>
      </c>
      <c r="AJ40" s="90">
        <f>'06 Debt &amp; WC'!AJ$48+'06 Debt &amp; WC'!AJ$49+'06 Debt &amp; WC'!AJ$50</f>
        <v>34327460.798957504</v>
      </c>
      <c r="AK40" s="90">
        <f>'06 Debt &amp; WC'!AK$48+'06 Debt &amp; WC'!AK$49+'06 Debt &amp; WC'!AK$50</f>
        <v>34605948.118894666</v>
      </c>
      <c r="AL40" s="90">
        <f>'06 Debt &amp; WC'!AL$48+'06 Debt &amp; WC'!AL$49+'06 Debt &amp; WC'!AL$50</f>
        <v>35435685.488776855</v>
      </c>
      <c r="AM40" s="90">
        <f>'06 Debt &amp; WC'!AM$48+'06 Debt &amp; WC'!AM$49+'06 Debt &amp; WC'!AM$50</f>
        <v>36899646.645592295</v>
      </c>
      <c r="AN40" s="90">
        <f>'06 Debt &amp; WC'!AN$48+'06 Debt &amp; WC'!AN$49+'06 Debt &amp; WC'!AN$50</f>
        <v>37095160.228541225</v>
      </c>
      <c r="AO40" s="90">
        <f>'06 Debt &amp; WC'!AO$48+'06 Debt &amp; WC'!AO$49+'06 Debt &amp; WC'!AO$50</f>
        <v>37766286.584053881</v>
      </c>
      <c r="AP40" s="90">
        <f>'06 Debt &amp; WC'!AP$48+'06 Debt &amp; WC'!AP$49+'06 Debt &amp; WC'!AP$50</f>
        <v>37113053.111605749</v>
      </c>
      <c r="AQ40" s="90">
        <f>'06 Debt &amp; WC'!AQ$48+'06 Debt &amp; WC'!AQ$49+'06 Debt &amp; WC'!AQ$50</f>
        <v>37930320.161733061</v>
      </c>
      <c r="AR40" s="90">
        <f>'06 Debt &amp; WC'!AR$48+'06 Debt &amp; WC'!AR$49+'06 Debt &amp; WC'!AR$50</f>
        <v>40115118.717999764</v>
      </c>
      <c r="AS40" s="90">
        <f>'06 Debt &amp; WC'!AS$48+'06 Debt &amp; WC'!AS$49+'06 Debt &amp; WC'!AS$50</f>
        <v>37948391.973628223</v>
      </c>
      <c r="AT40" s="90">
        <f>'06 Debt &amp; WC'!AT$48+'06 Debt &amp; WC'!AT$49+'06 Debt &amp; WC'!AT$50</f>
        <v>38634934.208960474</v>
      </c>
      <c r="AU40" s="90">
        <f>'06 Debt &amp; WC'!AU$48+'06 Debt &amp; WC'!AU$49+'06 Debt &amp; WC'!AU$50</f>
        <v>37966463.785523385</v>
      </c>
      <c r="AV40" s="90">
        <f>'06 Debt &amp; WC'!AV$48+'06 Debt &amp; WC'!AV$49+'06 Debt &amp; WC'!AV$50</f>
        <v>38653608.414585479</v>
      </c>
      <c r="AW40" s="90">
        <f>'06 Debt &amp; WC'!AW$48+'06 Debt &amp; WC'!AW$49+'06 Debt &amp; WC'!AW$50</f>
        <v>37984535.597418539</v>
      </c>
      <c r="AX40" s="90">
        <f>'06 Debt &amp; WC'!AX$48+'06 Debt &amp; WC'!AX$49+'06 Debt &amp; WC'!AX$50</f>
        <v>37993571.50336612</v>
      </c>
      <c r="AY40" s="90">
        <f>'06 Debt &amp; WC'!AY$48+'06 Debt &amp; WC'!AY$49+'06 Debt &amp; WC'!AY$50</f>
        <v>38681619.723022975</v>
      </c>
      <c r="AZ40" s="90">
        <f>'06 Debt &amp; WC'!AZ$48+'06 Debt &amp; WC'!AZ$49+'06 Debt &amp; WC'!AZ$50</f>
        <v>38011643.315261282</v>
      </c>
      <c r="BA40" s="90">
        <f>'06 Debt &amp; WC'!BA$48+'06 Debt &amp; WC'!BA$49+'06 Debt &amp; WC'!BA$50</f>
        <v>38700293.92864798</v>
      </c>
      <c r="BB40" s="90">
        <f>'06 Debt &amp; WC'!BB$48+'06 Debt &amp; WC'!BB$49+'06 Debt &amp; WC'!BB$50</f>
        <v>38029715.127156451</v>
      </c>
      <c r="BC40" s="90">
        <f>'06 Debt &amp; WC'!BC$48+'06 Debt &amp; WC'!BC$49+'06 Debt &amp; WC'!BC$50</f>
        <v>38867956.321405008</v>
      </c>
      <c r="BD40" s="90">
        <f>'06 Debt &amp; WC'!BD$48+'06 Debt &amp; WC'!BD$49+'06 Debt &amp; WC'!BD$50</f>
        <v>41110188.71974647</v>
      </c>
      <c r="BE40" s="90">
        <f>'06 Debt &amp; WC'!BE$48+'06 Debt &amp; WC'!BE$49+'06 Debt &amp; WC'!BE$50</f>
        <v>38886208.851419128</v>
      </c>
      <c r="BF40" s="90">
        <f>'06 Debt &amp; WC'!BF$48+'06 Debt &amp; WC'!BF$49+'06 Debt &amp; WC'!BF$50</f>
        <v>39590687.664464027</v>
      </c>
      <c r="BG40" s="90">
        <f>'06 Debt &amp; WC'!BG$48+'06 Debt &amp; WC'!BG$49+'06 Debt &amp; WC'!BG$50</f>
        <v>38904461.381433234</v>
      </c>
      <c r="BH40" s="90">
        <f>'06 Debt &amp; WC'!BH$48+'06 Debt &amp; WC'!BH$49+'06 Debt &amp; WC'!BH$50</f>
        <v>39609548.612145275</v>
      </c>
      <c r="BI40" s="90">
        <f>'06 Debt &amp; WC'!BI$48+'06 Debt &amp; WC'!BI$49+'06 Debt &amp; WC'!BI$50</f>
        <v>40240886.680763505</v>
      </c>
      <c r="BJ40" s="90">
        <f>'06 Debt &amp; WC'!BJ$48+'06 Debt &amp; WC'!BJ$49+'06 Debt &amp; WC'!BJ$50</f>
        <v>41295175.929379947</v>
      </c>
      <c r="BK40" s="90">
        <f>'06 Debt &amp; WC'!BK$48+'06 Debt &amp; WC'!BK$49+'06 Debt &amp; WC'!BK$50</f>
        <v>42313800.60950911</v>
      </c>
      <c r="BL40" s="90">
        <f>'06 Debt &amp; WC'!BL$48+'06 Debt &amp; WC'!BL$49+'06 Debt &amp; WC'!BL$50</f>
        <v>43357122.387341671</v>
      </c>
      <c r="BM40" s="90">
        <f>'06 Debt &amp; WC'!BM$48+'06 Debt &amp; WC'!BM$49+'06 Debt &amp; WC'!BM$50</f>
        <v>44359594.021282688</v>
      </c>
      <c r="BN40" s="90">
        <f>'06 Debt &amp; WC'!BN$48+'06 Debt &amp; WC'!BN$49+'06 Debt &amp; WC'!BN$50</f>
        <v>45537077.445719093</v>
      </c>
      <c r="BO40" s="90">
        <f>'06 Debt &amp; WC'!BO$48+'06 Debt &amp; WC'!BO$49+'06 Debt &amp; WC'!BO$50</f>
        <v>46624248.77727662</v>
      </c>
    </row>
    <row r="41" spans="1:67">
      <c r="A41" s="11"/>
      <c r="B41" s="11"/>
      <c r="C41" s="11"/>
      <c r="D41" s="11" t="s">
        <v>468</v>
      </c>
      <c r="E41" s="33"/>
      <c r="F41" s="33"/>
      <c r="G41" s="90">
        <f>'06 Debt &amp; WC'!G$51</f>
        <v>0</v>
      </c>
      <c r="H41" s="90">
        <f>'06 Debt &amp; WC'!H$51</f>
        <v>0</v>
      </c>
      <c r="I41" s="90">
        <f>'06 Debt &amp; WC'!I$51</f>
        <v>0</v>
      </c>
      <c r="J41" s="90">
        <f>'06 Debt &amp; WC'!J$51</f>
        <v>0</v>
      </c>
      <c r="K41" s="90">
        <f>'06 Debt &amp; WC'!K$51</f>
        <v>0</v>
      </c>
      <c r="L41" s="90">
        <f>'06 Debt &amp; WC'!L$51</f>
        <v>0</v>
      </c>
      <c r="M41" s="90">
        <f>'06 Debt &amp; WC'!M$51</f>
        <v>0</v>
      </c>
      <c r="N41" s="90">
        <f>'06 Debt &amp; WC'!N$51</f>
        <v>0</v>
      </c>
      <c r="O41" s="90">
        <f>'06 Debt &amp; WC'!O$51</f>
        <v>0</v>
      </c>
      <c r="P41" s="90">
        <f>'06 Debt &amp; WC'!P$51</f>
        <v>0</v>
      </c>
      <c r="Q41" s="90">
        <f>'06 Debt &amp; WC'!Q$51</f>
        <v>0</v>
      </c>
      <c r="R41" s="90">
        <f>'06 Debt &amp; WC'!R$51</f>
        <v>0</v>
      </c>
      <c r="S41" s="90">
        <f>'06 Debt &amp; WC'!S$51</f>
        <v>0</v>
      </c>
      <c r="T41" s="90">
        <f>'06 Debt &amp; WC'!T$51</f>
        <v>0</v>
      </c>
      <c r="U41" s="90">
        <f>'06 Debt &amp; WC'!U$51</f>
        <v>0</v>
      </c>
      <c r="V41" s="90">
        <f>'06 Debt &amp; WC'!V$51</f>
        <v>0</v>
      </c>
      <c r="W41" s="90">
        <f>'06 Debt &amp; WC'!W$51</f>
        <v>0</v>
      </c>
      <c r="X41" s="90">
        <f>'06 Debt &amp; WC'!X$51</f>
        <v>0</v>
      </c>
      <c r="Y41" s="90">
        <f>'06 Debt &amp; WC'!Y$51</f>
        <v>0</v>
      </c>
      <c r="Z41" s="90">
        <f>'06 Debt &amp; WC'!Z$51</f>
        <v>0</v>
      </c>
      <c r="AA41" s="90">
        <f>'06 Debt &amp; WC'!AA$51</f>
        <v>0</v>
      </c>
      <c r="AB41" s="90">
        <f>'06 Debt &amp; WC'!AB$51</f>
        <v>259485.32350395442</v>
      </c>
      <c r="AC41" s="90">
        <f>'06 Debt &amp; WC'!AC$51</f>
        <v>343818.05364273948</v>
      </c>
      <c r="AD41" s="90">
        <f>'06 Debt &amp; WC'!AD$51</f>
        <v>428150.78378152475</v>
      </c>
      <c r="AE41" s="90">
        <f>'06 Debt &amp; WC'!AE$51</f>
        <v>523762.43578982301</v>
      </c>
      <c r="AF41" s="90">
        <f>'06 Debt &amp; WC'!AF$51</f>
        <v>609951.1910463759</v>
      </c>
      <c r="AG41" s="90">
        <f>'06 Debt &amp; WC'!AG$51</f>
        <v>696139.94630292908</v>
      </c>
      <c r="AH41" s="90">
        <f>'06 Debt &amp; WC'!AH$51</f>
        <v>782328.70155948203</v>
      </c>
      <c r="AI41" s="90">
        <f>'06 Debt &amp; WC'!AI$51</f>
        <v>868517.45681603521</v>
      </c>
      <c r="AJ41" s="90">
        <f>'06 Debt &amp; WC'!AJ$51</f>
        <v>954706.2120725885</v>
      </c>
      <c r="AK41" s="90">
        <f>'06 Debt &amp; WC'!AK$51</f>
        <v>1040894.9673291416</v>
      </c>
      <c r="AL41" s="90">
        <f>'06 Debt &amp; WC'!AL$51</f>
        <v>1127083.7225856944</v>
      </c>
      <c r="AM41" s="90">
        <f>'06 Debt &amp; WC'!AM$51</f>
        <v>1213272.4778422478</v>
      </c>
      <c r="AN41" s="90">
        <f>'06 Debt &amp; WC'!AN$51</f>
        <v>1299461.2330988008</v>
      </c>
      <c r="AO41" s="90">
        <f>'06 Debt &amp; WC'!AO$51</f>
        <v>1299461.2330988008</v>
      </c>
      <c r="AP41" s="90">
        <f>'06 Debt &amp; WC'!AP$51</f>
        <v>1299461.2330988008</v>
      </c>
      <c r="AQ41" s="90">
        <f>'06 Debt &amp; WC'!AQ$51</f>
        <v>1328062.7764700125</v>
      </c>
      <c r="AR41" s="90">
        <f>'06 Debt &amp; WC'!AR$51</f>
        <v>1328062.7764700125</v>
      </c>
      <c r="AS41" s="90">
        <f>'06 Debt &amp; WC'!AS$51</f>
        <v>1328062.7764700125</v>
      </c>
      <c r="AT41" s="90">
        <f>'06 Debt &amp; WC'!AT$51</f>
        <v>1328062.7764700125</v>
      </c>
      <c r="AU41" s="90">
        <f>'06 Debt &amp; WC'!AU$51</f>
        <v>1328062.7764700125</v>
      </c>
      <c r="AV41" s="90">
        <f>'06 Debt &amp; WC'!AV$51</f>
        <v>1328062.7764700125</v>
      </c>
      <c r="AW41" s="90">
        <f>'06 Debt &amp; WC'!AW$51</f>
        <v>1328062.7764700125</v>
      </c>
      <c r="AX41" s="90">
        <f>'06 Debt &amp; WC'!AX$51</f>
        <v>1328062.7764700125</v>
      </c>
      <c r="AY41" s="90">
        <f>'06 Debt &amp; WC'!AY$51</f>
        <v>1328062.7764700125</v>
      </c>
      <c r="AZ41" s="90">
        <f>'06 Debt &amp; WC'!AZ$51</f>
        <v>1328062.7764700125</v>
      </c>
      <c r="BA41" s="90">
        <f>'06 Debt &amp; WC'!BA$51</f>
        <v>1328062.7764700125</v>
      </c>
      <c r="BB41" s="90">
        <f>'06 Debt &amp; WC'!BB$51</f>
        <v>1328062.7764700125</v>
      </c>
      <c r="BC41" s="90">
        <f>'06 Debt &amp; WC'!BC$51</f>
        <v>1357296.4340389611</v>
      </c>
      <c r="BD41" s="90">
        <f>'06 Debt &amp; WC'!BD$51</f>
        <v>1357296.4340389611</v>
      </c>
      <c r="BE41" s="90">
        <f>'06 Debt &amp; WC'!BE$51</f>
        <v>1357296.4340389611</v>
      </c>
      <c r="BF41" s="90">
        <f>'06 Debt &amp; WC'!BF$51</f>
        <v>1357296.4340389611</v>
      </c>
      <c r="BG41" s="90">
        <f>'06 Debt &amp; WC'!BG$51</f>
        <v>1357296.4340389611</v>
      </c>
      <c r="BH41" s="90">
        <f>'06 Debt &amp; WC'!BH$51</f>
        <v>1357296.4340389611</v>
      </c>
      <c r="BI41" s="90">
        <f>'06 Debt &amp; WC'!BI$51</f>
        <v>16646114.760074375</v>
      </c>
      <c r="BJ41" s="90">
        <f>'06 Debt &amp; WC'!BJ$51</f>
        <v>17012598.010084424</v>
      </c>
      <c r="BK41" s="90">
        <f>'06 Debt &amp; WC'!BK$51</f>
        <v>17387182.827055261</v>
      </c>
      <c r="BL41" s="90">
        <f>'06 Debt &amp; WC'!BL$51</f>
        <v>17770048.996071208</v>
      </c>
      <c r="BM41" s="90">
        <f>'06 Debt &amp; WC'!BM$51</f>
        <v>18161380.306254398</v>
      </c>
      <c r="BN41" s="90">
        <f>'06 Debt &amp; WC'!BN$51</f>
        <v>18561364.640237268</v>
      </c>
      <c r="BO41" s="90">
        <f>'06 Debt &amp; WC'!BO$51</f>
        <v>18849647.656825893</v>
      </c>
    </row>
    <row r="42" spans="1:67">
      <c r="A42" s="11"/>
      <c r="B42" s="22"/>
      <c r="C42" s="22" t="s">
        <v>517</v>
      </c>
      <c r="D42" s="33"/>
      <c r="E42" s="33"/>
      <c r="F42" s="33"/>
      <c r="G42" s="89">
        <f>SUM(G38:G41)</f>
        <v>514419.3548387097</v>
      </c>
      <c r="H42" s="89">
        <f t="shared" ref="H42:BI42" si="55">SUM(H38:H41)</f>
        <v>515964.28571428574</v>
      </c>
      <c r="I42" s="89">
        <f t="shared" si="55"/>
        <v>514419.3548387097</v>
      </c>
      <c r="J42" s="89">
        <f t="shared" si="55"/>
        <v>514900</v>
      </c>
      <c r="K42" s="89">
        <f t="shared" si="55"/>
        <v>514419.3548387097</v>
      </c>
      <c r="L42" s="89">
        <f t="shared" si="55"/>
        <v>514900</v>
      </c>
      <c r="M42" s="89">
        <f t="shared" si="55"/>
        <v>514419.3548387097</v>
      </c>
      <c r="N42" s="89">
        <f t="shared" si="55"/>
        <v>514419.3548387097</v>
      </c>
      <c r="O42" s="89">
        <f t="shared" si="55"/>
        <v>514900</v>
      </c>
      <c r="P42" s="89">
        <f t="shared" si="55"/>
        <v>514419.3548387097</v>
      </c>
      <c r="Q42" s="89">
        <f t="shared" si="55"/>
        <v>514900</v>
      </c>
      <c r="R42" s="89">
        <f t="shared" si="55"/>
        <v>514419.3548387097</v>
      </c>
      <c r="S42" s="89">
        <f t="shared" si="55"/>
        <v>514707.74193548388</v>
      </c>
      <c r="T42" s="89">
        <f t="shared" si="55"/>
        <v>515722.06896551722</v>
      </c>
      <c r="U42" s="89">
        <f t="shared" si="55"/>
        <v>514707.74193548388</v>
      </c>
      <c r="V42" s="89">
        <f t="shared" si="55"/>
        <v>515198</v>
      </c>
      <c r="W42" s="89">
        <f t="shared" si="55"/>
        <v>514707.74193548388</v>
      </c>
      <c r="X42" s="89">
        <f t="shared" si="55"/>
        <v>515198</v>
      </c>
      <c r="Y42" s="89">
        <f t="shared" si="55"/>
        <v>514707.74193548388</v>
      </c>
      <c r="Z42" s="89">
        <f t="shared" si="55"/>
        <v>514707.74193548388</v>
      </c>
      <c r="AA42" s="89">
        <f t="shared" si="55"/>
        <v>515198</v>
      </c>
      <c r="AB42" s="89">
        <f t="shared" si="55"/>
        <v>54308833.40074195</v>
      </c>
      <c r="AC42" s="89">
        <f t="shared" si="55"/>
        <v>54353534.515979938</v>
      </c>
      <c r="AD42" s="89">
        <f t="shared" si="55"/>
        <v>60188496.306729525</v>
      </c>
      <c r="AE42" s="89">
        <f t="shared" si="55"/>
        <v>68666301.836265609</v>
      </c>
      <c r="AF42" s="89">
        <f t="shared" si="55"/>
        <v>81997420.885916218</v>
      </c>
      <c r="AG42" s="89">
        <f t="shared" si="55"/>
        <v>83009425.010881439</v>
      </c>
      <c r="AH42" s="89">
        <f t="shared" si="55"/>
        <v>92569651.553054944</v>
      </c>
      <c r="AI42" s="89">
        <f t="shared" si="55"/>
        <v>97352548.185497254</v>
      </c>
      <c r="AJ42" s="89">
        <f t="shared" si="55"/>
        <v>107385132.91647422</v>
      </c>
      <c r="AK42" s="89">
        <f t="shared" si="55"/>
        <v>111695671.3601131</v>
      </c>
      <c r="AL42" s="89">
        <f t="shared" si="55"/>
        <v>118867232.947421</v>
      </c>
      <c r="AM42" s="89">
        <f t="shared" si="55"/>
        <v>129608354.96160313</v>
      </c>
      <c r="AN42" s="89">
        <f t="shared" si="55"/>
        <v>133210356.12203687</v>
      </c>
      <c r="AO42" s="89">
        <f t="shared" si="55"/>
        <v>137025340.29956275</v>
      </c>
      <c r="AP42" s="89">
        <f t="shared" si="55"/>
        <v>133228249.0051014</v>
      </c>
      <c r="AQ42" s="89">
        <f t="shared" si="55"/>
        <v>136150036.06909108</v>
      </c>
      <c r="AR42" s="89">
        <f t="shared" si="55"/>
        <v>148662511.74652433</v>
      </c>
      <c r="AS42" s="89">
        <f t="shared" si="55"/>
        <v>157127148.91169888</v>
      </c>
      <c r="AT42" s="89">
        <f t="shared" si="55"/>
        <v>171915516.63375372</v>
      </c>
      <c r="AU42" s="89">
        <f t="shared" si="55"/>
        <v>184292728.90245977</v>
      </c>
      <c r="AV42" s="89">
        <f t="shared" si="55"/>
        <v>199174793.96641651</v>
      </c>
      <c r="AW42" s="89">
        <f t="shared" si="55"/>
        <v>211645032.97092909</v>
      </c>
      <c r="AX42" s="89">
        <f t="shared" si="55"/>
        <v>225391206.53430444</v>
      </c>
      <c r="AY42" s="89">
        <f t="shared" ca="1" si="55"/>
        <v>240413817.61111417</v>
      </c>
      <c r="AZ42" s="89">
        <f t="shared" ca="1" si="55"/>
        <v>253023596.71933654</v>
      </c>
      <c r="BA42" s="89">
        <f t="shared" ca="1" si="55"/>
        <v>268139905.13804835</v>
      </c>
      <c r="BB42" s="89">
        <f t="shared" ca="1" si="55"/>
        <v>280842710.98207724</v>
      </c>
      <c r="BC42" s="89">
        <f t="shared" ca="1" si="55"/>
        <v>296281953.14058065</v>
      </c>
      <c r="BD42" s="89">
        <f t="shared" ca="1" si="55"/>
        <v>314923813.15934867</v>
      </c>
      <c r="BE42" s="89">
        <f t="shared" ca="1" si="55"/>
        <v>325515878.26315522</v>
      </c>
      <c r="BF42" s="89">
        <f t="shared" ca="1" si="55"/>
        <v>341462575.1901533</v>
      </c>
      <c r="BG42" s="89">
        <f t="shared" ca="1" si="55"/>
        <v>354936340.72138196</v>
      </c>
      <c r="BH42" s="89">
        <f t="shared" ca="1" si="55"/>
        <v>370976644.63122255</v>
      </c>
      <c r="BI42" s="89">
        <f t="shared" ca="1" si="55"/>
        <v>535696006.02643281</v>
      </c>
      <c r="BJ42" s="89">
        <f t="shared" ref="BJ42" ca="1" si="56">SUM(BJ38:BJ41)</f>
        <v>638482253.4884671</v>
      </c>
      <c r="BK42" s="89">
        <f t="shared" ref="BK42" ca="1" si="57">SUM(BK38:BK41)</f>
        <v>748827371.44112802</v>
      </c>
      <c r="BL42" s="89">
        <f t="shared" ref="BL42" ca="1" si="58">SUM(BL38:BL41)</f>
        <v>860722862.80229139</v>
      </c>
      <c r="BM42" s="89">
        <f t="shared" ref="BM42" ca="1" si="59">SUM(BM38:BM41)</f>
        <v>978181630.93866003</v>
      </c>
      <c r="BN42" s="89">
        <f t="shared" ref="BN42" ca="1" si="60">SUM(BN38:BN41)</f>
        <v>1175303510.4674273</v>
      </c>
      <c r="BO42" s="89">
        <f t="shared" ref="BO42" ca="1" si="61">SUM(BO38:BO41)</f>
        <v>1365271814.8981912</v>
      </c>
    </row>
    <row r="43" spans="1:67">
      <c r="A43" s="11"/>
      <c r="B43" s="11"/>
      <c r="C43" s="11" t="s">
        <v>518</v>
      </c>
      <c r="D43" s="33"/>
      <c r="E43" s="33"/>
      <c r="F43" s="3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row>
    <row r="44" spans="1:67">
      <c r="A44" s="11"/>
      <c r="B44" s="11"/>
      <c r="C44" s="11"/>
      <c r="D44" s="11" t="s">
        <v>519</v>
      </c>
      <c r="E44" s="33"/>
      <c r="F44" s="33"/>
      <c r="G44" s="90">
        <f>'03 CAPEX &amp; Depreciation'!G$199</f>
        <v>23407000</v>
      </c>
      <c r="H44" s="90">
        <f>'03 CAPEX &amp; Depreciation'!H$199</f>
        <v>46814000</v>
      </c>
      <c r="I44" s="90">
        <f>'03 CAPEX &amp; Depreciation'!I$199</f>
        <v>70221000</v>
      </c>
      <c r="J44" s="90">
        <f>'03 CAPEX &amp; Depreciation'!J$199</f>
        <v>339758000</v>
      </c>
      <c r="K44" s="90">
        <f>'03 CAPEX &amp; Depreciation'!K$199</f>
        <v>394471470.58823526</v>
      </c>
      <c r="L44" s="90">
        <f>'03 CAPEX &amp; Depreciation'!L$199</f>
        <v>449184941.17647058</v>
      </c>
      <c r="M44" s="90">
        <f>'03 CAPEX &amp; Depreciation'!M$199</f>
        <v>503908411.7647059</v>
      </c>
      <c r="N44" s="90">
        <f>'03 CAPEX &amp; Depreciation'!N$199</f>
        <v>558631882.35294116</v>
      </c>
      <c r="O44" s="90">
        <f>'03 CAPEX &amp; Depreciation'!O$199</f>
        <v>613355352.94117641</v>
      </c>
      <c r="P44" s="90">
        <f>'03 CAPEX &amp; Depreciation'!P$199</f>
        <v>678845490.19607842</v>
      </c>
      <c r="Q44" s="90">
        <f>'03 CAPEX &amp; Depreciation'!Q$199</f>
        <v>765713981.61764693</v>
      </c>
      <c r="R44" s="90">
        <f>'03 CAPEX &amp; Depreciation'!R$199</f>
        <v>831837486.27297795</v>
      </c>
      <c r="S44" s="90">
        <f>'03 CAPEX &amp; Depreciation'!S$199</f>
        <v>898985826.57852519</v>
      </c>
      <c r="T44" s="90">
        <f>'03 CAPEX &amp; Depreciation'!T$199</f>
        <v>966497887.06072748</v>
      </c>
      <c r="U44" s="90">
        <f>'03 CAPEX &amp; Depreciation'!U$199</f>
        <v>1034375637.8705417</v>
      </c>
      <c r="V44" s="90">
        <f>'03 CAPEX &amp; Depreciation'!V$199</f>
        <v>1102621059.8305757</v>
      </c>
      <c r="W44" s="90">
        <f>'03 CAPEX &amp; Depreciation'!W$199</f>
        <v>1171236144.4928935</v>
      </c>
      <c r="X44" s="90">
        <f>'03 CAPEX &amp; Depreciation'!X$199</f>
        <v>1240222894.1971319</v>
      </c>
      <c r="Y44" s="90">
        <f>'03 CAPEX &amp; Depreciation'!Y$199</f>
        <v>1309583322.1289349</v>
      </c>
      <c r="Z44" s="90">
        <f>'03 CAPEX &amp; Depreciation'!Z$199</f>
        <v>1379319452.3787019</v>
      </c>
      <c r="AA44" s="90">
        <f>'03 CAPEX &amp; Depreciation'!AA$199</f>
        <v>1449700000</v>
      </c>
      <c r="AB44" s="90">
        <f>'03 CAPEX &amp; Depreciation'!AB$199</f>
        <v>1441948125</v>
      </c>
      <c r="AC44" s="90">
        <f>'03 CAPEX &amp; Depreciation'!AC$199</f>
        <v>1434186180.5555556</v>
      </c>
      <c r="AD44" s="90">
        <f>'03 CAPEX &amp; Depreciation'!AD$199</f>
        <v>1426414166.6666667</v>
      </c>
      <c r="AE44" s="90">
        <f>'03 CAPEX &amp; Depreciation'!AE$199</f>
        <v>1418632083.3333333</v>
      </c>
      <c r="AF44" s="90">
        <f>'03 CAPEX &amp; Depreciation'!AF$199</f>
        <v>1410839930.5555556</v>
      </c>
      <c r="AG44" s="90">
        <f>'03 CAPEX &amp; Depreciation'!AG$199</f>
        <v>1403037708.333333</v>
      </c>
      <c r="AH44" s="90">
        <f>'03 CAPEX &amp; Depreciation'!AH$199</f>
        <v>1395225416.6666665</v>
      </c>
      <c r="AI44" s="90">
        <f>'03 CAPEX &amp; Depreciation'!AI$199</f>
        <v>1387403055.5555553</v>
      </c>
      <c r="AJ44" s="90">
        <f>'03 CAPEX &amp; Depreciation'!AJ$199</f>
        <v>1379570625</v>
      </c>
      <c r="AK44" s="90">
        <f>'03 CAPEX &amp; Depreciation'!AK$199</f>
        <v>1371728125</v>
      </c>
      <c r="AL44" s="90">
        <f>'03 CAPEX &amp; Depreciation'!AL$199</f>
        <v>1363875555.5555556</v>
      </c>
      <c r="AM44" s="90">
        <f>'03 CAPEX &amp; Depreciation'!AM$199</f>
        <v>1356012916.6666667</v>
      </c>
      <c r="AN44" s="90">
        <f>'03 CAPEX &amp; Depreciation'!AN$199</f>
        <v>1348140208.3333333</v>
      </c>
      <c r="AO44" s="90">
        <f>'03 CAPEX &amp; Depreciation'!AO$199</f>
        <v>1340257430.5555556</v>
      </c>
      <c r="AP44" s="90">
        <f>'03 CAPEX &amp; Depreciation'!AP$199</f>
        <v>1332364583.333333</v>
      </c>
      <c r="AQ44" s="90">
        <f>'03 CAPEX &amp; Depreciation'!AQ$199</f>
        <v>1324461666.6666665</v>
      </c>
      <c r="AR44" s="90">
        <f>'03 CAPEX &amp; Depreciation'!AR$199</f>
        <v>1316548680.5555553</v>
      </c>
      <c r="AS44" s="90">
        <f>'03 CAPEX &amp; Depreciation'!AS$199</f>
        <v>1308625625</v>
      </c>
      <c r="AT44" s="90">
        <f>'03 CAPEX &amp; Depreciation'!AT$199</f>
        <v>1300692500</v>
      </c>
      <c r="AU44" s="90">
        <f>'03 CAPEX &amp; Depreciation'!AU$199</f>
        <v>1292749305.5555556</v>
      </c>
      <c r="AV44" s="90">
        <f>'03 CAPEX &amp; Depreciation'!AV$199</f>
        <v>1284796041.6666667</v>
      </c>
      <c r="AW44" s="90">
        <f>'03 CAPEX &amp; Depreciation'!AW$199</f>
        <v>1276832708.3333333</v>
      </c>
      <c r="AX44" s="90">
        <f>'03 CAPEX &amp; Depreciation'!AX$199</f>
        <v>1268859305.5555556</v>
      </c>
      <c r="AY44" s="90">
        <f>'03 CAPEX &amp; Depreciation'!AY$199</f>
        <v>1260875833.333333</v>
      </c>
      <c r="AZ44" s="90">
        <f>'03 CAPEX &amp; Depreciation'!AZ$199</f>
        <v>1252882291.6666665</v>
      </c>
      <c r="BA44" s="90">
        <f>'03 CAPEX &amp; Depreciation'!BA$199</f>
        <v>1244878680.5555553</v>
      </c>
      <c r="BB44" s="90">
        <f>'03 CAPEX &amp; Depreciation'!BB$199</f>
        <v>1236865000</v>
      </c>
      <c r="BC44" s="90">
        <f>'03 CAPEX &amp; Depreciation'!BC$199</f>
        <v>1228841250</v>
      </c>
      <c r="BD44" s="90">
        <f>'03 CAPEX &amp; Depreciation'!BD$199</f>
        <v>1220807430.5555556</v>
      </c>
      <c r="BE44" s="90">
        <f>'03 CAPEX &amp; Depreciation'!BE$199</f>
        <v>1212763541.6666667</v>
      </c>
      <c r="BF44" s="90">
        <f>'03 CAPEX &amp; Depreciation'!BF$199</f>
        <v>1204709583.3333333</v>
      </c>
      <c r="BG44" s="90">
        <f>'03 CAPEX &amp; Depreciation'!BG$199</f>
        <v>1196645555.5555556</v>
      </c>
      <c r="BH44" s="90">
        <f>'03 CAPEX &amp; Depreciation'!BH$199</f>
        <v>1188571458.333333</v>
      </c>
      <c r="BI44" s="90">
        <f>'03 CAPEX &amp; Depreciation'!BI$199</f>
        <v>1090232291.6666667</v>
      </c>
      <c r="BJ44" s="90">
        <f>'03 CAPEX &amp; Depreciation'!BJ$199</f>
        <v>990443124.99999988</v>
      </c>
      <c r="BK44" s="90">
        <f>'03 CAPEX &amp; Depreciation'!BK$199</f>
        <v>901503958.33333337</v>
      </c>
      <c r="BL44" s="90">
        <f>'03 CAPEX &amp; Depreciation'!BL$199</f>
        <v>815214791.66666663</v>
      </c>
      <c r="BM44" s="90">
        <f>'03 CAPEX &amp; Depreciation'!BM$199</f>
        <v>727475624.99999988</v>
      </c>
      <c r="BN44" s="90">
        <f>'03 CAPEX &amp; Depreciation'!BN$199</f>
        <v>638286458.33333337</v>
      </c>
      <c r="BO44" s="90">
        <f>'03 CAPEX &amp; Depreciation'!BO$199</f>
        <v>547647291.66666663</v>
      </c>
    </row>
    <row r="45" spans="1:67">
      <c r="A45" s="11"/>
      <c r="B45" s="11"/>
      <c r="C45" s="11" t="s">
        <v>520</v>
      </c>
      <c r="D45" s="33"/>
      <c r="E45" s="33"/>
      <c r="F45" s="33"/>
      <c r="G45" s="90">
        <f>G44</f>
        <v>23407000</v>
      </c>
      <c r="H45" s="90">
        <f t="shared" ref="H45:BI45" si="62">H44</f>
        <v>46814000</v>
      </c>
      <c r="I45" s="90">
        <f t="shared" si="62"/>
        <v>70221000</v>
      </c>
      <c r="J45" s="90">
        <f t="shared" si="62"/>
        <v>339758000</v>
      </c>
      <c r="K45" s="90">
        <f t="shared" si="62"/>
        <v>394471470.58823526</v>
      </c>
      <c r="L45" s="90">
        <f t="shared" si="62"/>
        <v>449184941.17647058</v>
      </c>
      <c r="M45" s="90">
        <f t="shared" si="62"/>
        <v>503908411.7647059</v>
      </c>
      <c r="N45" s="90">
        <f t="shared" si="62"/>
        <v>558631882.35294116</v>
      </c>
      <c r="O45" s="90">
        <f t="shared" si="62"/>
        <v>613355352.94117641</v>
      </c>
      <c r="P45" s="90">
        <f t="shared" si="62"/>
        <v>678845490.19607842</v>
      </c>
      <c r="Q45" s="90">
        <f t="shared" si="62"/>
        <v>765713981.61764693</v>
      </c>
      <c r="R45" s="90">
        <f t="shared" si="62"/>
        <v>831837486.27297795</v>
      </c>
      <c r="S45" s="90">
        <f t="shared" si="62"/>
        <v>898985826.57852519</v>
      </c>
      <c r="T45" s="90">
        <f t="shared" si="62"/>
        <v>966497887.06072748</v>
      </c>
      <c r="U45" s="90">
        <f t="shared" si="62"/>
        <v>1034375637.8705417</v>
      </c>
      <c r="V45" s="90">
        <f t="shared" si="62"/>
        <v>1102621059.8305757</v>
      </c>
      <c r="W45" s="90">
        <f t="shared" si="62"/>
        <v>1171236144.4928935</v>
      </c>
      <c r="X45" s="90">
        <f t="shared" si="62"/>
        <v>1240222894.1971319</v>
      </c>
      <c r="Y45" s="90">
        <f t="shared" si="62"/>
        <v>1309583322.1289349</v>
      </c>
      <c r="Z45" s="90">
        <f t="shared" si="62"/>
        <v>1379319452.3787019</v>
      </c>
      <c r="AA45" s="90">
        <f t="shared" si="62"/>
        <v>1449700000</v>
      </c>
      <c r="AB45" s="90">
        <f t="shared" si="62"/>
        <v>1441948125</v>
      </c>
      <c r="AC45" s="90">
        <f t="shared" si="62"/>
        <v>1434186180.5555556</v>
      </c>
      <c r="AD45" s="90">
        <f t="shared" si="62"/>
        <v>1426414166.6666667</v>
      </c>
      <c r="AE45" s="90">
        <f t="shared" si="62"/>
        <v>1418632083.3333333</v>
      </c>
      <c r="AF45" s="90">
        <f t="shared" si="62"/>
        <v>1410839930.5555556</v>
      </c>
      <c r="AG45" s="90">
        <f t="shared" si="62"/>
        <v>1403037708.333333</v>
      </c>
      <c r="AH45" s="90">
        <f t="shared" si="62"/>
        <v>1395225416.6666665</v>
      </c>
      <c r="AI45" s="90">
        <f t="shared" si="62"/>
        <v>1387403055.5555553</v>
      </c>
      <c r="AJ45" s="90">
        <f t="shared" si="62"/>
        <v>1379570625</v>
      </c>
      <c r="AK45" s="90">
        <f t="shared" si="62"/>
        <v>1371728125</v>
      </c>
      <c r="AL45" s="90">
        <f t="shared" si="62"/>
        <v>1363875555.5555556</v>
      </c>
      <c r="AM45" s="90">
        <f t="shared" si="62"/>
        <v>1356012916.6666667</v>
      </c>
      <c r="AN45" s="90">
        <f t="shared" si="62"/>
        <v>1348140208.3333333</v>
      </c>
      <c r="AO45" s="90">
        <f t="shared" si="62"/>
        <v>1340257430.5555556</v>
      </c>
      <c r="AP45" s="90">
        <f t="shared" si="62"/>
        <v>1332364583.333333</v>
      </c>
      <c r="AQ45" s="90">
        <f t="shared" si="62"/>
        <v>1324461666.6666665</v>
      </c>
      <c r="AR45" s="90">
        <f t="shared" si="62"/>
        <v>1316548680.5555553</v>
      </c>
      <c r="AS45" s="90">
        <f t="shared" si="62"/>
        <v>1308625625</v>
      </c>
      <c r="AT45" s="90">
        <f t="shared" si="62"/>
        <v>1300692500</v>
      </c>
      <c r="AU45" s="90">
        <f t="shared" si="62"/>
        <v>1292749305.5555556</v>
      </c>
      <c r="AV45" s="90">
        <f t="shared" si="62"/>
        <v>1284796041.6666667</v>
      </c>
      <c r="AW45" s="90">
        <f t="shared" si="62"/>
        <v>1276832708.3333333</v>
      </c>
      <c r="AX45" s="90">
        <f t="shared" si="62"/>
        <v>1268859305.5555556</v>
      </c>
      <c r="AY45" s="90">
        <f t="shared" si="62"/>
        <v>1260875833.333333</v>
      </c>
      <c r="AZ45" s="90">
        <f t="shared" si="62"/>
        <v>1252882291.6666665</v>
      </c>
      <c r="BA45" s="90">
        <f t="shared" si="62"/>
        <v>1244878680.5555553</v>
      </c>
      <c r="BB45" s="90">
        <f t="shared" si="62"/>
        <v>1236865000</v>
      </c>
      <c r="BC45" s="90">
        <f t="shared" si="62"/>
        <v>1228841250</v>
      </c>
      <c r="BD45" s="90">
        <f t="shared" si="62"/>
        <v>1220807430.5555556</v>
      </c>
      <c r="BE45" s="90">
        <f t="shared" si="62"/>
        <v>1212763541.6666667</v>
      </c>
      <c r="BF45" s="90">
        <f t="shared" si="62"/>
        <v>1204709583.3333333</v>
      </c>
      <c r="BG45" s="90">
        <f t="shared" si="62"/>
        <v>1196645555.5555556</v>
      </c>
      <c r="BH45" s="90">
        <f t="shared" si="62"/>
        <v>1188571458.333333</v>
      </c>
      <c r="BI45" s="90">
        <f t="shared" si="62"/>
        <v>1090232291.6666667</v>
      </c>
      <c r="BJ45" s="90">
        <f t="shared" ref="BJ45" si="63">BJ44</f>
        <v>990443124.99999988</v>
      </c>
      <c r="BK45" s="90">
        <f t="shared" ref="BK45" si="64">BK44</f>
        <v>901503958.33333337</v>
      </c>
      <c r="BL45" s="90">
        <f t="shared" ref="BL45" si="65">BL44</f>
        <v>815214791.66666663</v>
      </c>
      <c r="BM45" s="90">
        <f t="shared" ref="BM45" si="66">BM44</f>
        <v>727475624.99999988</v>
      </c>
      <c r="BN45" s="90">
        <f t="shared" ref="BN45" si="67">BN44</f>
        <v>638286458.33333337</v>
      </c>
      <c r="BO45" s="90">
        <f t="shared" ref="BO45" si="68">BO44</f>
        <v>547647291.66666663</v>
      </c>
    </row>
    <row r="46" spans="1:67">
      <c r="A46" s="11"/>
      <c r="B46" s="22" t="s">
        <v>521</v>
      </c>
      <c r="C46" s="22"/>
      <c r="D46" s="33"/>
      <c r="E46" s="33"/>
      <c r="F46" s="33"/>
      <c r="G46" s="89">
        <f>G42+G45</f>
        <v>23921419.35483871</v>
      </c>
      <c r="H46" s="89">
        <f t="shared" ref="H46:BI46" si="69">H42+H45</f>
        <v>47329964.285714284</v>
      </c>
      <c r="I46" s="89">
        <f t="shared" si="69"/>
        <v>70735419.354838714</v>
      </c>
      <c r="J46" s="89">
        <f t="shared" si="69"/>
        <v>340272900</v>
      </c>
      <c r="K46" s="89">
        <f t="shared" si="69"/>
        <v>394985889.94307399</v>
      </c>
      <c r="L46" s="89">
        <f t="shared" si="69"/>
        <v>449699841.17647058</v>
      </c>
      <c r="M46" s="89">
        <f t="shared" si="69"/>
        <v>504422831.11954463</v>
      </c>
      <c r="N46" s="89">
        <f t="shared" si="69"/>
        <v>559146301.70777988</v>
      </c>
      <c r="O46" s="89">
        <f t="shared" si="69"/>
        <v>613870252.94117641</v>
      </c>
      <c r="P46" s="89">
        <f t="shared" si="69"/>
        <v>679359909.55091715</v>
      </c>
      <c r="Q46" s="89">
        <f t="shared" si="69"/>
        <v>766228881.61764693</v>
      </c>
      <c r="R46" s="89">
        <f t="shared" si="69"/>
        <v>832351905.62781668</v>
      </c>
      <c r="S46" s="89">
        <f t="shared" si="69"/>
        <v>899500534.32046068</v>
      </c>
      <c r="T46" s="89">
        <f t="shared" si="69"/>
        <v>967013609.12969303</v>
      </c>
      <c r="U46" s="89">
        <f t="shared" si="69"/>
        <v>1034890345.6124772</v>
      </c>
      <c r="V46" s="89">
        <f t="shared" si="69"/>
        <v>1103136257.8305757</v>
      </c>
      <c r="W46" s="89">
        <f t="shared" si="69"/>
        <v>1171750852.2348289</v>
      </c>
      <c r="X46" s="89">
        <f t="shared" si="69"/>
        <v>1240738092.1971319</v>
      </c>
      <c r="Y46" s="89">
        <f t="shared" si="69"/>
        <v>1310098029.8708704</v>
      </c>
      <c r="Z46" s="89">
        <f t="shared" si="69"/>
        <v>1379834160.1206374</v>
      </c>
      <c r="AA46" s="89">
        <f t="shared" si="69"/>
        <v>1450215198</v>
      </c>
      <c r="AB46" s="89">
        <f t="shared" si="69"/>
        <v>1496256958.4007421</v>
      </c>
      <c r="AC46" s="89">
        <f t="shared" si="69"/>
        <v>1488539715.0715356</v>
      </c>
      <c r="AD46" s="89">
        <f t="shared" si="69"/>
        <v>1486602662.9733963</v>
      </c>
      <c r="AE46" s="89">
        <f t="shared" si="69"/>
        <v>1487298385.1695988</v>
      </c>
      <c r="AF46" s="89">
        <f t="shared" si="69"/>
        <v>1492837351.4414718</v>
      </c>
      <c r="AG46" s="89">
        <f t="shared" si="69"/>
        <v>1486047133.3442144</v>
      </c>
      <c r="AH46" s="89">
        <f t="shared" si="69"/>
        <v>1487795068.2197216</v>
      </c>
      <c r="AI46" s="89">
        <f t="shared" si="69"/>
        <v>1484755603.7410526</v>
      </c>
      <c r="AJ46" s="89">
        <f t="shared" si="69"/>
        <v>1486955757.9164743</v>
      </c>
      <c r="AK46" s="89">
        <f t="shared" si="69"/>
        <v>1483423796.3601131</v>
      </c>
      <c r="AL46" s="89">
        <f t="shared" si="69"/>
        <v>1482742788.5029767</v>
      </c>
      <c r="AM46" s="89">
        <f t="shared" si="69"/>
        <v>1485621271.6282699</v>
      </c>
      <c r="AN46" s="89">
        <f t="shared" si="69"/>
        <v>1481350564.4553702</v>
      </c>
      <c r="AO46" s="89">
        <f t="shared" si="69"/>
        <v>1477282770.8551183</v>
      </c>
      <c r="AP46" s="89">
        <f t="shared" si="69"/>
        <v>1465592832.3384345</v>
      </c>
      <c r="AQ46" s="89">
        <f t="shared" si="69"/>
        <v>1460611702.7357576</v>
      </c>
      <c r="AR46" s="89">
        <f t="shared" si="69"/>
        <v>1465211192.3020797</v>
      </c>
      <c r="AS46" s="89">
        <f t="shared" si="69"/>
        <v>1465752773.9116988</v>
      </c>
      <c r="AT46" s="89">
        <f t="shared" si="69"/>
        <v>1472608016.6337538</v>
      </c>
      <c r="AU46" s="89">
        <f t="shared" si="69"/>
        <v>1477042034.4580154</v>
      </c>
      <c r="AV46" s="89">
        <f t="shared" si="69"/>
        <v>1483970835.6330833</v>
      </c>
      <c r="AW46" s="89">
        <f t="shared" si="69"/>
        <v>1488477741.3042624</v>
      </c>
      <c r="AX46" s="89">
        <f t="shared" si="69"/>
        <v>1494250512.08986</v>
      </c>
      <c r="AY46" s="89">
        <f t="shared" ca="1" si="69"/>
        <v>1501289650.9444473</v>
      </c>
      <c r="AZ46" s="89">
        <f t="shared" ca="1" si="69"/>
        <v>1505905888.386003</v>
      </c>
      <c r="BA46" s="89">
        <f t="shared" ca="1" si="69"/>
        <v>1513018585.6936038</v>
      </c>
      <c r="BB46" s="89">
        <f t="shared" ca="1" si="69"/>
        <v>1517707710.9820771</v>
      </c>
      <c r="BC46" s="89">
        <f t="shared" ca="1" si="69"/>
        <v>1525123203.1405807</v>
      </c>
      <c r="BD46" s="89">
        <f t="shared" ca="1" si="69"/>
        <v>1535731243.7149043</v>
      </c>
      <c r="BE46" s="89">
        <f t="shared" ca="1" si="69"/>
        <v>1538279419.929822</v>
      </c>
      <c r="BF46" s="89">
        <f t="shared" ca="1" si="69"/>
        <v>1546172158.5234866</v>
      </c>
      <c r="BG46" s="89">
        <f t="shared" ca="1" si="69"/>
        <v>1551581896.2769375</v>
      </c>
      <c r="BH46" s="89">
        <f t="shared" ca="1" si="69"/>
        <v>1559548102.9645555</v>
      </c>
      <c r="BI46" s="89">
        <f t="shared" ca="1" si="69"/>
        <v>1625928297.6930995</v>
      </c>
      <c r="BJ46" s="89">
        <f t="shared" ref="BJ46" ca="1" si="70">BJ42+BJ45</f>
        <v>1628925378.488467</v>
      </c>
      <c r="BK46" s="89">
        <f t="shared" ref="BK46" ca="1" si="71">BK42+BK45</f>
        <v>1650331329.7744613</v>
      </c>
      <c r="BL46" s="89">
        <f t="shared" ref="BL46" ca="1" si="72">BL42+BL45</f>
        <v>1675937654.4689579</v>
      </c>
      <c r="BM46" s="89">
        <f t="shared" ref="BM46" ca="1" si="73">BM42+BM45</f>
        <v>1705657255.9386599</v>
      </c>
      <c r="BN46" s="89">
        <f t="shared" ref="BN46" ca="1" si="74">BN42+BN45</f>
        <v>1813589968.8007607</v>
      </c>
      <c r="BO46" s="89">
        <f t="shared" ref="BO46" ca="1" si="75">BO42+BO45</f>
        <v>1912919106.564858</v>
      </c>
    </row>
    <row r="47" spans="1:67">
      <c r="A47" s="11"/>
      <c r="B47" s="11" t="s">
        <v>522</v>
      </c>
      <c r="C47" s="11"/>
      <c r="D47" s="33"/>
      <c r="E47" s="33"/>
      <c r="F47" s="3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row>
    <row r="48" spans="1:67">
      <c r="A48" s="11"/>
      <c r="B48" s="11"/>
      <c r="C48" s="11" t="s">
        <v>523</v>
      </c>
      <c r="D48" s="33"/>
      <c r="E48" s="33"/>
      <c r="F48" s="3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row>
    <row r="49" spans="1:67">
      <c r="A49" s="11"/>
      <c r="B49" s="11"/>
      <c r="C49" s="11"/>
      <c r="D49" s="11" t="s">
        <v>1</v>
      </c>
      <c r="E49" s="33"/>
      <c r="F49" s="33"/>
      <c r="G49" s="90">
        <f>'06 Debt &amp; WC'!G$46+'06 Debt &amp; WC'!G$47</f>
        <v>343354.83870967739</v>
      </c>
      <c r="H49" s="90">
        <f>'06 Debt &amp; WC'!H$46+'06 Debt &amp; WC'!H$47</f>
        <v>380142.85714285716</v>
      </c>
      <c r="I49" s="90">
        <f>'06 Debt &amp; WC'!I$46+'06 Debt &amp; WC'!I$47</f>
        <v>343354.83870967739</v>
      </c>
      <c r="J49" s="90">
        <f>'06 Debt &amp; WC'!J$46+'06 Debt &amp; WC'!J$47</f>
        <v>354800</v>
      </c>
      <c r="K49" s="90">
        <f>'06 Debt &amp; WC'!K$46+'06 Debt &amp; WC'!K$47</f>
        <v>343354.83870967739</v>
      </c>
      <c r="L49" s="90">
        <f>'06 Debt &amp; WC'!L$46+'06 Debt &amp; WC'!L$47</f>
        <v>354800</v>
      </c>
      <c r="M49" s="90">
        <f>'06 Debt &amp; WC'!M$46+'06 Debt &amp; WC'!M$47</f>
        <v>343354.83870967739</v>
      </c>
      <c r="N49" s="90">
        <f>'06 Debt &amp; WC'!N$46+'06 Debt &amp; WC'!N$47</f>
        <v>343354.83870967739</v>
      </c>
      <c r="O49" s="90">
        <f>'06 Debt &amp; WC'!O$46+'06 Debt &amp; WC'!O$47</f>
        <v>354800</v>
      </c>
      <c r="P49" s="90">
        <f>'06 Debt &amp; WC'!P$46+'06 Debt &amp; WC'!P$47</f>
        <v>434080.6451612903</v>
      </c>
      <c r="Q49" s="90">
        <f>'06 Debt &amp; WC'!Q$46+'06 Debt &amp; WC'!Q$47</f>
        <v>448550</v>
      </c>
      <c r="R49" s="90">
        <f>'06 Debt &amp; WC'!R$46+'06 Debt &amp; WC'!R$47</f>
        <v>681661.29032258061</v>
      </c>
      <c r="S49" s="90">
        <f>'06 Debt &amp; WC'!S$46+'06 Debt &amp; WC'!S$47</f>
        <v>581850.96774193551</v>
      </c>
      <c r="T49" s="90">
        <f>'06 Debt &amp; WC'!T$46+'06 Debt &amp; WC'!T$47</f>
        <v>1225426.8965517241</v>
      </c>
      <c r="U49" s="90">
        <f>'06 Debt &amp; WC'!U$46+'06 Debt &amp; WC'!U$47</f>
        <v>1146367.0967741935</v>
      </c>
      <c r="V49" s="90">
        <f>'06 Debt &amp; WC'!V$46+'06 Debt &amp; WC'!V$47</f>
        <v>1290204.3333333335</v>
      </c>
      <c r="W49" s="90">
        <f>'06 Debt &amp; WC'!W$46+'06 Debt &amp; WC'!W$47</f>
        <v>1248584.8387096776</v>
      </c>
      <c r="X49" s="90">
        <f>'06 Debt &amp; WC'!X$46+'06 Debt &amp; WC'!X$47</f>
        <v>1279787.6666666667</v>
      </c>
      <c r="Y49" s="90">
        <f>'06 Debt &amp; WC'!Y$46+'06 Debt &amp; WC'!Y$47</f>
        <v>1238504.1935483871</v>
      </c>
      <c r="Z49" s="90">
        <f>'06 Debt &amp; WC'!Z$46+'06 Debt &amp; WC'!Z$47</f>
        <v>1311689.6774193549</v>
      </c>
      <c r="AA49" s="90">
        <f>'06 Debt &amp; WC'!AA$46+'06 Debt &amp; WC'!AA$47</f>
        <v>1355412.6666666667</v>
      </c>
      <c r="AB49" s="90">
        <f>'06 Debt &amp; WC'!AB$46+'06 Debt &amp; WC'!AB$47</f>
        <v>31195548.409541007</v>
      </c>
      <c r="AC49" s="90">
        <f>'06 Debt &amp; WC'!AC$46+'06 Debt &amp; WC'!AC$47</f>
        <v>17200121.169580478</v>
      </c>
      <c r="AD49" s="90">
        <f>'06 Debt &amp; WC'!AD$46+'06 Debt &amp; WC'!AD$47</f>
        <v>18332722.954667907</v>
      </c>
      <c r="AE49" s="90">
        <f>'06 Debt &amp; WC'!AE$46+'06 Debt &amp; WC'!AE$47</f>
        <v>20565424.006944072</v>
      </c>
      <c r="AF49" s="90">
        <f>'06 Debt &amp; WC'!AF$46+'06 Debt &amp; WC'!AF$47</f>
        <v>24036779.124168493</v>
      </c>
      <c r="AG49" s="90">
        <f>'06 Debt &amp; WC'!AG$46+'06 Debt &amp; WC'!AG$47</f>
        <v>23509080.217360325</v>
      </c>
      <c r="AH49" s="90">
        <f>'06 Debt &amp; WC'!AH$46+'06 Debt &amp; WC'!AH$47</f>
        <v>26116521.933320727</v>
      </c>
      <c r="AI49" s="90">
        <f>'06 Debt &amp; WC'!AI$46+'06 Debt &amp; WC'!AI$47</f>
        <v>27072494.492292702</v>
      </c>
      <c r="AJ49" s="90">
        <f>'06 Debt &amp; WC'!AJ$46+'06 Debt &amp; WC'!AJ$47</f>
        <v>29833300.017417543</v>
      </c>
      <c r="AK49" s="90">
        <f>'06 Debt &amp; WC'!AK$46+'06 Debt &amp; WC'!AK$47</f>
        <v>30669376.509160571</v>
      </c>
      <c r="AL49" s="90">
        <f>'06 Debt &amp; WC'!AL$46+'06 Debt &amp; WC'!AL$47</f>
        <v>32467817.517594509</v>
      </c>
      <c r="AM49" s="90">
        <f>'06 Debt &amp; WC'!AM$46+'06 Debt &amp; WC'!AM$47</f>
        <v>35408467.143562742</v>
      </c>
      <c r="AN49" s="90">
        <f>'06 Debt &amp; WC'!AN$46+'06 Debt &amp; WC'!AN$47</f>
        <v>36064699.534462385</v>
      </c>
      <c r="AO49" s="90">
        <f>'06 Debt &amp; WC'!AO$46+'06 Debt &amp; WC'!AO$47</f>
        <v>37272007.159569457</v>
      </c>
      <c r="AP49" s="90">
        <f>'06 Debt &amp; WC'!AP$46+'06 Debt &amp; WC'!AP$47</f>
        <v>36006120.774381742</v>
      </c>
      <c r="AQ49" s="90">
        <f>'06 Debt &amp; WC'!AQ$46+'06 Debt &amp; WC'!AQ$47</f>
        <v>36852458.45449163</v>
      </c>
      <c r="AR49" s="90">
        <f>'06 Debt &amp; WC'!AR$46+'06 Debt &amp; WC'!AR$47</f>
        <v>40806504.571658149</v>
      </c>
      <c r="AS49" s="90">
        <f>'06 Debt &amp; WC'!AS$46+'06 Debt &amp; WC'!AS$47</f>
        <v>36862517.545923084</v>
      </c>
      <c r="AT49" s="90">
        <f>'06 Debt &amp; WC'!AT$46+'06 Debt &amp; WC'!AT$47</f>
        <v>38096465.328026764</v>
      </c>
      <c r="AU49" s="90">
        <f>'06 Debt &amp; WC'!AU$46+'06 Debt &amp; WC'!AU$47</f>
        <v>36872576.637354538</v>
      </c>
      <c r="AV49" s="90">
        <f>'06 Debt &amp; WC'!AV$46+'06 Debt &amp; WC'!AV$47</f>
        <v>38106859.722505942</v>
      </c>
      <c r="AW49" s="90">
        <f>'06 Debt &amp; WC'!AW$46+'06 Debt &amp; WC'!AW$47</f>
        <v>36882635.728785992</v>
      </c>
      <c r="AX49" s="90">
        <f>'06 Debt &amp; WC'!AX$46+'06 Debt &amp; WC'!AX$47</f>
        <v>36887665.274501711</v>
      </c>
      <c r="AY49" s="90">
        <f>'06 Debt &amp; WC'!AY$46+'06 Debt &amp; WC'!AY$47</f>
        <v>38122451.31422469</v>
      </c>
      <c r="AZ49" s="90">
        <f>'06 Debt &amp; WC'!AZ$46+'06 Debt &amp; WC'!AZ$47</f>
        <v>36897724.365933158</v>
      </c>
      <c r="BA49" s="90">
        <f>'06 Debt &amp; WC'!BA$46+'06 Debt &amp; WC'!BA$47</f>
        <v>38132845.708703853</v>
      </c>
      <c r="BB49" s="90">
        <f>'06 Debt &amp; WC'!BB$46+'06 Debt &amp; WC'!BB$47</f>
        <v>36907783.457364619</v>
      </c>
      <c r="BC49" s="90">
        <f>'06 Debt &amp; WC'!BC$46+'06 Debt &amp; WC'!BC$47</f>
        <v>37778261.769502215</v>
      </c>
      <c r="BD49" s="90">
        <f>'06 Debt &amp; WC'!BD$46+'06 Debt &amp; WC'!BD$47</f>
        <v>41831551.119184941</v>
      </c>
      <c r="BE49" s="90">
        <f>'06 Debt &amp; WC'!BE$46+'06 Debt &amp; WC'!BE$47</f>
        <v>37788411.219993152</v>
      </c>
      <c r="BF49" s="90">
        <f>'06 Debt &amp; WC'!BF$46+'06 Debt &amp; WC'!BF$47</f>
        <v>39053268.810079895</v>
      </c>
      <c r="BG49" s="90">
        <f>'06 Debt &amp; WC'!BG$46+'06 Debt &amp; WC'!BG$47</f>
        <v>37798560.670484073</v>
      </c>
      <c r="BH49" s="90">
        <f>'06 Debt &amp; WC'!BH$46+'06 Debt &amp; WC'!BH$47</f>
        <v>39063756.575587191</v>
      </c>
      <c r="BI49" s="90">
        <f>'06 Debt &amp; WC'!BI$46+'06 Debt &amp; WC'!BI$47</f>
        <v>39421204.914677702</v>
      </c>
      <c r="BJ49" s="90">
        <f>'06 Debt &amp; WC'!BJ$46+'06 Debt &amp; WC'!BJ$47</f>
        <v>40525685.469757572</v>
      </c>
      <c r="BK49" s="90">
        <f>'06 Debt &amp; WC'!BK$46+'06 Debt &amp; WC'!BK$47</f>
        <v>41549807.912256159</v>
      </c>
      <c r="BL49" s="90">
        <f>'06 Debt &amp; WC'!BL$46+'06 Debt &amp; WC'!BL$47</f>
        <v>42602487.802015468</v>
      </c>
      <c r="BM49" s="90">
        <f>'06 Debt &amp; WC'!BM$46+'06 Debt &amp; WC'!BM$47</f>
        <v>43565315.961772516</v>
      </c>
      <c r="BN49" s="90">
        <f>'06 Debt &amp; WC'!BN$46+'06 Debt &amp; WC'!BN$47</f>
        <v>44830370.15767058</v>
      </c>
      <c r="BO49" s="90">
        <f>'06 Debt &amp; WC'!BO$46+'06 Debt &amp; WC'!BO$47</f>
        <v>45946654.32486923</v>
      </c>
    </row>
    <row r="50" spans="1:67">
      <c r="A50" s="11"/>
      <c r="B50" s="11"/>
      <c r="C50" s="11"/>
      <c r="D50" s="11" t="s">
        <v>469</v>
      </c>
      <c r="E50" s="33"/>
      <c r="F50" s="33"/>
      <c r="G50" s="90">
        <f>'06 Debt &amp; WC'!G$52</f>
        <v>10644</v>
      </c>
      <c r="H50" s="90">
        <f>'06 Debt &amp; WC'!H$52</f>
        <v>10644</v>
      </c>
      <c r="I50" s="90">
        <f>'06 Debt &amp; WC'!I$52</f>
        <v>10644</v>
      </c>
      <c r="J50" s="90">
        <f>'06 Debt &amp; WC'!J$52</f>
        <v>10644</v>
      </c>
      <c r="K50" s="90">
        <f>'06 Debt &amp; WC'!K$52</f>
        <v>10644</v>
      </c>
      <c r="L50" s="90">
        <f>'06 Debt &amp; WC'!L$52</f>
        <v>10644</v>
      </c>
      <c r="M50" s="90">
        <f>'06 Debt &amp; WC'!M$52</f>
        <v>10644</v>
      </c>
      <c r="N50" s="90">
        <f>'06 Debt &amp; WC'!N$52</f>
        <v>10644</v>
      </c>
      <c r="O50" s="90">
        <f>'06 Debt &amp; WC'!O$52</f>
        <v>10644</v>
      </c>
      <c r="P50" s="90">
        <f>'06 Debt &amp; WC'!P$52</f>
        <v>13456.5</v>
      </c>
      <c r="Q50" s="90">
        <f>'06 Debt &amp; WC'!Q$52</f>
        <v>13456.5</v>
      </c>
      <c r="R50" s="90">
        <f>'06 Debt &amp; WC'!R$52</f>
        <v>21131.5</v>
      </c>
      <c r="S50" s="90">
        <f>'06 Debt &amp; WC'!S$52</f>
        <v>18037.38</v>
      </c>
      <c r="T50" s="90">
        <f>'06 Debt &amp; WC'!T$52</f>
        <v>35537.379999999997</v>
      </c>
      <c r="U50" s="90">
        <f>'06 Debt &amp; WC'!U$52</f>
        <v>35537.379999999997</v>
      </c>
      <c r="V50" s="90">
        <f>'06 Debt &amp; WC'!V$52</f>
        <v>38706.130000000005</v>
      </c>
      <c r="W50" s="90">
        <f>'06 Debt &amp; WC'!W$52</f>
        <v>38706.130000000005</v>
      </c>
      <c r="X50" s="90">
        <f>'06 Debt &amp; WC'!X$52</f>
        <v>38393.629999999997</v>
      </c>
      <c r="Y50" s="90">
        <f>'06 Debt &amp; WC'!Y$52</f>
        <v>38393.629999999997</v>
      </c>
      <c r="Z50" s="90">
        <f>'06 Debt &amp; WC'!Z$52</f>
        <v>40662.379999999997</v>
      </c>
      <c r="AA50" s="90">
        <f>'06 Debt &amp; WC'!AA$52</f>
        <v>40662.379999999997</v>
      </c>
      <c r="AB50" s="90">
        <f>'06 Debt &amp; WC'!AB$52</f>
        <v>967062.00069577119</v>
      </c>
      <c r="AC50" s="90">
        <f>'06 Debt &amp; WC'!AC$52</f>
        <v>516003.63508741435</v>
      </c>
      <c r="AD50" s="90">
        <f>'06 Debt &amp; WC'!AD$52</f>
        <v>568314.41159470519</v>
      </c>
      <c r="AE50" s="90">
        <f>'06 Debt &amp; WC'!AE$52</f>
        <v>637528.1442152661</v>
      </c>
      <c r="AF50" s="90">
        <f>'06 Debt &amp; WC'!AF$52</f>
        <v>673029.81547671778</v>
      </c>
      <c r="AG50" s="90">
        <f>'06 Debt &amp; WC'!AG$52</f>
        <v>728781.48673817003</v>
      </c>
      <c r="AH50" s="90">
        <f>'06 Debt &amp; WC'!AH$52</f>
        <v>783495.65799962182</v>
      </c>
      <c r="AI50" s="90">
        <f>'06 Debt &amp; WC'!AI$52</f>
        <v>839247.32926107373</v>
      </c>
      <c r="AJ50" s="90">
        <f>'06 Debt &amp; WC'!AJ$52</f>
        <v>894999.0005225261</v>
      </c>
      <c r="AK50" s="90">
        <f>'06 Debt &amp; WC'!AK$52</f>
        <v>950750.67178397765</v>
      </c>
      <c r="AL50" s="90">
        <f>'06 Debt &amp; WC'!AL$52</f>
        <v>1006502.3430454298</v>
      </c>
      <c r="AM50" s="90">
        <f>'06 Debt &amp; WC'!AM$52</f>
        <v>1062254.0143068822</v>
      </c>
      <c r="AN50" s="90">
        <f>'06 Debt &amp; WC'!AN$52</f>
        <v>1118005.6855683338</v>
      </c>
      <c r="AO50" s="90">
        <f>'06 Debt &amp; WC'!AO$52</f>
        <v>1118160.2147870837</v>
      </c>
      <c r="AP50" s="90">
        <f>'06 Debt &amp; WC'!AP$52</f>
        <v>1116189.744005834</v>
      </c>
      <c r="AQ50" s="90">
        <f>'06 Debt &amp; WC'!AQ$52</f>
        <v>1142426.2120892403</v>
      </c>
      <c r="AR50" s="90">
        <f>'06 Debt &amp; WC'!AR$52</f>
        <v>1142582.1280064282</v>
      </c>
      <c r="AS50" s="90">
        <f>'06 Debt &amp; WC'!AS$52</f>
        <v>1142738.0439236155</v>
      </c>
      <c r="AT50" s="90">
        <f>'06 Debt &amp; WC'!AT$52</f>
        <v>1142893.9598408029</v>
      </c>
      <c r="AU50" s="90">
        <f>'06 Debt &amp; WC'!AU$52</f>
        <v>1143049.8757579904</v>
      </c>
      <c r="AV50" s="90">
        <f>'06 Debt &amp; WC'!AV$52</f>
        <v>1143205.7916751781</v>
      </c>
      <c r="AW50" s="90">
        <f>'06 Debt &amp; WC'!AW$52</f>
        <v>1143361.7075923656</v>
      </c>
      <c r="AX50" s="90">
        <f>'06 Debt &amp; WC'!AX$52</f>
        <v>1143517.6235095528</v>
      </c>
      <c r="AY50" s="90">
        <f>'06 Debt &amp; WC'!AY$52</f>
        <v>1143673.5394267407</v>
      </c>
      <c r="AZ50" s="90">
        <f>'06 Debt &amp; WC'!AZ$52</f>
        <v>1143829.4553439277</v>
      </c>
      <c r="BA50" s="90">
        <f>'06 Debt &amp; WC'!BA$52</f>
        <v>1143985.3712611157</v>
      </c>
      <c r="BB50" s="90">
        <f>'06 Debt &amp; WC'!BB$52</f>
        <v>1144141.2871783031</v>
      </c>
      <c r="BC50" s="90">
        <f>'06 Debt &amp; WC'!BC$52</f>
        <v>1171126.1148545686</v>
      </c>
      <c r="BD50" s="90">
        <f>'06 Debt &amp; WC'!BD$52</f>
        <v>1171283.4313371782</v>
      </c>
      <c r="BE50" s="90">
        <f>'06 Debt &amp; WC'!BE$52</f>
        <v>1171440.7478197876</v>
      </c>
      <c r="BF50" s="90">
        <f>'06 Debt &amp; WC'!BF$52</f>
        <v>1171598.0643023967</v>
      </c>
      <c r="BG50" s="90">
        <f>'06 Debt &amp; WC'!BG$52</f>
        <v>1171755.3807850063</v>
      </c>
      <c r="BH50" s="90">
        <f>'06 Debt &amp; WC'!BH$52</f>
        <v>1171912.6972676157</v>
      </c>
      <c r="BI50" s="90">
        <f>'06 Debt &amp; WC'!BI$52</f>
        <v>14428160.998772038</v>
      </c>
      <c r="BJ50" s="90">
        <f>'06 Debt &amp; WC'!BJ$52</f>
        <v>14791875.196461514</v>
      </c>
      <c r="BK50" s="90">
        <f>'06 Debt &amp; WC'!BK$52</f>
        <v>15165679.887973497</v>
      </c>
      <c r="BL50" s="90">
        <f>'06 Debt &amp; WC'!BL$52</f>
        <v>15549908.047735648</v>
      </c>
      <c r="BM50" s="90">
        <f>'06 Debt &amp; WC'!BM$52</f>
        <v>15944905.64200874</v>
      </c>
      <c r="BN50" s="90">
        <f>'06 Debt &amp; WC'!BN$52</f>
        <v>16363085.10754976</v>
      </c>
      <c r="BO50" s="90">
        <f>'06 Debt &amp; WC'!BO$52</f>
        <v>16770528.828577269</v>
      </c>
    </row>
    <row r="51" spans="1:67">
      <c r="A51" s="11"/>
      <c r="B51" s="11"/>
      <c r="C51" s="11"/>
      <c r="D51" s="11" t="s">
        <v>524</v>
      </c>
      <c r="E51" s="33"/>
      <c r="F51" s="33"/>
      <c r="G51" s="90">
        <f>'07 Equity &amp; Dividend'!G$33</f>
        <v>0</v>
      </c>
      <c r="H51" s="90">
        <f>'07 Equity &amp; Dividend'!H$33</f>
        <v>0</v>
      </c>
      <c r="I51" s="90">
        <f>'07 Equity &amp; Dividend'!I$33</f>
        <v>0</v>
      </c>
      <c r="J51" s="90">
        <f>'07 Equity &amp; Dividend'!J$33</f>
        <v>0</v>
      </c>
      <c r="K51" s="90">
        <f>'07 Equity &amp; Dividend'!K$33</f>
        <v>0</v>
      </c>
      <c r="L51" s="90">
        <f>'07 Equity &amp; Dividend'!L$33</f>
        <v>0</v>
      </c>
      <c r="M51" s="90">
        <f>'07 Equity &amp; Dividend'!M$33</f>
        <v>0</v>
      </c>
      <c r="N51" s="90">
        <f>'07 Equity &amp; Dividend'!N$33</f>
        <v>0</v>
      </c>
      <c r="O51" s="90">
        <f>'07 Equity &amp; Dividend'!O$33</f>
        <v>0</v>
      </c>
      <c r="P51" s="90">
        <f>'07 Equity &amp; Dividend'!P$33</f>
        <v>0</v>
      </c>
      <c r="Q51" s="90">
        <f>'07 Equity &amp; Dividend'!Q$33</f>
        <v>0</v>
      </c>
      <c r="R51" s="90">
        <f>'07 Equity &amp; Dividend'!R$33</f>
        <v>0</v>
      </c>
      <c r="S51" s="90">
        <f>'07 Equity &amp; Dividend'!S$33</f>
        <v>0</v>
      </c>
      <c r="T51" s="90">
        <f>'07 Equity &amp; Dividend'!T$33</f>
        <v>0</v>
      </c>
      <c r="U51" s="90">
        <f>'07 Equity &amp; Dividend'!U$33</f>
        <v>0</v>
      </c>
      <c r="V51" s="90">
        <f>'07 Equity &amp; Dividend'!V$33</f>
        <v>0</v>
      </c>
      <c r="W51" s="90">
        <f>'07 Equity &amp; Dividend'!W$33</f>
        <v>0</v>
      </c>
      <c r="X51" s="90">
        <f>'07 Equity &amp; Dividend'!X$33</f>
        <v>0</v>
      </c>
      <c r="Y51" s="90">
        <f>'07 Equity &amp; Dividend'!Y$33</f>
        <v>0</v>
      </c>
      <c r="Z51" s="90">
        <f>'07 Equity &amp; Dividend'!Z$33</f>
        <v>0</v>
      </c>
      <c r="AA51" s="90">
        <f>'07 Equity &amp; Dividend'!AA$33</f>
        <v>0</v>
      </c>
      <c r="AB51" s="90">
        <f>'07 Equity &amp; Dividend'!AB$33</f>
        <v>0</v>
      </c>
      <c r="AC51" s="90">
        <f>'07 Equity &amp; Dividend'!AC$33</f>
        <v>0</v>
      </c>
      <c r="AD51" s="90">
        <f>'07 Equity &amp; Dividend'!AD$33</f>
        <v>0</v>
      </c>
      <c r="AE51" s="90">
        <f>'07 Equity &amp; Dividend'!AE$33</f>
        <v>0</v>
      </c>
      <c r="AF51" s="90">
        <f>'07 Equity &amp; Dividend'!AF$33</f>
        <v>0</v>
      </c>
      <c r="AG51" s="90">
        <f>'07 Equity &amp; Dividend'!AG$33</f>
        <v>0</v>
      </c>
      <c r="AH51" s="90">
        <f>'07 Equity &amp; Dividend'!AH$33</f>
        <v>0</v>
      </c>
      <c r="AI51" s="90">
        <f>'07 Equity &amp; Dividend'!AI$33</f>
        <v>0</v>
      </c>
      <c r="AJ51" s="90">
        <f>'07 Equity &amp; Dividend'!AJ$33</f>
        <v>0</v>
      </c>
      <c r="AK51" s="90">
        <f>'07 Equity &amp; Dividend'!AK$33</f>
        <v>0</v>
      </c>
      <c r="AL51" s="90">
        <f>'07 Equity &amp; Dividend'!AL$33</f>
        <v>0</v>
      </c>
      <c r="AM51" s="90">
        <f ca="1">'07 Equity &amp; Dividend'!AM$33</f>
        <v>0</v>
      </c>
      <c r="AN51" s="90">
        <f ca="1">'07 Equity &amp; Dividend'!AN$33</f>
        <v>0</v>
      </c>
      <c r="AO51" s="90">
        <f ca="1">'07 Equity &amp; Dividend'!AO$33</f>
        <v>0</v>
      </c>
      <c r="AP51" s="90">
        <f ca="1">'07 Equity &amp; Dividend'!AP$33</f>
        <v>0</v>
      </c>
      <c r="AQ51" s="90">
        <f ca="1">'07 Equity &amp; Dividend'!AQ$33</f>
        <v>0</v>
      </c>
      <c r="AR51" s="90">
        <f ca="1">'07 Equity &amp; Dividend'!AR$33</f>
        <v>0</v>
      </c>
      <c r="AS51" s="90">
        <f ca="1">'07 Equity &amp; Dividend'!AS$33</f>
        <v>0</v>
      </c>
      <c r="AT51" s="90">
        <f ca="1">'07 Equity &amp; Dividend'!AT$33</f>
        <v>0</v>
      </c>
      <c r="AU51" s="90">
        <f ca="1">'07 Equity &amp; Dividend'!AU$33</f>
        <v>0</v>
      </c>
      <c r="AV51" s="90">
        <f ca="1">'07 Equity &amp; Dividend'!AV$33</f>
        <v>0</v>
      </c>
      <c r="AW51" s="90">
        <f ca="1">'07 Equity &amp; Dividend'!AW$33</f>
        <v>0</v>
      </c>
      <c r="AX51" s="90">
        <f ca="1">'07 Equity &amp; Dividend'!AX$33</f>
        <v>0</v>
      </c>
      <c r="AY51" s="90">
        <f ca="1">'07 Equity &amp; Dividend'!AY$33</f>
        <v>32570538.632764772</v>
      </c>
      <c r="AZ51" s="90">
        <f ca="1">'07 Equity &amp; Dividend'!AZ$33</f>
        <v>32570538.632764772</v>
      </c>
      <c r="BA51" s="90">
        <f ca="1">'07 Equity &amp; Dividend'!BA$33</f>
        <v>32570538.632764772</v>
      </c>
      <c r="BB51" s="90">
        <f ca="1">'07 Equity &amp; Dividend'!BB$33</f>
        <v>32570538.632764772</v>
      </c>
      <c r="BC51" s="90">
        <f ca="1">'07 Equity &amp; Dividend'!BC$33</f>
        <v>32570538.632764772</v>
      </c>
      <c r="BD51" s="90">
        <f ca="1">'07 Equity &amp; Dividend'!BD$33</f>
        <v>32570538.632764772</v>
      </c>
      <c r="BE51" s="90">
        <f ca="1">'07 Equity &amp; Dividend'!BE$33</f>
        <v>32570538.632764772</v>
      </c>
      <c r="BF51" s="90">
        <f ca="1">'07 Equity &amp; Dividend'!BF$33</f>
        <v>32570538.632764772</v>
      </c>
      <c r="BG51" s="90">
        <f ca="1">'07 Equity &amp; Dividend'!BG$33</f>
        <v>32570538.632764772</v>
      </c>
      <c r="BH51" s="90">
        <f ca="1">'07 Equity &amp; Dividend'!BH$33</f>
        <v>32570538.632764772</v>
      </c>
      <c r="BI51" s="90">
        <f ca="1">'07 Equity &amp; Dividend'!BI$33</f>
        <v>96028969.788974926</v>
      </c>
      <c r="BJ51" s="90">
        <f ca="1">'07 Equity &amp; Dividend'!BJ$33</f>
        <v>102139379.34440483</v>
      </c>
      <c r="BK51" s="90">
        <f ca="1">'07 Equity &amp; Dividend'!BK$33</f>
        <v>114434153.17681257</v>
      </c>
      <c r="BL51" s="90">
        <f ca="1">'07 Equity &amp; Dividend'!BL$33</f>
        <v>122662236.33951207</v>
      </c>
      <c r="BM51" s="90">
        <f ca="1">'07 Equity &amp; Dividend'!BM$33</f>
        <v>128872457.45621018</v>
      </c>
      <c r="BN51" s="90">
        <f ca="1">'07 Equity &amp; Dividend'!BN$33</f>
        <v>117560968.32843585</v>
      </c>
      <c r="BO51" s="90">
        <f ca="1">'07 Equity &amp; Dividend'!BO$33</f>
        <v>107683189.10215361</v>
      </c>
    </row>
    <row r="52" spans="1:67">
      <c r="A52" s="11"/>
      <c r="B52" s="11"/>
      <c r="C52" s="11"/>
      <c r="D52" s="11" t="s">
        <v>462</v>
      </c>
      <c r="E52" s="33"/>
      <c r="F52" s="33"/>
      <c r="G52" s="90">
        <f>'06 Debt &amp; WC'!G$31</f>
        <v>0</v>
      </c>
      <c r="H52" s="90">
        <f>'06 Debt &amp; WC'!H$31</f>
        <v>0</v>
      </c>
      <c r="I52" s="90">
        <f>'06 Debt &amp; WC'!I$31</f>
        <v>0</v>
      </c>
      <c r="J52" s="90">
        <f>'06 Debt &amp; WC'!J$31</f>
        <v>0</v>
      </c>
      <c r="K52" s="90">
        <f>'06 Debt &amp; WC'!K$31</f>
        <v>0</v>
      </c>
      <c r="L52" s="90">
        <f>'06 Debt &amp; WC'!L$31</f>
        <v>0</v>
      </c>
      <c r="M52" s="90">
        <f>'06 Debt &amp; WC'!M$31</f>
        <v>0</v>
      </c>
      <c r="N52" s="90">
        <f>'06 Debt &amp; WC'!N$31</f>
        <v>0</v>
      </c>
      <c r="O52" s="90">
        <f>'06 Debt &amp; WC'!O$31</f>
        <v>0</v>
      </c>
      <c r="P52" s="90">
        <f>'06 Debt &amp; WC'!P$31</f>
        <v>0</v>
      </c>
      <c r="Q52" s="90">
        <f>'06 Debt &amp; WC'!Q$31</f>
        <v>0</v>
      </c>
      <c r="R52" s="90">
        <f>'06 Debt &amp; WC'!R$31</f>
        <v>0</v>
      </c>
      <c r="S52" s="90">
        <f>'06 Debt &amp; WC'!S$31</f>
        <v>0</v>
      </c>
      <c r="T52" s="90">
        <f>'06 Debt &amp; WC'!T$31</f>
        <v>0</v>
      </c>
      <c r="U52" s="90">
        <f>'06 Debt &amp; WC'!U$31</f>
        <v>0</v>
      </c>
      <c r="V52" s="90">
        <f>'06 Debt &amp; WC'!V$31</f>
        <v>0</v>
      </c>
      <c r="W52" s="90">
        <f>'06 Debt &amp; WC'!W$31</f>
        <v>0</v>
      </c>
      <c r="X52" s="90">
        <f>'06 Debt &amp; WC'!X$31</f>
        <v>0</v>
      </c>
      <c r="Y52" s="90">
        <f>'06 Debt &amp; WC'!Y$31</f>
        <v>0</v>
      </c>
      <c r="Z52" s="90">
        <f>'06 Debt &amp; WC'!Z$31</f>
        <v>0</v>
      </c>
      <c r="AA52" s="90">
        <f>'06 Debt &amp; WC'!AA$31</f>
        <v>0</v>
      </c>
      <c r="AB52" s="90">
        <f>'06 Debt &amp; WC'!AB$31</f>
        <v>106720902.85723646</v>
      </c>
      <c r="AC52" s="90">
        <f>'06 Debt &amp; WC'!AC$31</f>
        <v>106720902.85723646</v>
      </c>
      <c r="AD52" s="90">
        <f>'06 Debt &amp; WC'!AD$31</f>
        <v>106720902.85723646</v>
      </c>
      <c r="AE52" s="90">
        <f>'06 Debt &amp; WC'!AE$31</f>
        <v>106720902.85723646</v>
      </c>
      <c r="AF52" s="90">
        <f>'06 Debt &amp; WC'!AF$31</f>
        <v>106720902.85723646</v>
      </c>
      <c r="AG52" s="90">
        <f>'06 Debt &amp; WC'!AG$31</f>
        <v>106720902.85723646</v>
      </c>
      <c r="AH52" s="90">
        <f>'06 Debt &amp; WC'!AH$31</f>
        <v>106720902.85723646</v>
      </c>
      <c r="AI52" s="90">
        <f>'06 Debt &amp; WC'!AI$31</f>
        <v>106720902.85723646</v>
      </c>
      <c r="AJ52" s="90">
        <f>'06 Debt &amp; WC'!AJ$31</f>
        <v>106720902.85723646</v>
      </c>
      <c r="AK52" s="90">
        <f>'06 Debt &amp; WC'!AK$31</f>
        <v>106720902.85723646</v>
      </c>
      <c r="AL52" s="90">
        <f>'06 Debt &amp; WC'!AL$31</f>
        <v>106720902.85723646</v>
      </c>
      <c r="AM52" s="90">
        <f>'06 Debt &amp; WC'!AM$31</f>
        <v>106720902.85723646</v>
      </c>
      <c r="AN52" s="90">
        <f>'06 Debt &amp; WC'!AN$31</f>
        <v>106720902.85723646</v>
      </c>
      <c r="AO52" s="90">
        <f>'06 Debt &amp; WC'!AO$31</f>
        <v>106720902.85723646</v>
      </c>
      <c r="AP52" s="90">
        <f>'06 Debt &amp; WC'!AP$31</f>
        <v>106720902.85723646</v>
      </c>
      <c r="AQ52" s="90">
        <f>'06 Debt &amp; WC'!AQ$31</f>
        <v>106720902.85723646</v>
      </c>
      <c r="AR52" s="90">
        <f>'06 Debt &amp; WC'!AR$31</f>
        <v>106720902.85723646</v>
      </c>
      <c r="AS52" s="90">
        <f>'06 Debt &amp; WC'!AS$31</f>
        <v>106720902.85723646</v>
      </c>
      <c r="AT52" s="90">
        <f>'06 Debt &amp; WC'!AT$31</f>
        <v>106720902.85723646</v>
      </c>
      <c r="AU52" s="90">
        <f>'06 Debt &amp; WC'!AU$31</f>
        <v>106720902.85723646</v>
      </c>
      <c r="AV52" s="90">
        <f>'06 Debt &amp; WC'!AV$31</f>
        <v>106720902.85723646</v>
      </c>
      <c r="AW52" s="90">
        <f>'06 Debt &amp; WC'!AW$31</f>
        <v>106720902.85723646</v>
      </c>
      <c r="AX52" s="90">
        <f>'06 Debt &amp; WC'!AX$31</f>
        <v>106720902.85723646</v>
      </c>
      <c r="AY52" s="90">
        <f>'06 Debt &amp; WC'!AY$31</f>
        <v>106720902.85723646</v>
      </c>
      <c r="AZ52" s="90">
        <f>'06 Debt &amp; WC'!AZ$31</f>
        <v>106720902.85723646</v>
      </c>
      <c r="BA52" s="90">
        <f>'06 Debt &amp; WC'!BA$31</f>
        <v>106720902.85723646</v>
      </c>
      <c r="BB52" s="90">
        <f>'06 Debt &amp; WC'!BB$31</f>
        <v>106720902.85723646</v>
      </c>
      <c r="BC52" s="90">
        <f>'06 Debt &amp; WC'!BC$31</f>
        <v>106720902.85723646</v>
      </c>
      <c r="BD52" s="90">
        <f>'06 Debt &amp; WC'!BD$31</f>
        <v>106720902.85723646</v>
      </c>
      <c r="BE52" s="90">
        <f>'06 Debt &amp; WC'!BE$31</f>
        <v>106720902.85723646</v>
      </c>
      <c r="BF52" s="90">
        <f>'06 Debt &amp; WC'!BF$31</f>
        <v>106720902.85723646</v>
      </c>
      <c r="BG52" s="90">
        <f>'06 Debt &amp; WC'!BG$31</f>
        <v>106720902.85723646</v>
      </c>
      <c r="BH52" s="90">
        <f>'06 Debt &amp; WC'!BH$31</f>
        <v>106720902.85723646</v>
      </c>
      <c r="BI52" s="90">
        <f>'06 Debt &amp; WC'!BI$31</f>
        <v>106720902.85723646</v>
      </c>
      <c r="BJ52" s="90">
        <f>'06 Debt &amp; WC'!BJ$31</f>
        <v>106720902.85723646</v>
      </c>
      <c r="BK52" s="90">
        <f>'06 Debt &amp; WC'!BK$31</f>
        <v>106720902.85723646</v>
      </c>
      <c r="BL52" s="90">
        <f>'06 Debt &amp; WC'!BL$31</f>
        <v>106720902.85723646</v>
      </c>
      <c r="BM52" s="63">
        <f>'06 Debt &amp; WC'!BM$31</f>
        <v>26680225.714308411</v>
      </c>
      <c r="BN52" s="63">
        <f>'06 Debt &amp; WC'!BN$31</f>
        <v>26680225.714308411</v>
      </c>
      <c r="BO52" s="63">
        <f>'06 Debt &amp; WC'!BO$31</f>
        <v>26680225.714308411</v>
      </c>
    </row>
    <row r="53" spans="1:67">
      <c r="A53" s="32"/>
      <c r="B53" s="32"/>
      <c r="C53" s="32" t="s">
        <v>1800</v>
      </c>
      <c r="D53" s="17"/>
      <c r="E53" s="17"/>
      <c r="F53" s="17"/>
      <c r="G53" s="92">
        <f>'06 Debt &amp; WC'!G$61</f>
        <v>0</v>
      </c>
      <c r="H53" s="92">
        <f>'06 Debt &amp; WC'!H$61</f>
        <v>0</v>
      </c>
      <c r="I53" s="92">
        <f>'06 Debt &amp; WC'!I$61</f>
        <v>0</v>
      </c>
      <c r="J53" s="92">
        <f>'06 Debt &amp; WC'!J$61</f>
        <v>0</v>
      </c>
      <c r="K53" s="92">
        <f>'06 Debt &amp; WC'!K$61</f>
        <v>0</v>
      </c>
      <c r="L53" s="92">
        <f>'06 Debt &amp; WC'!L$61</f>
        <v>0</v>
      </c>
      <c r="M53" s="92">
        <f>'06 Debt &amp; WC'!M$61</f>
        <v>0</v>
      </c>
      <c r="N53" s="92">
        <f>'06 Debt &amp; WC'!N$61</f>
        <v>0</v>
      </c>
      <c r="O53" s="92">
        <f>'06 Debt &amp; WC'!O$61</f>
        <v>0</v>
      </c>
      <c r="P53" s="92">
        <f>'06 Debt &amp; WC'!P$61</f>
        <v>0</v>
      </c>
      <c r="Q53" s="92">
        <f>'06 Debt &amp; WC'!Q$61</f>
        <v>0</v>
      </c>
      <c r="R53" s="92">
        <f>'06 Debt &amp; WC'!R$61</f>
        <v>0</v>
      </c>
      <c r="S53" s="92">
        <f>'06 Debt &amp; WC'!S$61</f>
        <v>0</v>
      </c>
      <c r="T53" s="92">
        <f>'06 Debt &amp; WC'!T$61</f>
        <v>0</v>
      </c>
      <c r="U53" s="92">
        <f>'06 Debt &amp; WC'!U$61</f>
        <v>0</v>
      </c>
      <c r="V53" s="92">
        <f>'06 Debt &amp; WC'!V$61</f>
        <v>0</v>
      </c>
      <c r="W53" s="92">
        <f>'06 Debt &amp; WC'!W$61</f>
        <v>0</v>
      </c>
      <c r="X53" s="92">
        <f>'06 Debt &amp; WC'!X$61</f>
        <v>0</v>
      </c>
      <c r="Y53" s="92">
        <f>'06 Debt &amp; WC'!Y$61</f>
        <v>0</v>
      </c>
      <c r="Z53" s="92">
        <f>'06 Debt &amp; WC'!Z$61</f>
        <v>0</v>
      </c>
      <c r="AA53" s="92">
        <f>'06 Debt &amp; WC'!AA$61</f>
        <v>0</v>
      </c>
      <c r="AB53" s="92">
        <f>'06 Debt &amp; WC'!AB$61</f>
        <v>48458504.085170314</v>
      </c>
      <c r="AC53" s="92">
        <f>'06 Debt &amp; WC'!AC$61</f>
        <v>69411854.100588009</v>
      </c>
      <c r="AD53" s="92">
        <f>'06 Debt &amp; WC'!AD$61</f>
        <v>78173350.542747408</v>
      </c>
      <c r="AE53" s="92">
        <f>'06 Debt &amp; WC'!AE$61</f>
        <v>86038339.049907669</v>
      </c>
      <c r="AF53" s="92">
        <f>'06 Debt &amp; WC'!AF$61</f>
        <v>94471529.452439159</v>
      </c>
      <c r="AG53" s="92">
        <f>'06 Debt &amp; WC'!AG$61</f>
        <v>92162553.844220027</v>
      </c>
      <c r="AH53" s="92">
        <f>'06 Debt &amp; WC'!AH$61</f>
        <v>92768596.45194675</v>
      </c>
      <c r="AI53" s="92">
        <f>'06 Debt &amp; WC'!AI$61</f>
        <v>87800227.334696501</v>
      </c>
      <c r="AJ53" s="92">
        <f>'06 Debt &amp; WC'!AJ$61</f>
        <v>83796682.475864887</v>
      </c>
      <c r="AK53" s="92">
        <f>'06 Debt &amp; WC'!AK$61</f>
        <v>73521417.63062115</v>
      </c>
      <c r="AL53" s="92">
        <f>'06 Debt &amp; WC'!AL$61</f>
        <v>62633823.646645717</v>
      </c>
      <c r="AM53" s="92">
        <f>'06 Debt &amp; WC'!AM$61</f>
        <v>51659021.786324434</v>
      </c>
      <c r="AN53" s="92">
        <f>'06 Debt &amp; WC'!AN$61</f>
        <v>42207856.48046191</v>
      </c>
      <c r="AO53" s="92">
        <f>'06 Debt &amp; WC'!AO$61</f>
        <v>32372337.059200905</v>
      </c>
      <c r="AP53" s="92">
        <f>'06 Debt &amp; WC'!AP$61</f>
        <v>17225126.736915037</v>
      </c>
      <c r="AQ53" s="92">
        <f>'06 Debt &amp; WC'!AQ$61</f>
        <v>5960598.5929241925</v>
      </c>
      <c r="AR53" s="92">
        <f>'06 Debt &amp; WC'!AR$61</f>
        <v>1092740.4105528295</v>
      </c>
      <c r="AS53" s="92">
        <f>'06 Debt &amp; WC'!AS$61</f>
        <v>0</v>
      </c>
      <c r="AT53" s="92">
        <f>'06 Debt &amp; WC'!AT$61</f>
        <v>0</v>
      </c>
      <c r="AU53" s="92">
        <f>'06 Debt &amp; WC'!AU$61</f>
        <v>0</v>
      </c>
      <c r="AV53" s="92">
        <f>'06 Debt &amp; WC'!AV$61</f>
        <v>0</v>
      </c>
      <c r="AW53" s="92">
        <f>'06 Debt &amp; WC'!AW$61</f>
        <v>0</v>
      </c>
      <c r="AX53" s="92">
        <f>'06 Debt &amp; WC'!AX$61</f>
        <v>0</v>
      </c>
      <c r="AY53" s="92">
        <f ca="1">'06 Debt &amp; WC'!AY$61</f>
        <v>0</v>
      </c>
      <c r="AZ53" s="92">
        <f ca="1">'06 Debt &amp; WC'!AZ$61</f>
        <v>0</v>
      </c>
      <c r="BA53" s="92">
        <f ca="1">'06 Debt &amp; WC'!BA$61</f>
        <v>0</v>
      </c>
      <c r="BB53" s="92">
        <f ca="1">'06 Debt &amp; WC'!BB$61</f>
        <v>0</v>
      </c>
      <c r="BC53" s="92">
        <f ca="1">'06 Debt &amp; WC'!BC$61</f>
        <v>0</v>
      </c>
      <c r="BD53" s="92">
        <f ca="1">'06 Debt &amp; WC'!BD$61</f>
        <v>0</v>
      </c>
      <c r="BE53" s="92">
        <f ca="1">'06 Debt &amp; WC'!BE$61</f>
        <v>0</v>
      </c>
      <c r="BF53" s="92">
        <f ca="1">'06 Debt &amp; WC'!BF$61</f>
        <v>0</v>
      </c>
      <c r="BG53" s="92">
        <f ca="1">'06 Debt &amp; WC'!BG$61</f>
        <v>0</v>
      </c>
      <c r="BH53" s="92">
        <f ca="1">'06 Debt &amp; WC'!BH$61</f>
        <v>0</v>
      </c>
      <c r="BI53" s="92">
        <f ca="1">'06 Debt &amp; WC'!BI$61</f>
        <v>0</v>
      </c>
      <c r="BJ53" s="92">
        <f ca="1">'06 Debt &amp; WC'!BJ$61</f>
        <v>0</v>
      </c>
      <c r="BK53" s="92">
        <f ca="1">'06 Debt &amp; WC'!BK$61</f>
        <v>0</v>
      </c>
      <c r="BL53" s="92">
        <f ca="1">'06 Debt &amp; WC'!BL$61</f>
        <v>0</v>
      </c>
      <c r="BM53" s="92">
        <f ca="1">'06 Debt &amp; WC'!BM$61</f>
        <v>0</v>
      </c>
      <c r="BN53" s="92">
        <f ca="1">'06 Debt &amp; WC'!BN$61</f>
        <v>0</v>
      </c>
      <c r="BO53" s="92">
        <f ca="1">'06 Debt &amp; WC'!BO$61</f>
        <v>0</v>
      </c>
    </row>
    <row r="54" spans="1:67">
      <c r="A54" s="11"/>
      <c r="B54" s="22"/>
      <c r="C54" s="22" t="s">
        <v>525</v>
      </c>
      <c r="D54" s="33"/>
      <c r="E54" s="33"/>
      <c r="F54" s="33"/>
      <c r="G54" s="89">
        <f>SUM(G49:G53)</f>
        <v>353998.83870967739</v>
      </c>
      <c r="H54" s="89">
        <f t="shared" ref="H54:BO54" si="76">SUM(H49:H53)</f>
        <v>390786.85714285716</v>
      </c>
      <c r="I54" s="89">
        <f t="shared" si="76"/>
        <v>353998.83870967739</v>
      </c>
      <c r="J54" s="89">
        <f t="shared" si="76"/>
        <v>365444</v>
      </c>
      <c r="K54" s="89">
        <f t="shared" si="76"/>
        <v>353998.83870967739</v>
      </c>
      <c r="L54" s="89">
        <f t="shared" si="76"/>
        <v>365444</v>
      </c>
      <c r="M54" s="89">
        <f t="shared" si="76"/>
        <v>353998.83870967739</v>
      </c>
      <c r="N54" s="89">
        <f t="shared" si="76"/>
        <v>353998.83870967739</v>
      </c>
      <c r="O54" s="89">
        <f t="shared" si="76"/>
        <v>365444</v>
      </c>
      <c r="P54" s="89">
        <f t="shared" si="76"/>
        <v>447537.1451612903</v>
      </c>
      <c r="Q54" s="89">
        <f t="shared" si="76"/>
        <v>462006.5</v>
      </c>
      <c r="R54" s="89">
        <f t="shared" si="76"/>
        <v>702792.79032258061</v>
      </c>
      <c r="S54" s="89">
        <f t="shared" si="76"/>
        <v>599888.34774193552</v>
      </c>
      <c r="T54" s="89">
        <f t="shared" si="76"/>
        <v>1260964.2765517239</v>
      </c>
      <c r="U54" s="89">
        <f t="shared" si="76"/>
        <v>1181904.4767741933</v>
      </c>
      <c r="V54" s="89">
        <f t="shared" si="76"/>
        <v>1328910.4633333334</v>
      </c>
      <c r="W54" s="89">
        <f t="shared" si="76"/>
        <v>1287290.9687096775</v>
      </c>
      <c r="X54" s="89">
        <f t="shared" si="76"/>
        <v>1318181.2966666666</v>
      </c>
      <c r="Y54" s="89">
        <f t="shared" si="76"/>
        <v>1276897.823548387</v>
      </c>
      <c r="Z54" s="89">
        <f t="shared" si="76"/>
        <v>1352352.0574193548</v>
      </c>
      <c r="AA54" s="89">
        <f t="shared" si="76"/>
        <v>1396075.0466666666</v>
      </c>
      <c r="AB54" s="89">
        <f t="shared" si="76"/>
        <v>187342017.35264355</v>
      </c>
      <c r="AC54" s="89">
        <f t="shared" si="76"/>
        <v>193848881.76249236</v>
      </c>
      <c r="AD54" s="89">
        <f t="shared" si="76"/>
        <v>203795290.7662465</v>
      </c>
      <c r="AE54" s="89">
        <f t="shared" si="76"/>
        <v>213962194.05830348</v>
      </c>
      <c r="AF54" s="89">
        <f t="shared" si="76"/>
        <v>225902241.24932083</v>
      </c>
      <c r="AG54" s="89">
        <f t="shared" si="76"/>
        <v>223121318.40555498</v>
      </c>
      <c r="AH54" s="89">
        <f t="shared" si="76"/>
        <v>226389516.90050358</v>
      </c>
      <c r="AI54" s="89">
        <f t="shared" si="76"/>
        <v>222432872.01348674</v>
      </c>
      <c r="AJ54" s="89">
        <f t="shared" si="76"/>
        <v>221245884.35104141</v>
      </c>
      <c r="AK54" s="89">
        <f t="shared" si="76"/>
        <v>211862447.66880214</v>
      </c>
      <c r="AL54" s="89">
        <f t="shared" si="76"/>
        <v>202829046.36452213</v>
      </c>
      <c r="AM54" s="89">
        <f t="shared" ca="1" si="76"/>
        <v>194850645.80143052</v>
      </c>
      <c r="AN54" s="89">
        <f t="shared" ca="1" si="76"/>
        <v>186111464.55772907</v>
      </c>
      <c r="AO54" s="89">
        <f t="shared" ca="1" si="76"/>
        <v>177483407.29079393</v>
      </c>
      <c r="AP54" s="89">
        <f t="shared" ca="1" si="76"/>
        <v>161068340.11253905</v>
      </c>
      <c r="AQ54" s="89">
        <f t="shared" ca="1" si="76"/>
        <v>150676386.11674154</v>
      </c>
      <c r="AR54" s="89">
        <f t="shared" ca="1" si="76"/>
        <v>149762729.96745387</v>
      </c>
      <c r="AS54" s="89">
        <f t="shared" ca="1" si="76"/>
        <v>144726158.44708318</v>
      </c>
      <c r="AT54" s="89">
        <f t="shared" ca="1" si="76"/>
        <v>145960262.14510402</v>
      </c>
      <c r="AU54" s="89">
        <f t="shared" ca="1" si="76"/>
        <v>144736529.37034899</v>
      </c>
      <c r="AV54" s="89">
        <f t="shared" ca="1" si="76"/>
        <v>145970968.37141758</v>
      </c>
      <c r="AW54" s="89">
        <f t="shared" ca="1" si="76"/>
        <v>144746900.2936148</v>
      </c>
      <c r="AX54" s="89">
        <f t="shared" ca="1" si="76"/>
        <v>144752085.75524771</v>
      </c>
      <c r="AY54" s="89">
        <f t="shared" ca="1" si="76"/>
        <v>178557566.34365267</v>
      </c>
      <c r="AZ54" s="89">
        <f t="shared" ca="1" si="76"/>
        <v>177332995.31127831</v>
      </c>
      <c r="BA54" s="89">
        <f t="shared" ca="1" si="76"/>
        <v>178568272.5699662</v>
      </c>
      <c r="BB54" s="89">
        <f t="shared" ca="1" si="76"/>
        <v>177343366.23454416</v>
      </c>
      <c r="BC54" s="89">
        <f t="shared" ca="1" si="76"/>
        <v>178240829.374358</v>
      </c>
      <c r="BD54" s="89">
        <f t="shared" ca="1" si="76"/>
        <v>182294276.04052335</v>
      </c>
      <c r="BE54" s="89">
        <f t="shared" ca="1" si="76"/>
        <v>178251293.45781416</v>
      </c>
      <c r="BF54" s="89">
        <f t="shared" ca="1" si="76"/>
        <v>179516308.36438352</v>
      </c>
      <c r="BG54" s="89">
        <f t="shared" ca="1" si="76"/>
        <v>178261757.54127032</v>
      </c>
      <c r="BH54" s="89">
        <f t="shared" ca="1" si="76"/>
        <v>179527110.76285604</v>
      </c>
      <c r="BI54" s="89">
        <f t="shared" ca="1" si="76"/>
        <v>256599238.55966115</v>
      </c>
      <c r="BJ54" s="89">
        <f t="shared" ca="1" si="76"/>
        <v>264177842.86786038</v>
      </c>
      <c r="BK54" s="89">
        <f t="shared" ca="1" si="76"/>
        <v>277870543.8342787</v>
      </c>
      <c r="BL54" s="89">
        <f t="shared" ca="1" si="76"/>
        <v>287535535.04649961</v>
      </c>
      <c r="BM54" s="89">
        <f t="shared" ca="1" si="76"/>
        <v>215062904.77429983</v>
      </c>
      <c r="BN54" s="89">
        <f t="shared" ca="1" si="76"/>
        <v>205434649.30796459</v>
      </c>
      <c r="BO54" s="89">
        <f t="shared" ca="1" si="76"/>
        <v>197080597.96990851</v>
      </c>
    </row>
    <row r="55" spans="1:67">
      <c r="A55" s="11"/>
      <c r="B55" s="11"/>
      <c r="C55" s="11" t="s">
        <v>526</v>
      </c>
      <c r="D55" s="33"/>
      <c r="E55" s="33"/>
      <c r="F55" s="3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row>
    <row r="56" spans="1:67">
      <c r="A56" s="11"/>
      <c r="B56" s="11"/>
      <c r="C56" s="11"/>
      <c r="D56" s="11" t="s">
        <v>527</v>
      </c>
      <c r="E56" s="33"/>
      <c r="F56" s="33"/>
      <c r="G56" s="90">
        <f>'06 Debt &amp; WC'!G$32</f>
        <v>0</v>
      </c>
      <c r="H56" s="90">
        <f>'06 Debt &amp; WC'!H$32</f>
        <v>0</v>
      </c>
      <c r="I56" s="90">
        <f>'06 Debt &amp; WC'!I$32</f>
        <v>0</v>
      </c>
      <c r="J56" s="90">
        <f>'06 Debt &amp; WC'!J$32</f>
        <v>0</v>
      </c>
      <c r="K56" s="90">
        <f>'06 Debt &amp; WC'!K$32</f>
        <v>0</v>
      </c>
      <c r="L56" s="90">
        <f>'06 Debt &amp; WC'!L$32</f>
        <v>0</v>
      </c>
      <c r="M56" s="90">
        <f>'06 Debt &amp; WC'!M$32</f>
        <v>0</v>
      </c>
      <c r="N56" s="90">
        <f>'06 Debt &amp; WC'!N$32</f>
        <v>0</v>
      </c>
      <c r="O56" s="90">
        <f>'06 Debt &amp; WC'!O$32</f>
        <v>0</v>
      </c>
      <c r="P56" s="90">
        <f>'06 Debt &amp; WC'!P$32</f>
        <v>0</v>
      </c>
      <c r="Q56" s="90">
        <f>'06 Debt &amp; WC'!Q$32</f>
        <v>62863981.617646933</v>
      </c>
      <c r="R56" s="90">
        <f>'06 Debt &amp; WC'!R$32</f>
        <v>128987486.27297781</v>
      </c>
      <c r="S56" s="90">
        <f>'06 Debt &amp; WC'!S$32</f>
        <v>196135826.5785251</v>
      </c>
      <c r="T56" s="90">
        <f>'06 Debt &amp; WC'!T$32</f>
        <v>263647887.06072742</v>
      </c>
      <c r="U56" s="90">
        <f>'06 Debt &amp; WC'!U$32</f>
        <v>331525637.87054163</v>
      </c>
      <c r="V56" s="90">
        <f>'06 Debt &amp; WC'!V$32</f>
        <v>399771059.8305757</v>
      </c>
      <c r="W56" s="90">
        <f>'06 Debt &amp; WC'!W$32</f>
        <v>468386144.49289328</v>
      </c>
      <c r="X56" s="90">
        <f>'06 Debt &amp; WC'!X$32</f>
        <v>537372894.19713175</v>
      </c>
      <c r="Y56" s="90">
        <f>'06 Debt &amp; WC'!Y$32</f>
        <v>606733322.12893486</v>
      </c>
      <c r="Z56" s="90">
        <f>'06 Debt &amp; WC'!Z$32</f>
        <v>676469452.37870193</v>
      </c>
      <c r="AA56" s="90">
        <f>'06 Debt &amp; WC'!AA$32</f>
        <v>747046320.00065517</v>
      </c>
      <c r="AB56" s="90">
        <f>'06 Debt &amp; WC'!AB$32</f>
        <v>640325417.14341867</v>
      </c>
      <c r="AC56" s="90">
        <f>'06 Debt &amp; WC'!AC$32</f>
        <v>640325417.14341867</v>
      </c>
      <c r="AD56" s="90">
        <f>'06 Debt &amp; WC'!AD$32</f>
        <v>640325417.14341867</v>
      </c>
      <c r="AE56" s="90">
        <f>'06 Debt &amp; WC'!AE$32</f>
        <v>640325417.14341867</v>
      </c>
      <c r="AF56" s="90">
        <f>'06 Debt &amp; WC'!AF$32</f>
        <v>640325417.14341867</v>
      </c>
      <c r="AG56" s="90">
        <f>'06 Debt &amp; WC'!AG$32</f>
        <v>640325417.14341867</v>
      </c>
      <c r="AH56" s="90">
        <f>'06 Debt &amp; WC'!AH$32</f>
        <v>640325417.14341867</v>
      </c>
      <c r="AI56" s="90">
        <f>'06 Debt &amp; WC'!AI$32</f>
        <v>640325417.14341867</v>
      </c>
      <c r="AJ56" s="90">
        <f>'06 Debt &amp; WC'!AJ$32</f>
        <v>640325417.14341867</v>
      </c>
      <c r="AK56" s="90">
        <f>'06 Debt &amp; WC'!AK$32</f>
        <v>640325417.14341867</v>
      </c>
      <c r="AL56" s="90">
        <f>'06 Debt &amp; WC'!AL$32</f>
        <v>640325417.14341867</v>
      </c>
      <c r="AM56" s="90">
        <f>'06 Debt &amp; WC'!AM$32</f>
        <v>640325417.14341867</v>
      </c>
      <c r="AN56" s="90">
        <f>'06 Debt &amp; WC'!AN$32</f>
        <v>631432008.57198226</v>
      </c>
      <c r="AO56" s="90">
        <f>'06 Debt &amp; WC'!AO$32</f>
        <v>622538600.00054586</v>
      </c>
      <c r="AP56" s="90">
        <f>'06 Debt &amp; WC'!AP$32</f>
        <v>613645191.42910945</v>
      </c>
      <c r="AQ56" s="90">
        <f>'06 Debt &amp; WC'!AQ$32</f>
        <v>604751782.85767305</v>
      </c>
      <c r="AR56" s="90">
        <f>'06 Debt &amp; WC'!AR$32</f>
        <v>595858374.28623664</v>
      </c>
      <c r="AS56" s="90">
        <f>'06 Debt &amp; WC'!AS$32</f>
        <v>586964965.71480024</v>
      </c>
      <c r="AT56" s="90">
        <f>'06 Debt &amp; WC'!AT$32</f>
        <v>578071557.14336383</v>
      </c>
      <c r="AU56" s="90">
        <f>'06 Debt &amp; WC'!AU$32</f>
        <v>569178148.57192743</v>
      </c>
      <c r="AV56" s="90">
        <f>'06 Debt &amp; WC'!AV$32</f>
        <v>560284740.00049102</v>
      </c>
      <c r="AW56" s="90">
        <f>'06 Debt &amp; WC'!AW$32</f>
        <v>551391331.42905462</v>
      </c>
      <c r="AX56" s="90">
        <f>'06 Debt &amp; WC'!AX$32</f>
        <v>542497922.85761821</v>
      </c>
      <c r="AY56" s="90">
        <f>'06 Debt &amp; WC'!AY$32</f>
        <v>533604514.28618187</v>
      </c>
      <c r="AZ56" s="90">
        <f>'06 Debt &amp; WC'!AZ$32</f>
        <v>524711105.71474546</v>
      </c>
      <c r="BA56" s="90">
        <f>'06 Debt &amp; WC'!BA$32</f>
        <v>515817697.14330906</v>
      </c>
      <c r="BB56" s="90">
        <f>'06 Debt &amp; WC'!BB$32</f>
        <v>506924288.57187265</v>
      </c>
      <c r="BC56" s="90">
        <f>'06 Debt &amp; WC'!BC$32</f>
        <v>498030880.00043625</v>
      </c>
      <c r="BD56" s="90">
        <f>'06 Debt &amp; WC'!BD$32</f>
        <v>489137471.42899984</v>
      </c>
      <c r="BE56" s="90">
        <f>'06 Debt &amp; WC'!BE$32</f>
        <v>480244062.85756344</v>
      </c>
      <c r="BF56" s="90">
        <f>'06 Debt &amp; WC'!BF$32</f>
        <v>471350654.28612703</v>
      </c>
      <c r="BG56" s="90">
        <f>'06 Debt &amp; WC'!BG$32</f>
        <v>462457245.71469063</v>
      </c>
      <c r="BH56" s="90">
        <f>'06 Debt &amp; WC'!BH$32</f>
        <v>453563837.14325422</v>
      </c>
      <c r="BI56" s="90">
        <f>'06 Debt &amp; WC'!BI$32</f>
        <v>346842934.28601778</v>
      </c>
      <c r="BJ56" s="90">
        <f>'06 Debt &amp; WC'!BJ$32</f>
        <v>240122031.42878133</v>
      </c>
      <c r="BK56" s="90">
        <f>'06 Debt &amp; WC'!BK$32</f>
        <v>133401128.57154487</v>
      </c>
      <c r="BL56" s="63">
        <f>'06 Debt &amp; WC'!BL$32</f>
        <v>26680225.714308411</v>
      </c>
      <c r="BM56" s="90">
        <f>'06 Debt &amp; WC'!BM$32</f>
        <v>0</v>
      </c>
      <c r="BN56" s="90">
        <f>'06 Debt &amp; WC'!BN$32</f>
        <v>0</v>
      </c>
      <c r="BO56" s="90">
        <f>'06 Debt &amp; WC'!BO$32</f>
        <v>0</v>
      </c>
    </row>
    <row r="57" spans="1:67">
      <c r="A57" s="11"/>
      <c r="B57" s="11"/>
      <c r="C57" s="11" t="s">
        <v>528</v>
      </c>
      <c r="D57" s="33"/>
      <c r="E57" s="33"/>
      <c r="F57" s="33"/>
      <c r="G57" s="90">
        <f>G56</f>
        <v>0</v>
      </c>
      <c r="H57" s="90">
        <f t="shared" ref="H57:BI57" si="77">H56</f>
        <v>0</v>
      </c>
      <c r="I57" s="90">
        <f t="shared" si="77"/>
        <v>0</v>
      </c>
      <c r="J57" s="90">
        <f t="shared" si="77"/>
        <v>0</v>
      </c>
      <c r="K57" s="90">
        <f t="shared" si="77"/>
        <v>0</v>
      </c>
      <c r="L57" s="90">
        <f t="shared" si="77"/>
        <v>0</v>
      </c>
      <c r="M57" s="90">
        <f t="shared" si="77"/>
        <v>0</v>
      </c>
      <c r="N57" s="90">
        <f t="shared" si="77"/>
        <v>0</v>
      </c>
      <c r="O57" s="90">
        <f t="shared" si="77"/>
        <v>0</v>
      </c>
      <c r="P57" s="90">
        <f t="shared" si="77"/>
        <v>0</v>
      </c>
      <c r="Q57" s="90">
        <f t="shared" si="77"/>
        <v>62863981.617646933</v>
      </c>
      <c r="R57" s="90">
        <f t="shared" si="77"/>
        <v>128987486.27297781</v>
      </c>
      <c r="S57" s="90">
        <f t="shared" si="77"/>
        <v>196135826.5785251</v>
      </c>
      <c r="T57" s="90">
        <f t="shared" si="77"/>
        <v>263647887.06072742</v>
      </c>
      <c r="U57" s="90">
        <f t="shared" si="77"/>
        <v>331525637.87054163</v>
      </c>
      <c r="V57" s="90">
        <f t="shared" si="77"/>
        <v>399771059.8305757</v>
      </c>
      <c r="W57" s="90">
        <f t="shared" si="77"/>
        <v>468386144.49289328</v>
      </c>
      <c r="X57" s="90">
        <f t="shared" si="77"/>
        <v>537372894.19713175</v>
      </c>
      <c r="Y57" s="90">
        <f t="shared" si="77"/>
        <v>606733322.12893486</v>
      </c>
      <c r="Z57" s="90">
        <f t="shared" si="77"/>
        <v>676469452.37870193</v>
      </c>
      <c r="AA57" s="90">
        <f t="shared" si="77"/>
        <v>747046320.00065517</v>
      </c>
      <c r="AB57" s="90">
        <f t="shared" si="77"/>
        <v>640325417.14341867</v>
      </c>
      <c r="AC57" s="90">
        <f t="shared" si="77"/>
        <v>640325417.14341867</v>
      </c>
      <c r="AD57" s="90">
        <f t="shared" si="77"/>
        <v>640325417.14341867</v>
      </c>
      <c r="AE57" s="90">
        <f t="shared" si="77"/>
        <v>640325417.14341867</v>
      </c>
      <c r="AF57" s="90">
        <f t="shared" si="77"/>
        <v>640325417.14341867</v>
      </c>
      <c r="AG57" s="90">
        <f t="shared" si="77"/>
        <v>640325417.14341867</v>
      </c>
      <c r="AH57" s="90">
        <f t="shared" si="77"/>
        <v>640325417.14341867</v>
      </c>
      <c r="AI57" s="90">
        <f t="shared" si="77"/>
        <v>640325417.14341867</v>
      </c>
      <c r="AJ57" s="90">
        <f t="shared" si="77"/>
        <v>640325417.14341867</v>
      </c>
      <c r="AK57" s="90">
        <f t="shared" si="77"/>
        <v>640325417.14341867</v>
      </c>
      <c r="AL57" s="90">
        <f t="shared" si="77"/>
        <v>640325417.14341867</v>
      </c>
      <c r="AM57" s="90">
        <f t="shared" si="77"/>
        <v>640325417.14341867</v>
      </c>
      <c r="AN57" s="90">
        <f t="shared" si="77"/>
        <v>631432008.57198226</v>
      </c>
      <c r="AO57" s="90">
        <f t="shared" si="77"/>
        <v>622538600.00054586</v>
      </c>
      <c r="AP57" s="90">
        <f t="shared" si="77"/>
        <v>613645191.42910945</v>
      </c>
      <c r="AQ57" s="90">
        <f t="shared" si="77"/>
        <v>604751782.85767305</v>
      </c>
      <c r="AR57" s="90">
        <f t="shared" si="77"/>
        <v>595858374.28623664</v>
      </c>
      <c r="AS57" s="90">
        <f t="shared" si="77"/>
        <v>586964965.71480024</v>
      </c>
      <c r="AT57" s="90">
        <f t="shared" si="77"/>
        <v>578071557.14336383</v>
      </c>
      <c r="AU57" s="90">
        <f t="shared" si="77"/>
        <v>569178148.57192743</v>
      </c>
      <c r="AV57" s="90">
        <f t="shared" si="77"/>
        <v>560284740.00049102</v>
      </c>
      <c r="AW57" s="90">
        <f t="shared" si="77"/>
        <v>551391331.42905462</v>
      </c>
      <c r="AX57" s="90">
        <f t="shared" si="77"/>
        <v>542497922.85761821</v>
      </c>
      <c r="AY57" s="90">
        <f t="shared" si="77"/>
        <v>533604514.28618187</v>
      </c>
      <c r="AZ57" s="90">
        <f t="shared" si="77"/>
        <v>524711105.71474546</v>
      </c>
      <c r="BA57" s="90">
        <f t="shared" si="77"/>
        <v>515817697.14330906</v>
      </c>
      <c r="BB57" s="90">
        <f t="shared" si="77"/>
        <v>506924288.57187265</v>
      </c>
      <c r="BC57" s="90">
        <f t="shared" si="77"/>
        <v>498030880.00043625</v>
      </c>
      <c r="BD57" s="90">
        <f t="shared" si="77"/>
        <v>489137471.42899984</v>
      </c>
      <c r="BE57" s="90">
        <f t="shared" si="77"/>
        <v>480244062.85756344</v>
      </c>
      <c r="BF57" s="90">
        <f t="shared" si="77"/>
        <v>471350654.28612703</v>
      </c>
      <c r="BG57" s="90">
        <f t="shared" si="77"/>
        <v>462457245.71469063</v>
      </c>
      <c r="BH57" s="90">
        <f t="shared" si="77"/>
        <v>453563837.14325422</v>
      </c>
      <c r="BI57" s="90">
        <f t="shared" si="77"/>
        <v>346842934.28601778</v>
      </c>
      <c r="BJ57" s="90">
        <f t="shared" ref="BJ57" si="78">BJ56</f>
        <v>240122031.42878133</v>
      </c>
      <c r="BK57" s="90">
        <f t="shared" ref="BK57" si="79">BK56</f>
        <v>133401128.57154487</v>
      </c>
      <c r="BL57" s="63">
        <f t="shared" ref="BL57" si="80">BL56</f>
        <v>26680225.714308411</v>
      </c>
      <c r="BM57" s="90">
        <f t="shared" ref="BM57" si="81">BM56</f>
        <v>0</v>
      </c>
      <c r="BN57" s="90">
        <f t="shared" ref="BN57" si="82">BN56</f>
        <v>0</v>
      </c>
      <c r="BO57" s="90">
        <f t="shared" ref="BO57" si="83">BO56</f>
        <v>0</v>
      </c>
    </row>
    <row r="58" spans="1:67">
      <c r="A58" s="11"/>
      <c r="B58" s="22" t="s">
        <v>529</v>
      </c>
      <c r="C58" s="22"/>
      <c r="D58" s="33"/>
      <c r="E58" s="33"/>
      <c r="F58" s="33"/>
      <c r="G58" s="89">
        <f>G54+G57</f>
        <v>353998.83870967739</v>
      </c>
      <c r="H58" s="89">
        <f t="shared" ref="H58:BI58" si="84">H54+H57</f>
        <v>390786.85714285716</v>
      </c>
      <c r="I58" s="89">
        <f t="shared" si="84"/>
        <v>353998.83870967739</v>
      </c>
      <c r="J58" s="89">
        <f t="shared" si="84"/>
        <v>365444</v>
      </c>
      <c r="K58" s="89">
        <f t="shared" si="84"/>
        <v>353998.83870967739</v>
      </c>
      <c r="L58" s="89">
        <f t="shared" si="84"/>
        <v>365444</v>
      </c>
      <c r="M58" s="89">
        <f t="shared" si="84"/>
        <v>353998.83870967739</v>
      </c>
      <c r="N58" s="89">
        <f t="shared" si="84"/>
        <v>353998.83870967739</v>
      </c>
      <c r="O58" s="89">
        <f t="shared" si="84"/>
        <v>365444</v>
      </c>
      <c r="P58" s="89">
        <f t="shared" si="84"/>
        <v>447537.1451612903</v>
      </c>
      <c r="Q58" s="89">
        <f t="shared" si="84"/>
        <v>63325988.117646933</v>
      </c>
      <c r="R58" s="89">
        <f t="shared" si="84"/>
        <v>129690279.0633004</v>
      </c>
      <c r="S58" s="89">
        <f t="shared" si="84"/>
        <v>196735714.92626703</v>
      </c>
      <c r="T58" s="89">
        <f t="shared" si="84"/>
        <v>264908851.33727914</v>
      </c>
      <c r="U58" s="89">
        <f t="shared" si="84"/>
        <v>332707542.34731585</v>
      </c>
      <c r="V58" s="89">
        <f t="shared" si="84"/>
        <v>401099970.29390901</v>
      </c>
      <c r="W58" s="89">
        <f t="shared" si="84"/>
        <v>469673435.46160293</v>
      </c>
      <c r="X58" s="89">
        <f t="shared" si="84"/>
        <v>538691075.49379838</v>
      </c>
      <c r="Y58" s="89">
        <f t="shared" si="84"/>
        <v>608010219.9524833</v>
      </c>
      <c r="Z58" s="89">
        <f t="shared" si="84"/>
        <v>677821804.43612123</v>
      </c>
      <c r="AA58" s="89">
        <f t="shared" si="84"/>
        <v>748442395.0473218</v>
      </c>
      <c r="AB58" s="89">
        <f t="shared" si="84"/>
        <v>827667434.49606228</v>
      </c>
      <c r="AC58" s="89">
        <f t="shared" si="84"/>
        <v>834174298.90591097</v>
      </c>
      <c r="AD58" s="89">
        <f t="shared" si="84"/>
        <v>844120707.90966511</v>
      </c>
      <c r="AE58" s="89">
        <f t="shared" si="84"/>
        <v>854287611.20172215</v>
      </c>
      <c r="AF58" s="89">
        <f t="shared" si="84"/>
        <v>866227658.39273953</v>
      </c>
      <c r="AG58" s="89">
        <f t="shared" si="84"/>
        <v>863446735.54897368</v>
      </c>
      <c r="AH58" s="89">
        <f t="shared" si="84"/>
        <v>866714934.04392219</v>
      </c>
      <c r="AI58" s="89">
        <f t="shared" si="84"/>
        <v>862758289.15690541</v>
      </c>
      <c r="AJ58" s="89">
        <f t="shared" si="84"/>
        <v>861571301.49446011</v>
      </c>
      <c r="AK58" s="89">
        <f t="shared" si="84"/>
        <v>852187864.81222081</v>
      </c>
      <c r="AL58" s="89">
        <f t="shared" si="84"/>
        <v>843154463.50794077</v>
      </c>
      <c r="AM58" s="89">
        <f t="shared" ca="1" si="84"/>
        <v>835176062.94484925</v>
      </c>
      <c r="AN58" s="89">
        <f t="shared" ca="1" si="84"/>
        <v>817543473.12971139</v>
      </c>
      <c r="AO58" s="89">
        <f t="shared" ca="1" si="84"/>
        <v>800022007.29133976</v>
      </c>
      <c r="AP58" s="89">
        <f t="shared" ca="1" si="84"/>
        <v>774713531.54164851</v>
      </c>
      <c r="AQ58" s="89">
        <f t="shared" ca="1" si="84"/>
        <v>755428168.97441459</v>
      </c>
      <c r="AR58" s="89">
        <f t="shared" ca="1" si="84"/>
        <v>745621104.25369048</v>
      </c>
      <c r="AS58" s="89">
        <f t="shared" ca="1" si="84"/>
        <v>731691124.16188335</v>
      </c>
      <c r="AT58" s="89">
        <f t="shared" ca="1" si="84"/>
        <v>724031819.28846788</v>
      </c>
      <c r="AU58" s="89">
        <f t="shared" ca="1" si="84"/>
        <v>713914677.94227648</v>
      </c>
      <c r="AV58" s="89">
        <f t="shared" ca="1" si="84"/>
        <v>706255708.37190866</v>
      </c>
      <c r="AW58" s="89">
        <f t="shared" ca="1" si="84"/>
        <v>696138231.72266936</v>
      </c>
      <c r="AX58" s="89">
        <f t="shared" ca="1" si="84"/>
        <v>687250008.61286592</v>
      </c>
      <c r="AY58" s="89">
        <f t="shared" ca="1" si="84"/>
        <v>712162080.62983453</v>
      </c>
      <c r="AZ58" s="89">
        <f t="shared" ca="1" si="84"/>
        <v>702044101.02602375</v>
      </c>
      <c r="BA58" s="89">
        <f t="shared" ca="1" si="84"/>
        <v>694385969.71327519</v>
      </c>
      <c r="BB58" s="89">
        <f t="shared" ca="1" si="84"/>
        <v>684267654.80641675</v>
      </c>
      <c r="BC58" s="89">
        <f t="shared" ca="1" si="84"/>
        <v>676271709.37479424</v>
      </c>
      <c r="BD58" s="89">
        <f t="shared" ca="1" si="84"/>
        <v>671431747.46952319</v>
      </c>
      <c r="BE58" s="89">
        <f t="shared" ca="1" si="84"/>
        <v>658495356.31537759</v>
      </c>
      <c r="BF58" s="89">
        <f t="shared" ca="1" si="84"/>
        <v>650866962.65051055</v>
      </c>
      <c r="BG58" s="89">
        <f t="shared" ca="1" si="84"/>
        <v>640719003.25596094</v>
      </c>
      <c r="BH58" s="89">
        <f t="shared" ca="1" si="84"/>
        <v>633090947.90611029</v>
      </c>
      <c r="BI58" s="89">
        <f t="shared" ca="1" si="84"/>
        <v>603442172.84567893</v>
      </c>
      <c r="BJ58" s="89">
        <f t="shared" ref="BJ58" ca="1" si="85">BJ54+BJ57</f>
        <v>504299874.29664171</v>
      </c>
      <c r="BK58" s="89">
        <f t="shared" ref="BK58" ca="1" si="86">BK54+BK57</f>
        <v>411271672.40582359</v>
      </c>
      <c r="BL58" s="89">
        <f t="shared" ref="BL58" ca="1" si="87">BL54+BL57</f>
        <v>314215760.76080799</v>
      </c>
      <c r="BM58" s="89">
        <f t="shared" ref="BM58" ca="1" si="88">BM54+BM57</f>
        <v>215062904.77429983</v>
      </c>
      <c r="BN58" s="89">
        <f t="shared" ref="BN58" ca="1" si="89">BN54+BN57</f>
        <v>205434649.30796459</v>
      </c>
      <c r="BO58" s="89">
        <f t="shared" ref="BO58" ca="1" si="90">BO54+BO57</f>
        <v>197080597.96990851</v>
      </c>
    </row>
    <row r="59" spans="1:67">
      <c r="A59" s="11"/>
      <c r="B59" s="11" t="s">
        <v>530</v>
      </c>
      <c r="C59" s="11"/>
      <c r="D59" s="33"/>
      <c r="E59" s="33"/>
      <c r="F59" s="3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row>
    <row r="60" spans="1:67">
      <c r="A60" s="11"/>
      <c r="B60" s="11"/>
      <c r="C60" s="11"/>
      <c r="D60" s="11" t="s">
        <v>509</v>
      </c>
      <c r="E60" s="33"/>
      <c r="F60" s="33"/>
      <c r="G60" s="90">
        <f>'07 Equity &amp; Dividend'!G$36</f>
        <v>23922220.516129032</v>
      </c>
      <c r="H60" s="90">
        <f>'07 Equity &amp; Dividend'!H$36</f>
        <v>47648777.428571433</v>
      </c>
      <c r="I60" s="90">
        <f>'07 Equity &amp; Dividend'!I$36</f>
        <v>71445820.516129032</v>
      </c>
      <c r="J60" s="90">
        <f>'07 Equity &amp; Dividend'!J$36</f>
        <v>341326656</v>
      </c>
      <c r="K60" s="90">
        <f>'07 Equity &amp; Dividend'!K$36</f>
        <v>396405891.10436434</v>
      </c>
      <c r="L60" s="90">
        <f>'07 Equity &amp; Dividend'!L$36</f>
        <v>451463197.17647058</v>
      </c>
      <c r="M60" s="90">
        <f>'07 Equity &amp; Dividend'!M$36</f>
        <v>506552432.28083491</v>
      </c>
      <c r="N60" s="90">
        <f>'07 Equity &amp; Dividend'!N$36</f>
        <v>561630702.86907017</v>
      </c>
      <c r="O60" s="90">
        <f>'07 Equity &amp; Dividend'!O$36</f>
        <v>616698008.94117641</v>
      </c>
      <c r="P60" s="90">
        <f>'07 Equity &amp; Dividend'!P$36</f>
        <v>682554122.40575576</v>
      </c>
      <c r="Q60" s="90">
        <f>'07 Equity &amp; Dividend'!Q$36</f>
        <v>706993193.5</v>
      </c>
      <c r="R60" s="90">
        <f>'07 Equity &amp; Dividend'!R$36</f>
        <v>707456309.89784944</v>
      </c>
      <c r="S60" s="90">
        <f>'07 Equity &amp; Dividend'!S$36</f>
        <v>708160748.7275269</v>
      </c>
      <c r="T60" s="90">
        <f>'07 Equity &amp; Dividend'!T$36</f>
        <v>708685266.45908046</v>
      </c>
      <c r="U60" s="90">
        <f>'07 Equity &amp; Dividend'!U$36</f>
        <v>709947891.26516128</v>
      </c>
      <c r="V60" s="90">
        <f>'07 Equity &amp; Dividend'!V$36</f>
        <v>711091579.87</v>
      </c>
      <c r="W60" s="90">
        <f>'07 Equity &amp; Dividend'!W$36</f>
        <v>712422913.43989253</v>
      </c>
      <c r="X60" s="90">
        <f>'07 Equity &amp; Dividend'!X$36</f>
        <v>713672301.03666675</v>
      </c>
      <c r="Y60" s="90">
        <f>'07 Equity &amp; Dividend'!Y$36</f>
        <v>714992881.91838717</v>
      </c>
      <c r="Z60" s="90">
        <f>'07 Equity &amp; Dividend'!Z$36</f>
        <v>716272840.35118294</v>
      </c>
      <c r="AA60" s="90">
        <f>'07 Equity &amp; Dividend'!AA$36</f>
        <v>717388700.28601158</v>
      </c>
      <c r="AB60" s="90">
        <f>'07 Equity &amp; Dividend'!AB$36</f>
        <v>717388700.28601158</v>
      </c>
      <c r="AC60" s="90">
        <f>'07 Equity &amp; Dividend'!AC$36</f>
        <v>717388700.28601158</v>
      </c>
      <c r="AD60" s="90">
        <f>'07 Equity &amp; Dividend'!AD$36</f>
        <v>717388700.28601158</v>
      </c>
      <c r="AE60" s="90">
        <f>'07 Equity &amp; Dividend'!AE$36</f>
        <v>717388700.28601158</v>
      </c>
      <c r="AF60" s="90">
        <f>'07 Equity &amp; Dividend'!AF$36</f>
        <v>717388700.28601158</v>
      </c>
      <c r="AG60" s="90">
        <f>'07 Equity &amp; Dividend'!AG$36</f>
        <v>717388700.28601158</v>
      </c>
      <c r="AH60" s="90">
        <f>'07 Equity &amp; Dividend'!AH$36</f>
        <v>717388700.28601158</v>
      </c>
      <c r="AI60" s="90">
        <f>'07 Equity &amp; Dividend'!AI$36</f>
        <v>717388700.28601158</v>
      </c>
      <c r="AJ60" s="90">
        <f>'07 Equity &amp; Dividend'!AJ$36</f>
        <v>717388700.28601158</v>
      </c>
      <c r="AK60" s="90">
        <f>'07 Equity &amp; Dividend'!AK$36</f>
        <v>717388700.28601158</v>
      </c>
      <c r="AL60" s="90">
        <f>'07 Equity &amp; Dividend'!AL$36</f>
        <v>717388700.28601158</v>
      </c>
      <c r="AM60" s="90">
        <f>'07 Equity &amp; Dividend'!AM$36</f>
        <v>717388700.28601158</v>
      </c>
      <c r="AN60" s="90">
        <f>'07 Equity &amp; Dividend'!AN$36</f>
        <v>717388700.28601158</v>
      </c>
      <c r="AO60" s="90">
        <f>'07 Equity &amp; Dividend'!AO$36</f>
        <v>717388700.28601158</v>
      </c>
      <c r="AP60" s="90">
        <f>'07 Equity &amp; Dividend'!AP$36</f>
        <v>717388700.28601158</v>
      </c>
      <c r="AQ60" s="90">
        <f>'07 Equity &amp; Dividend'!AQ$36</f>
        <v>717388700.28601158</v>
      </c>
      <c r="AR60" s="90">
        <f>'07 Equity &amp; Dividend'!AR$36</f>
        <v>717388700.28601158</v>
      </c>
      <c r="AS60" s="90">
        <f>'07 Equity &amp; Dividend'!AS$36</f>
        <v>717388700.28601158</v>
      </c>
      <c r="AT60" s="90">
        <f>'07 Equity &amp; Dividend'!AT$36</f>
        <v>717388700.28601158</v>
      </c>
      <c r="AU60" s="90">
        <f>'07 Equity &amp; Dividend'!AU$36</f>
        <v>717388700.28601158</v>
      </c>
      <c r="AV60" s="90">
        <f>'07 Equity &amp; Dividend'!AV$36</f>
        <v>717388700.28601158</v>
      </c>
      <c r="AW60" s="90">
        <f>'07 Equity &amp; Dividend'!AW$36</f>
        <v>717388700.28601158</v>
      </c>
      <c r="AX60" s="90">
        <f>'07 Equity &amp; Dividend'!AX$36</f>
        <v>717388700.28601158</v>
      </c>
      <c r="AY60" s="90">
        <f>'07 Equity &amp; Dividend'!AY$36</f>
        <v>717388700.28601158</v>
      </c>
      <c r="AZ60" s="90">
        <f>'07 Equity &amp; Dividend'!AZ$36</f>
        <v>717388700.28601158</v>
      </c>
      <c r="BA60" s="90">
        <f>'07 Equity &amp; Dividend'!BA$36</f>
        <v>717388700.28601158</v>
      </c>
      <c r="BB60" s="90">
        <f>'07 Equity &amp; Dividend'!BB$36</f>
        <v>717388700.28601158</v>
      </c>
      <c r="BC60" s="90">
        <f>'07 Equity &amp; Dividend'!BC$36</f>
        <v>717388700.28601158</v>
      </c>
      <c r="BD60" s="90">
        <f>'07 Equity &amp; Dividend'!BD$36</f>
        <v>717388700.28601158</v>
      </c>
      <c r="BE60" s="90">
        <f>'07 Equity &amp; Dividend'!BE$36</f>
        <v>717388700.28601158</v>
      </c>
      <c r="BF60" s="90">
        <f>'07 Equity &amp; Dividend'!BF$36</f>
        <v>717388700.28601158</v>
      </c>
      <c r="BG60" s="90">
        <f>'07 Equity &amp; Dividend'!BG$36</f>
        <v>717388700.28601158</v>
      </c>
      <c r="BH60" s="90">
        <f>'07 Equity &amp; Dividend'!BH$36</f>
        <v>717388700.28601158</v>
      </c>
      <c r="BI60" s="90">
        <f>'07 Equity &amp; Dividend'!BI$36</f>
        <v>717388700.28601158</v>
      </c>
      <c r="BJ60" s="90">
        <f>'07 Equity &amp; Dividend'!BJ$36</f>
        <v>717388700.28601158</v>
      </c>
      <c r="BK60" s="90">
        <f>'07 Equity &amp; Dividend'!BK$36</f>
        <v>717388700.28601158</v>
      </c>
      <c r="BL60" s="90">
        <f>'07 Equity &amp; Dividend'!BL$36</f>
        <v>717388700.28601158</v>
      </c>
      <c r="BM60" s="90">
        <f>'07 Equity &amp; Dividend'!BM$36</f>
        <v>717388700.28601158</v>
      </c>
      <c r="BN60" s="90">
        <f>'07 Equity &amp; Dividend'!BN$36</f>
        <v>717388700.28601158</v>
      </c>
      <c r="BO60" s="90">
        <f>'07 Equity &amp; Dividend'!BO$36</f>
        <v>717388700.28601158</v>
      </c>
    </row>
    <row r="61" spans="1:67">
      <c r="A61" s="11"/>
      <c r="B61" s="11"/>
      <c r="C61" s="11"/>
      <c r="D61" s="11" t="s">
        <v>510</v>
      </c>
      <c r="E61" s="33"/>
      <c r="F61" s="33"/>
      <c r="G61" s="90">
        <f>'07 Equity &amp; Dividend'!G$37</f>
        <v>0</v>
      </c>
      <c r="H61" s="90">
        <f>'07 Equity &amp; Dividend'!H$37</f>
        <v>0</v>
      </c>
      <c r="I61" s="90">
        <f>'07 Equity &amp; Dividend'!I$37</f>
        <v>0</v>
      </c>
      <c r="J61" s="90">
        <f>'07 Equity &amp; Dividend'!J$37</f>
        <v>0</v>
      </c>
      <c r="K61" s="90">
        <f>'07 Equity &amp; Dividend'!K$37</f>
        <v>0</v>
      </c>
      <c r="L61" s="90">
        <f>'07 Equity &amp; Dividend'!L$37</f>
        <v>0</v>
      </c>
      <c r="M61" s="90">
        <f>'07 Equity &amp; Dividend'!M$37</f>
        <v>0</v>
      </c>
      <c r="N61" s="90">
        <f>'07 Equity &amp; Dividend'!N$37</f>
        <v>0</v>
      </c>
      <c r="O61" s="90">
        <f>'07 Equity &amp; Dividend'!O$37</f>
        <v>0</v>
      </c>
      <c r="P61" s="90">
        <f>'07 Equity &amp; Dividend'!P$37</f>
        <v>0</v>
      </c>
      <c r="Q61" s="90">
        <f>'07 Equity &amp; Dividend'!Q$37</f>
        <v>0</v>
      </c>
      <c r="R61" s="90">
        <f>'07 Equity &amp; Dividend'!R$37</f>
        <v>0</v>
      </c>
      <c r="S61" s="90">
        <f>'07 Equity &amp; Dividend'!S$37</f>
        <v>0</v>
      </c>
      <c r="T61" s="90">
        <f>'07 Equity &amp; Dividend'!T$37</f>
        <v>0</v>
      </c>
      <c r="U61" s="90">
        <f>'07 Equity &amp; Dividend'!U$37</f>
        <v>0</v>
      </c>
      <c r="V61" s="90">
        <f>'07 Equity &amp; Dividend'!V$37</f>
        <v>0</v>
      </c>
      <c r="W61" s="90">
        <f>'07 Equity &amp; Dividend'!W$37</f>
        <v>0</v>
      </c>
      <c r="X61" s="90">
        <f>'07 Equity &amp; Dividend'!X$37</f>
        <v>0</v>
      </c>
      <c r="Y61" s="90">
        <f>'07 Equity &amp; Dividend'!Y$37</f>
        <v>0</v>
      </c>
      <c r="Z61" s="90">
        <f>'07 Equity &amp; Dividend'!Z$37</f>
        <v>0</v>
      </c>
      <c r="AA61" s="90">
        <f>'07 Equity &amp; Dividend'!AA$37</f>
        <v>0</v>
      </c>
      <c r="AB61" s="90">
        <f>'07 Equity &amp; Dividend'!AB$37</f>
        <v>0</v>
      </c>
      <c r="AC61" s="90">
        <f>'07 Equity &amp; Dividend'!AC$37</f>
        <v>0</v>
      </c>
      <c r="AD61" s="90">
        <f>'07 Equity &amp; Dividend'!AD$37</f>
        <v>0</v>
      </c>
      <c r="AE61" s="90">
        <f>'07 Equity &amp; Dividend'!AE$37</f>
        <v>0</v>
      </c>
      <c r="AF61" s="90">
        <f>'07 Equity &amp; Dividend'!AF$37</f>
        <v>0</v>
      </c>
      <c r="AG61" s="90">
        <f>'07 Equity &amp; Dividend'!AG$37</f>
        <v>0</v>
      </c>
      <c r="AH61" s="90">
        <f>'07 Equity &amp; Dividend'!AH$37</f>
        <v>0</v>
      </c>
      <c r="AI61" s="90">
        <f>'07 Equity &amp; Dividend'!AI$37</f>
        <v>0</v>
      </c>
      <c r="AJ61" s="90">
        <f>'07 Equity &amp; Dividend'!AJ$37</f>
        <v>0</v>
      </c>
      <c r="AK61" s="90">
        <f>'07 Equity &amp; Dividend'!AK$37</f>
        <v>0</v>
      </c>
      <c r="AL61" s="90">
        <f>'07 Equity &amp; Dividend'!AL$37</f>
        <v>0</v>
      </c>
      <c r="AM61" s="90">
        <f ca="1">'07 Equity &amp; Dividend'!AM$37</f>
        <v>0</v>
      </c>
      <c r="AN61" s="90">
        <f ca="1">'07 Equity &amp; Dividend'!AN$37</f>
        <v>0</v>
      </c>
      <c r="AO61" s="90">
        <f ca="1">'07 Equity &amp; Dividend'!AO$37</f>
        <v>0</v>
      </c>
      <c r="AP61" s="90">
        <f ca="1">'07 Equity &amp; Dividend'!AP$37</f>
        <v>0</v>
      </c>
      <c r="AQ61" s="90">
        <f ca="1">'07 Equity &amp; Dividend'!AQ$37</f>
        <v>0</v>
      </c>
      <c r="AR61" s="90">
        <f ca="1">'07 Equity &amp; Dividend'!AR$37</f>
        <v>0</v>
      </c>
      <c r="AS61" s="90">
        <f ca="1">'07 Equity &amp; Dividend'!AS$37</f>
        <v>0</v>
      </c>
      <c r="AT61" s="90">
        <f ca="1">'07 Equity &amp; Dividend'!AT$37</f>
        <v>0</v>
      </c>
      <c r="AU61" s="90">
        <f ca="1">'07 Equity &amp; Dividend'!AU$37</f>
        <v>0</v>
      </c>
      <c r="AV61" s="90">
        <f ca="1">'07 Equity &amp; Dividend'!AV$37</f>
        <v>0</v>
      </c>
      <c r="AW61" s="90">
        <f ca="1">'07 Equity &amp; Dividend'!AW$37</f>
        <v>0</v>
      </c>
      <c r="AX61" s="90">
        <f ca="1">'07 Equity &amp; Dividend'!AX$37</f>
        <v>0</v>
      </c>
      <c r="AY61" s="90">
        <f ca="1">'07 Equity &amp; Dividend'!AY$37</f>
        <v>71738870.028601155</v>
      </c>
      <c r="AZ61" s="90">
        <f ca="1">'07 Equity &amp; Dividend'!AZ$37</f>
        <v>71738870.028601155</v>
      </c>
      <c r="BA61" s="90">
        <f ca="1">'07 Equity &amp; Dividend'!BA$37</f>
        <v>71738870.028601155</v>
      </c>
      <c r="BB61" s="90">
        <f ca="1">'07 Equity &amp; Dividend'!BB$37</f>
        <v>71738870.028601155</v>
      </c>
      <c r="BC61" s="90">
        <f ca="1">'07 Equity &amp; Dividend'!BC$37</f>
        <v>71738870.028601155</v>
      </c>
      <c r="BD61" s="90">
        <f ca="1">'07 Equity &amp; Dividend'!BD$37</f>
        <v>71738870.028601155</v>
      </c>
      <c r="BE61" s="90">
        <f ca="1">'07 Equity &amp; Dividend'!BE$37</f>
        <v>71738870.028601155</v>
      </c>
      <c r="BF61" s="90">
        <f ca="1">'07 Equity &amp; Dividend'!BF$37</f>
        <v>71738870.028601155</v>
      </c>
      <c r="BG61" s="90">
        <f ca="1">'07 Equity &amp; Dividend'!BG$37</f>
        <v>71738870.028601155</v>
      </c>
      <c r="BH61" s="90">
        <f ca="1">'07 Equity &amp; Dividend'!BH$37</f>
        <v>71738870.028601155</v>
      </c>
      <c r="BI61" s="90">
        <f ca="1">'07 Equity &amp; Dividend'!BI$37</f>
        <v>71738870.028601155</v>
      </c>
      <c r="BJ61" s="90">
        <f ca="1">'07 Equity &amp; Dividend'!BJ$37</f>
        <v>71738870.028601155</v>
      </c>
      <c r="BK61" s="90">
        <f ca="1">'07 Equity &amp; Dividend'!BK$37</f>
        <v>71738870.028601155</v>
      </c>
      <c r="BL61" s="90">
        <f ca="1">'07 Equity &amp; Dividend'!BL$37</f>
        <v>71738870.028601155</v>
      </c>
      <c r="BM61" s="90">
        <f ca="1">'07 Equity &amp; Dividend'!BM$37</f>
        <v>71738870.028601155</v>
      </c>
      <c r="BN61" s="90">
        <f ca="1">'07 Equity &amp; Dividend'!BN$37</f>
        <v>71738870.028601155</v>
      </c>
      <c r="BO61" s="90">
        <f ca="1">'07 Equity &amp; Dividend'!BO$37</f>
        <v>71738870.028601155</v>
      </c>
    </row>
    <row r="62" spans="1:67">
      <c r="A62" s="11"/>
      <c r="B62" s="11"/>
      <c r="C62" s="11"/>
      <c r="D62" s="11" t="s">
        <v>25</v>
      </c>
      <c r="E62" s="33"/>
      <c r="F62" s="33"/>
      <c r="G62" s="90">
        <f>'07 Equity &amp; Dividend'!G$38</f>
        <v>-354800</v>
      </c>
      <c r="H62" s="90">
        <f>'07 Equity &amp; Dividend'!H$38</f>
        <v>-709600</v>
      </c>
      <c r="I62" s="90">
        <f>'07 Equity &amp; Dividend'!I$38</f>
        <v>-1064400</v>
      </c>
      <c r="J62" s="90">
        <f>'07 Equity &amp; Dividend'!J$38</f>
        <v>-1419200</v>
      </c>
      <c r="K62" s="90">
        <f>'07 Equity &amp; Dividend'!K$38</f>
        <v>-1774000</v>
      </c>
      <c r="L62" s="90">
        <f>'07 Equity &amp; Dividend'!L$38</f>
        <v>-2128800</v>
      </c>
      <c r="M62" s="90">
        <f>'07 Equity &amp; Dividend'!M$38</f>
        <v>-2483600</v>
      </c>
      <c r="N62" s="90">
        <f>'07 Equity &amp; Dividend'!N$38</f>
        <v>-2838400</v>
      </c>
      <c r="O62" s="90">
        <f>'07 Equity &amp; Dividend'!O$38</f>
        <v>-3193200</v>
      </c>
      <c r="P62" s="90">
        <f>'07 Equity &amp; Dividend'!P$38</f>
        <v>-3641750</v>
      </c>
      <c r="Q62" s="90">
        <f>'07 Equity &amp; Dividend'!Q$38</f>
        <v>-4090300</v>
      </c>
      <c r="R62" s="90">
        <f>'07 Equity &amp; Dividend'!R$38</f>
        <v>-4794683.333333333</v>
      </c>
      <c r="S62" s="90">
        <f>'07 Equity &amp; Dividend'!S$38</f>
        <v>-5395929.333333333</v>
      </c>
      <c r="T62" s="90">
        <f>'07 Equity &amp; Dividend'!T$38</f>
        <v>-6580508.666666666</v>
      </c>
      <c r="U62" s="90">
        <f>'07 Equity &amp; Dividend'!U$38</f>
        <v>-7765087.9999999991</v>
      </c>
      <c r="V62" s="90">
        <f>'07 Equity &amp; Dividend'!V$38</f>
        <v>-9055292.3333333321</v>
      </c>
      <c r="W62" s="90">
        <f>'07 Equity &amp; Dividend'!W$38</f>
        <v>-10345496.666666666</v>
      </c>
      <c r="X62" s="90">
        <f>'07 Equity &amp; Dividend'!X$38</f>
        <v>-11625284.333333332</v>
      </c>
      <c r="Y62" s="90">
        <f>'07 Equity &amp; Dividend'!Y$38</f>
        <v>-12905071.999999998</v>
      </c>
      <c r="Z62" s="90">
        <f>'07 Equity &amp; Dividend'!Z$38</f>
        <v>-14260484.666666664</v>
      </c>
      <c r="AA62" s="90">
        <f>'07 Equity &amp; Dividend'!AA$38</f>
        <v>-15615897.33333333</v>
      </c>
      <c r="AB62" s="90">
        <f>'07 Equity &amp; Dividend'!AB$38</f>
        <v>-48799176.381331809</v>
      </c>
      <c r="AC62" s="90">
        <f>'07 Equity &amp; Dividend'!AC$38</f>
        <v>-63023284.120387077</v>
      </c>
      <c r="AD62" s="90">
        <f>'07 Equity &amp; Dividend'!AD$38</f>
        <v>-74906745.222280487</v>
      </c>
      <c r="AE62" s="90">
        <f>'07 Equity &amp; Dividend'!AE$38</f>
        <v>-84377926.318134725</v>
      </c>
      <c r="AF62" s="90">
        <f>'07 Equity &amp; Dividend'!AF$38</f>
        <v>-90779007.237279251</v>
      </c>
      <c r="AG62" s="90">
        <f>'07 Equity &amp; Dividend'!AG$38</f>
        <v>-94788302.4907704</v>
      </c>
      <c r="AH62" s="90">
        <f>'07 Equity &amp; Dividend'!AH$38</f>
        <v>-96308566.110212132</v>
      </c>
      <c r="AI62" s="90">
        <f>'07 Equity &amp; Dividend'!AI$38</f>
        <v>-95391385.701864123</v>
      </c>
      <c r="AJ62" s="90">
        <f>'07 Equity &amp; Dividend'!AJ$38</f>
        <v>-92004243.86399734</v>
      </c>
      <c r="AK62" s="90">
        <f>'07 Equity &amp; Dividend'!AK$38</f>
        <v>-86152768.73811923</v>
      </c>
      <c r="AL62" s="90">
        <f>'07 Equity &amp; Dividend'!AL$38</f>
        <v>-77800375.290975735</v>
      </c>
      <c r="AM62" s="90">
        <f ca="1">'07 Equity &amp; Dividend'!AM$38</f>
        <v>-66943491.602590896</v>
      </c>
      <c r="AN62" s="90">
        <f ca="1">'07 Equity &amp; Dividend'!AN$38</f>
        <v>-53581608.960352696</v>
      </c>
      <c r="AO62" s="90">
        <f ca="1">'07 Equity &amp; Dividend'!AO$38</f>
        <v>-40127936.722233027</v>
      </c>
      <c r="AP62" s="90">
        <f ca="1">'07 Equity &amp; Dividend'!AP$38</f>
        <v>-26509399.48922541</v>
      </c>
      <c r="AQ62" s="90">
        <f ca="1">'07 Equity &amp; Dividend'!AQ$38</f>
        <v>-12205166.524668491</v>
      </c>
      <c r="AR62" s="90">
        <f ca="1">'07 Equity &amp; Dividend'!AR$38</f>
        <v>2201387.7623777241</v>
      </c>
      <c r="AS62" s="90">
        <f ca="1">'07 Equity &amp; Dividend'!AS$38</f>
        <v>16672949.463803792</v>
      </c>
      <c r="AT62" s="90">
        <f ca="1">'07 Equity &amp; Dividend'!AT$38</f>
        <v>31187497.059274107</v>
      </c>
      <c r="AU62" s="90">
        <f ca="1">'07 Equity &amp; Dividend'!AU$38</f>
        <v>45738656.229727104</v>
      </c>
      <c r="AV62" s="90">
        <f ca="1">'07 Equity &amp; Dividend'!AV$38</f>
        <v>60326426.975162782</v>
      </c>
      <c r="AW62" s="90">
        <f ca="1">'07 Equity &amp; Dividend'!AW$38</f>
        <v>74950809.295581147</v>
      </c>
      <c r="AX62" s="90">
        <f ca="1">'07 Equity &amp; Dividend'!AX$38</f>
        <v>89611803.190982193</v>
      </c>
      <c r="AY62" s="90">
        <f ca="1">'07 Equity &amp; Dividend'!AY$38</f>
        <v>0</v>
      </c>
      <c r="AZ62" s="90">
        <f ca="1">'07 Equity &amp; Dividend'!AZ$38</f>
        <v>14734217.045366423</v>
      </c>
      <c r="BA62" s="90">
        <f ca="1">'07 Equity &amp; Dividend'!BA$38</f>
        <v>29505045.665715531</v>
      </c>
      <c r="BB62" s="90">
        <f ca="1">'07 Equity &amp; Dividend'!BB$38</f>
        <v>44312485.861047313</v>
      </c>
      <c r="BC62" s="90">
        <f ca="1">'07 Equity &amp; Dividend'!BC$38</f>
        <v>59723923.451173276</v>
      </c>
      <c r="BD62" s="90">
        <f ca="1">'07 Equity &amp; Dividend'!BD$38</f>
        <v>75171925.930767849</v>
      </c>
      <c r="BE62" s="90">
        <f ca="1">'07 Equity &amp; Dividend'!BE$38</f>
        <v>90656493.299831048</v>
      </c>
      <c r="BF62" s="90">
        <f ca="1">'07 Equity &amp; Dividend'!BF$38</f>
        <v>106177625.55836287</v>
      </c>
      <c r="BG62" s="90">
        <f ca="1">'07 Equity &amp; Dividend'!BG$38</f>
        <v>121735322.70636331</v>
      </c>
      <c r="BH62" s="90">
        <f ca="1">'07 Equity &amp; Dividend'!BH$38</f>
        <v>137329584.74383238</v>
      </c>
      <c r="BI62" s="90">
        <f ca="1">'07 Equity &amp; Dividend'!BI$38</f>
        <v>233358554.53280729</v>
      </c>
      <c r="BJ62" s="90">
        <f ca="1">'07 Equity &amp; Dividend'!BJ$38</f>
        <v>335497933.87721211</v>
      </c>
      <c r="BK62" s="90">
        <f ca="1">'07 Equity &amp; Dividend'!BK$38</f>
        <v>449932087.05402476</v>
      </c>
      <c r="BL62" s="90">
        <f ca="1">'07 Equity &amp; Dividend'!BL$38</f>
        <v>572594323.39353681</v>
      </c>
      <c r="BM62" s="90">
        <f ca="1">'07 Equity &amp; Dividend'!BM$38</f>
        <v>701466780.84974694</v>
      </c>
      <c r="BN62" s="90">
        <f ca="1">'07 Equity &amp; Dividend'!BN$38</f>
        <v>819027749.17818272</v>
      </c>
      <c r="BO62" s="90">
        <f ca="1">'07 Equity &amp; Dividend'!BO$38</f>
        <v>926710938.28033626</v>
      </c>
    </row>
    <row r="63" spans="1:67">
      <c r="A63" s="11"/>
      <c r="B63" s="22" t="s">
        <v>511</v>
      </c>
      <c r="C63" s="22"/>
      <c r="D63" s="33"/>
      <c r="E63" s="33"/>
      <c r="F63" s="33"/>
      <c r="G63" s="89">
        <f>SUM(G60:G62)</f>
        <v>23567420.516129032</v>
      </c>
      <c r="H63" s="89">
        <f t="shared" ref="H63:BI63" si="91">SUM(H60:H62)</f>
        <v>46939177.428571433</v>
      </c>
      <c r="I63" s="89">
        <f t="shared" si="91"/>
        <v>70381420.516129032</v>
      </c>
      <c r="J63" s="89">
        <f t="shared" si="91"/>
        <v>339907456</v>
      </c>
      <c r="K63" s="89">
        <f t="shared" si="91"/>
        <v>394631891.10436434</v>
      </c>
      <c r="L63" s="89">
        <f t="shared" si="91"/>
        <v>449334397.17647058</v>
      </c>
      <c r="M63" s="89">
        <f t="shared" si="91"/>
        <v>504068832.28083491</v>
      </c>
      <c r="N63" s="89">
        <f t="shared" si="91"/>
        <v>558792302.86907017</v>
      </c>
      <c r="O63" s="89">
        <f t="shared" si="91"/>
        <v>613504808.94117641</v>
      </c>
      <c r="P63" s="89">
        <f t="shared" si="91"/>
        <v>678912372.40575576</v>
      </c>
      <c r="Q63" s="89">
        <f t="shared" si="91"/>
        <v>702902893.5</v>
      </c>
      <c r="R63" s="89">
        <f t="shared" si="91"/>
        <v>702661626.56451607</v>
      </c>
      <c r="S63" s="89">
        <f t="shared" si="91"/>
        <v>702764819.39419353</v>
      </c>
      <c r="T63" s="89">
        <f t="shared" si="91"/>
        <v>702104757.79241383</v>
      </c>
      <c r="U63" s="89">
        <f t="shared" si="91"/>
        <v>702182803.26516128</v>
      </c>
      <c r="V63" s="89">
        <f t="shared" si="91"/>
        <v>702036287.53666663</v>
      </c>
      <c r="W63" s="89">
        <f t="shared" si="91"/>
        <v>702077416.7732259</v>
      </c>
      <c r="X63" s="89">
        <f t="shared" si="91"/>
        <v>702047016.70333338</v>
      </c>
      <c r="Y63" s="89">
        <f t="shared" si="91"/>
        <v>702087809.91838717</v>
      </c>
      <c r="Z63" s="89">
        <f t="shared" si="91"/>
        <v>702012355.68451631</v>
      </c>
      <c r="AA63" s="89">
        <f t="shared" si="91"/>
        <v>701772802.9526782</v>
      </c>
      <c r="AB63" s="89">
        <f t="shared" si="91"/>
        <v>668589523.90467978</v>
      </c>
      <c r="AC63" s="89">
        <f t="shared" si="91"/>
        <v>654365416.1656245</v>
      </c>
      <c r="AD63" s="89">
        <f t="shared" si="91"/>
        <v>642481955.06373107</v>
      </c>
      <c r="AE63" s="89">
        <f t="shared" si="91"/>
        <v>633010773.96787691</v>
      </c>
      <c r="AF63" s="89">
        <f t="shared" si="91"/>
        <v>626609693.04873228</v>
      </c>
      <c r="AG63" s="89">
        <f t="shared" si="91"/>
        <v>622600397.79524112</v>
      </c>
      <c r="AH63" s="89">
        <f t="shared" si="91"/>
        <v>621080134.17579949</v>
      </c>
      <c r="AI63" s="89">
        <f t="shared" si="91"/>
        <v>621997314.58414745</v>
      </c>
      <c r="AJ63" s="89">
        <f t="shared" si="91"/>
        <v>625384456.42201424</v>
      </c>
      <c r="AK63" s="89">
        <f t="shared" si="91"/>
        <v>631235931.54789233</v>
      </c>
      <c r="AL63" s="89">
        <f t="shared" si="91"/>
        <v>639588324.99503589</v>
      </c>
      <c r="AM63" s="89">
        <f t="shared" ca="1" si="91"/>
        <v>650445208.68342066</v>
      </c>
      <c r="AN63" s="89">
        <f t="shared" ca="1" si="91"/>
        <v>663807091.32565892</v>
      </c>
      <c r="AO63" s="89">
        <f t="shared" ca="1" si="91"/>
        <v>677260763.56377852</v>
      </c>
      <c r="AP63" s="89">
        <f t="shared" ca="1" si="91"/>
        <v>690879300.79678619</v>
      </c>
      <c r="AQ63" s="89">
        <f t="shared" ca="1" si="91"/>
        <v>705183533.76134312</v>
      </c>
      <c r="AR63" s="89">
        <f t="shared" ca="1" si="91"/>
        <v>719590088.04838932</v>
      </c>
      <c r="AS63" s="89">
        <f t="shared" ca="1" si="91"/>
        <v>734061649.74981534</v>
      </c>
      <c r="AT63" s="89">
        <f t="shared" ca="1" si="91"/>
        <v>748576197.34528565</v>
      </c>
      <c r="AU63" s="89">
        <f t="shared" ca="1" si="91"/>
        <v>763127356.51573873</v>
      </c>
      <c r="AV63" s="89">
        <f t="shared" ca="1" si="91"/>
        <v>777715127.26117432</v>
      </c>
      <c r="AW63" s="89">
        <f t="shared" ca="1" si="91"/>
        <v>792339509.58159268</v>
      </c>
      <c r="AX63" s="89">
        <f t="shared" ca="1" si="91"/>
        <v>807000503.4769938</v>
      </c>
      <c r="AY63" s="89">
        <f t="shared" ca="1" si="91"/>
        <v>789127570.31461275</v>
      </c>
      <c r="AZ63" s="89">
        <f t="shared" ca="1" si="91"/>
        <v>803861787.35997915</v>
      </c>
      <c r="BA63" s="89">
        <f t="shared" ca="1" si="91"/>
        <v>818632615.98032832</v>
      </c>
      <c r="BB63" s="89">
        <f t="shared" ca="1" si="91"/>
        <v>833440056.17566001</v>
      </c>
      <c r="BC63" s="89">
        <f t="shared" ca="1" si="91"/>
        <v>848851493.76578605</v>
      </c>
      <c r="BD63" s="89">
        <f t="shared" ca="1" si="91"/>
        <v>864299496.24538064</v>
      </c>
      <c r="BE63" s="89">
        <f t="shared" ca="1" si="91"/>
        <v>879784063.61444378</v>
      </c>
      <c r="BF63" s="89">
        <f t="shared" ca="1" si="91"/>
        <v>895305195.87297559</v>
      </c>
      <c r="BG63" s="89">
        <f t="shared" ca="1" si="91"/>
        <v>910862893.02097607</v>
      </c>
      <c r="BH63" s="89">
        <f t="shared" ca="1" si="91"/>
        <v>926457155.0584451</v>
      </c>
      <c r="BI63" s="89">
        <f t="shared" ca="1" si="91"/>
        <v>1022486124.84742</v>
      </c>
      <c r="BJ63" s="89">
        <f t="shared" ref="BJ63" ca="1" si="92">SUM(BJ60:BJ62)</f>
        <v>1124625504.1918249</v>
      </c>
      <c r="BK63" s="89">
        <f t="shared" ref="BK63" ca="1" si="93">SUM(BK60:BK62)</f>
        <v>1239059657.3686376</v>
      </c>
      <c r="BL63" s="89">
        <f t="shared" ref="BL63" ca="1" si="94">SUM(BL60:BL62)</f>
        <v>1361721893.7081494</v>
      </c>
      <c r="BM63" s="89">
        <f t="shared" ref="BM63" ca="1" si="95">SUM(BM60:BM62)</f>
        <v>1490594351.1643596</v>
      </c>
      <c r="BN63" s="89">
        <f t="shared" ref="BN63" ca="1" si="96">SUM(BN60:BN62)</f>
        <v>1608155319.4927955</v>
      </c>
      <c r="BO63" s="89">
        <f t="shared" ref="BO63" ca="1" si="97">SUM(BO60:BO62)</f>
        <v>1715838508.594949</v>
      </c>
    </row>
    <row r="64" spans="1:67">
      <c r="A64" s="11"/>
      <c r="B64" s="22" t="s">
        <v>531</v>
      </c>
      <c r="C64" s="22"/>
      <c r="D64" s="33"/>
      <c r="E64" s="33"/>
      <c r="F64" s="33"/>
      <c r="G64" s="89">
        <f>G58+G63</f>
        <v>23921419.35483871</v>
      </c>
      <c r="H64" s="89">
        <f t="shared" ref="H64:BI64" si="98">H58+H63</f>
        <v>47329964.285714291</v>
      </c>
      <c r="I64" s="89">
        <f t="shared" si="98"/>
        <v>70735419.354838714</v>
      </c>
      <c r="J64" s="89">
        <f t="shared" si="98"/>
        <v>340272900</v>
      </c>
      <c r="K64" s="89">
        <f t="shared" si="98"/>
        <v>394985889.94307399</v>
      </c>
      <c r="L64" s="89">
        <f t="shared" si="98"/>
        <v>449699841.17647058</v>
      </c>
      <c r="M64" s="89">
        <f t="shared" si="98"/>
        <v>504422831.11954457</v>
      </c>
      <c r="N64" s="89">
        <f t="shared" si="98"/>
        <v>559146301.70777988</v>
      </c>
      <c r="O64" s="89">
        <f t="shared" si="98"/>
        <v>613870252.94117641</v>
      </c>
      <c r="P64" s="89">
        <f t="shared" si="98"/>
        <v>679359909.55091703</v>
      </c>
      <c r="Q64" s="89">
        <f t="shared" si="98"/>
        <v>766228881.61764693</v>
      </c>
      <c r="R64" s="89">
        <f t="shared" si="98"/>
        <v>832351905.62781644</v>
      </c>
      <c r="S64" s="89">
        <f t="shared" si="98"/>
        <v>899500534.32046056</v>
      </c>
      <c r="T64" s="89">
        <f t="shared" si="98"/>
        <v>967013609.12969303</v>
      </c>
      <c r="U64" s="89">
        <f t="shared" si="98"/>
        <v>1034890345.6124771</v>
      </c>
      <c r="V64" s="89">
        <f t="shared" si="98"/>
        <v>1103136257.8305757</v>
      </c>
      <c r="W64" s="89">
        <f t="shared" si="98"/>
        <v>1171750852.2348289</v>
      </c>
      <c r="X64" s="89">
        <f t="shared" si="98"/>
        <v>1240738092.1971316</v>
      </c>
      <c r="Y64" s="89">
        <f t="shared" si="98"/>
        <v>1310098029.8708706</v>
      </c>
      <c r="Z64" s="89">
        <f t="shared" si="98"/>
        <v>1379834160.1206374</v>
      </c>
      <c r="AA64" s="89">
        <f t="shared" si="98"/>
        <v>1450215198</v>
      </c>
      <c r="AB64" s="89">
        <f t="shared" si="98"/>
        <v>1496256958.4007421</v>
      </c>
      <c r="AC64" s="89">
        <f t="shared" si="98"/>
        <v>1488539715.0715356</v>
      </c>
      <c r="AD64" s="89">
        <f t="shared" si="98"/>
        <v>1486602662.9733963</v>
      </c>
      <c r="AE64" s="89">
        <f t="shared" si="98"/>
        <v>1487298385.1695991</v>
      </c>
      <c r="AF64" s="89">
        <f t="shared" si="98"/>
        <v>1492837351.4414718</v>
      </c>
      <c r="AG64" s="89">
        <f t="shared" si="98"/>
        <v>1486047133.3442149</v>
      </c>
      <c r="AH64" s="89">
        <f t="shared" si="98"/>
        <v>1487795068.2197218</v>
      </c>
      <c r="AI64" s="89">
        <f t="shared" si="98"/>
        <v>1484755603.7410529</v>
      </c>
      <c r="AJ64" s="89">
        <f t="shared" si="98"/>
        <v>1486955757.9164743</v>
      </c>
      <c r="AK64" s="89">
        <f t="shared" si="98"/>
        <v>1483423796.3601131</v>
      </c>
      <c r="AL64" s="89">
        <f t="shared" si="98"/>
        <v>1482742788.5029767</v>
      </c>
      <c r="AM64" s="89">
        <f t="shared" ca="1" si="98"/>
        <v>1485621271.6282699</v>
      </c>
      <c r="AN64" s="89">
        <f t="shared" ca="1" si="98"/>
        <v>1481350564.4553704</v>
      </c>
      <c r="AO64" s="89">
        <f t="shared" ca="1" si="98"/>
        <v>1477282770.8551183</v>
      </c>
      <c r="AP64" s="89">
        <f t="shared" ca="1" si="98"/>
        <v>1465592832.3384347</v>
      </c>
      <c r="AQ64" s="89">
        <f t="shared" ca="1" si="98"/>
        <v>1460611702.7357578</v>
      </c>
      <c r="AR64" s="89">
        <f t="shared" ca="1" si="98"/>
        <v>1465211192.3020797</v>
      </c>
      <c r="AS64" s="89">
        <f t="shared" ca="1" si="98"/>
        <v>1465752773.9116988</v>
      </c>
      <c r="AT64" s="89">
        <f t="shared" ca="1" si="98"/>
        <v>1472608016.6337535</v>
      </c>
      <c r="AU64" s="89">
        <f t="shared" ca="1" si="98"/>
        <v>1477042034.4580152</v>
      </c>
      <c r="AV64" s="89">
        <f t="shared" ca="1" si="98"/>
        <v>1483970835.6330829</v>
      </c>
      <c r="AW64" s="89">
        <f t="shared" ca="1" si="98"/>
        <v>1488477741.3042622</v>
      </c>
      <c r="AX64" s="89">
        <f t="shared" ca="1" si="98"/>
        <v>1494250512.0898597</v>
      </c>
      <c r="AY64" s="89">
        <f t="shared" ca="1" si="98"/>
        <v>1501289650.9444473</v>
      </c>
      <c r="AZ64" s="89">
        <f t="shared" ca="1" si="98"/>
        <v>1505905888.386003</v>
      </c>
      <c r="BA64" s="89">
        <f t="shared" ca="1" si="98"/>
        <v>1513018585.6936035</v>
      </c>
      <c r="BB64" s="89">
        <f t="shared" ca="1" si="98"/>
        <v>1517707710.9820766</v>
      </c>
      <c r="BC64" s="89">
        <f t="shared" ca="1" si="98"/>
        <v>1525123203.1405802</v>
      </c>
      <c r="BD64" s="89">
        <f t="shared" ca="1" si="98"/>
        <v>1535731243.7149038</v>
      </c>
      <c r="BE64" s="89">
        <f t="shared" ca="1" si="98"/>
        <v>1538279419.9298215</v>
      </c>
      <c r="BF64" s="89">
        <f t="shared" ca="1" si="98"/>
        <v>1546172158.5234861</v>
      </c>
      <c r="BG64" s="89">
        <f t="shared" ca="1" si="98"/>
        <v>1551581896.276937</v>
      </c>
      <c r="BH64" s="89">
        <f t="shared" ca="1" si="98"/>
        <v>1559548102.9645553</v>
      </c>
      <c r="BI64" s="89">
        <f t="shared" ca="1" si="98"/>
        <v>1625928297.693099</v>
      </c>
      <c r="BJ64" s="89">
        <f t="shared" ref="BJ64" ca="1" si="99">BJ58+BJ63</f>
        <v>1628925378.4884667</v>
      </c>
      <c r="BK64" s="89">
        <f t="shared" ref="BK64" ca="1" si="100">BK58+BK63</f>
        <v>1650331329.7744613</v>
      </c>
      <c r="BL64" s="89">
        <f t="shared" ref="BL64" ca="1" si="101">BL58+BL63</f>
        <v>1675937654.4689574</v>
      </c>
      <c r="BM64" s="89">
        <f t="shared" ref="BM64" ca="1" si="102">BM58+BM63</f>
        <v>1705657255.9386594</v>
      </c>
      <c r="BN64" s="89">
        <f t="shared" ref="BN64" ca="1" si="103">BN58+BN63</f>
        <v>1813589968.80076</v>
      </c>
      <c r="BO64" s="89">
        <f t="shared" ref="BO64" ca="1" si="104">BO58+BO63</f>
        <v>1912919106.5648575</v>
      </c>
    </row>
    <row r="65" spans="1:67">
      <c r="A65" s="11"/>
      <c r="B65" s="25" t="s">
        <v>532</v>
      </c>
      <c r="C65" s="25"/>
      <c r="D65" s="41"/>
      <c r="E65" s="41"/>
      <c r="F65" s="41"/>
      <c r="G65" s="91">
        <f>G46-G64</f>
        <v>0</v>
      </c>
      <c r="H65" s="91">
        <f t="shared" ref="H65:BI65" si="105">H46-H64</f>
        <v>0</v>
      </c>
      <c r="I65" s="91">
        <f t="shared" si="105"/>
        <v>0</v>
      </c>
      <c r="J65" s="91">
        <f t="shared" si="105"/>
        <v>0</v>
      </c>
      <c r="K65" s="91">
        <f t="shared" si="105"/>
        <v>0</v>
      </c>
      <c r="L65" s="91">
        <f t="shared" si="105"/>
        <v>0</v>
      </c>
      <c r="M65" s="91">
        <f t="shared" si="105"/>
        <v>0</v>
      </c>
      <c r="N65" s="91">
        <f t="shared" si="105"/>
        <v>0</v>
      </c>
      <c r="O65" s="91">
        <f t="shared" si="105"/>
        <v>0</v>
      </c>
      <c r="P65" s="91">
        <f t="shared" si="105"/>
        <v>0</v>
      </c>
      <c r="Q65" s="91">
        <f t="shared" si="105"/>
        <v>0</v>
      </c>
      <c r="R65" s="91">
        <f t="shared" si="105"/>
        <v>0</v>
      </c>
      <c r="S65" s="91">
        <f t="shared" si="105"/>
        <v>0</v>
      </c>
      <c r="T65" s="91">
        <f t="shared" si="105"/>
        <v>0</v>
      </c>
      <c r="U65" s="91">
        <f t="shared" si="105"/>
        <v>0</v>
      </c>
      <c r="V65" s="91">
        <f t="shared" si="105"/>
        <v>0</v>
      </c>
      <c r="W65" s="91">
        <f t="shared" si="105"/>
        <v>0</v>
      </c>
      <c r="X65" s="91">
        <f t="shared" si="105"/>
        <v>0</v>
      </c>
      <c r="Y65" s="91">
        <f t="shared" si="105"/>
        <v>0</v>
      </c>
      <c r="Z65" s="91">
        <f t="shared" si="105"/>
        <v>0</v>
      </c>
      <c r="AA65" s="91">
        <f t="shared" si="105"/>
        <v>0</v>
      </c>
      <c r="AB65" s="91">
        <f t="shared" si="105"/>
        <v>0</v>
      </c>
      <c r="AC65" s="91">
        <f t="shared" si="105"/>
        <v>0</v>
      </c>
      <c r="AD65" s="91">
        <f t="shared" si="105"/>
        <v>0</v>
      </c>
      <c r="AE65" s="91">
        <f t="shared" si="105"/>
        <v>0</v>
      </c>
      <c r="AF65" s="91">
        <f t="shared" si="105"/>
        <v>0</v>
      </c>
      <c r="AG65" s="91">
        <f t="shared" si="105"/>
        <v>0</v>
      </c>
      <c r="AH65" s="91">
        <f t="shared" si="105"/>
        <v>0</v>
      </c>
      <c r="AI65" s="91">
        <f t="shared" si="105"/>
        <v>0</v>
      </c>
      <c r="AJ65" s="91">
        <f t="shared" si="105"/>
        <v>0</v>
      </c>
      <c r="AK65" s="91">
        <f t="shared" si="105"/>
        <v>0</v>
      </c>
      <c r="AL65" s="91">
        <f t="shared" si="105"/>
        <v>0</v>
      </c>
      <c r="AM65" s="91">
        <f t="shared" ca="1" si="105"/>
        <v>0</v>
      </c>
      <c r="AN65" s="91">
        <f t="shared" ca="1" si="105"/>
        <v>0</v>
      </c>
      <c r="AO65" s="91">
        <f t="shared" ca="1" si="105"/>
        <v>0</v>
      </c>
      <c r="AP65" s="91">
        <f t="shared" ca="1" si="105"/>
        <v>0</v>
      </c>
      <c r="AQ65" s="91">
        <f t="shared" ca="1" si="105"/>
        <v>0</v>
      </c>
      <c r="AR65" s="91">
        <f t="shared" ca="1" si="105"/>
        <v>0</v>
      </c>
      <c r="AS65" s="91">
        <f t="shared" ca="1" si="105"/>
        <v>0</v>
      </c>
      <c r="AT65" s="91">
        <f t="shared" ca="1" si="105"/>
        <v>0</v>
      </c>
      <c r="AU65" s="91">
        <f t="shared" ca="1" si="105"/>
        <v>0</v>
      </c>
      <c r="AV65" s="91">
        <f t="shared" ca="1" si="105"/>
        <v>0</v>
      </c>
      <c r="AW65" s="91">
        <f t="shared" ca="1" si="105"/>
        <v>0</v>
      </c>
      <c r="AX65" s="91">
        <f t="shared" ca="1" si="105"/>
        <v>0</v>
      </c>
      <c r="AY65" s="91">
        <f t="shared" ca="1" si="105"/>
        <v>0</v>
      </c>
      <c r="AZ65" s="91">
        <f t="shared" ca="1" si="105"/>
        <v>0</v>
      </c>
      <c r="BA65" s="91">
        <f t="shared" ca="1" si="105"/>
        <v>0</v>
      </c>
      <c r="BB65" s="91">
        <f t="shared" ca="1" si="105"/>
        <v>0</v>
      </c>
      <c r="BC65" s="91">
        <f t="shared" ca="1" si="105"/>
        <v>0</v>
      </c>
      <c r="BD65" s="91">
        <f t="shared" ca="1" si="105"/>
        <v>0</v>
      </c>
      <c r="BE65" s="91">
        <f t="shared" ca="1" si="105"/>
        <v>0</v>
      </c>
      <c r="BF65" s="91">
        <f t="shared" ca="1" si="105"/>
        <v>0</v>
      </c>
      <c r="BG65" s="91">
        <f t="shared" ca="1" si="105"/>
        <v>0</v>
      </c>
      <c r="BH65" s="91">
        <f t="shared" ca="1" si="105"/>
        <v>0</v>
      </c>
      <c r="BI65" s="91">
        <f t="shared" ca="1" si="105"/>
        <v>0</v>
      </c>
      <c r="BJ65" s="91">
        <f t="shared" ref="BJ65" ca="1" si="106">BJ46-BJ64</f>
        <v>0</v>
      </c>
      <c r="BK65" s="91">
        <f t="shared" ref="BK65" ca="1" si="107">BK46-BK64</f>
        <v>0</v>
      </c>
      <c r="BL65" s="91">
        <f t="shared" ref="BL65" ca="1" si="108">BL46-BL64</f>
        <v>0</v>
      </c>
      <c r="BM65" s="91">
        <f t="shared" ref="BM65" ca="1" si="109">BM46-BM64</f>
        <v>0</v>
      </c>
      <c r="BN65" s="91">
        <f t="shared" ref="BN65" ca="1" si="110">BN46-BN64</f>
        <v>0</v>
      </c>
      <c r="BO65" s="91">
        <f t="shared" ref="BO65" ca="1" si="111">BO46-BO64</f>
        <v>0</v>
      </c>
    </row>
    <row r="66" spans="1:67">
      <c r="A66" s="11"/>
      <c r="B66" s="11"/>
      <c r="C66" s="11"/>
      <c r="D66" s="33"/>
      <c r="E66" s="33"/>
      <c r="F66" s="3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row>
    <row r="67" spans="1:67">
      <c r="A67" s="18" t="s">
        <v>533</v>
      </c>
      <c r="B67" s="18"/>
      <c r="C67" s="18"/>
      <c r="D67" s="39"/>
      <c r="E67" s="39"/>
      <c r="F67" s="39"/>
      <c r="G67" s="40"/>
      <c r="H67" s="40"/>
      <c r="I67" s="40"/>
      <c r="J67" s="40"/>
      <c r="K67" s="40"/>
      <c r="L67" s="40"/>
      <c r="M67" s="40"/>
      <c r="N67" s="40"/>
      <c r="O67" s="40"/>
      <c r="P67" s="40"/>
      <c r="Q67" s="40"/>
      <c r="R67" s="40"/>
      <c r="S67" s="40"/>
      <c r="T67" s="40"/>
      <c r="U67" s="40"/>
      <c r="V67" s="40"/>
      <c r="W67" s="40"/>
      <c r="X67" s="40"/>
      <c r="Y67" s="40"/>
      <c r="Z67" s="40"/>
      <c r="AA67" s="40"/>
      <c r="AB67" s="40"/>
      <c r="AC67" s="40"/>
      <c r="AD67" s="40"/>
      <c r="AE67" s="40"/>
      <c r="AF67" s="40"/>
      <c r="AG67" s="40"/>
      <c r="AH67" s="40"/>
      <c r="AI67" s="40"/>
      <c r="AJ67" s="40"/>
      <c r="AK67" s="40"/>
      <c r="AL67" s="40"/>
      <c r="AM67" s="40"/>
      <c r="AN67" s="40"/>
      <c r="AO67" s="40"/>
      <c r="AP67" s="40"/>
      <c r="AQ67" s="40"/>
      <c r="AR67" s="40"/>
      <c r="AS67" s="40"/>
      <c r="AT67" s="40"/>
      <c r="AU67" s="40"/>
      <c r="AV67" s="40"/>
      <c r="AW67" s="40"/>
      <c r="AX67" s="40"/>
      <c r="AY67" s="40"/>
      <c r="AZ67" s="40"/>
      <c r="BA67" s="40"/>
      <c r="BB67" s="40"/>
      <c r="BC67" s="40"/>
      <c r="BD67" s="40"/>
      <c r="BE67" s="40"/>
      <c r="BF67" s="40"/>
      <c r="BG67" s="40"/>
      <c r="BH67" s="40"/>
      <c r="BI67" s="40"/>
      <c r="BJ67" s="40"/>
      <c r="BK67" s="40"/>
      <c r="BL67" s="40"/>
      <c r="BM67" s="40"/>
      <c r="BN67" s="40"/>
      <c r="BO67" s="40"/>
    </row>
    <row r="68" spans="1:67">
      <c r="A68" s="11"/>
      <c r="B68" s="11" t="s">
        <v>534</v>
      </c>
      <c r="C68" s="11"/>
      <c r="D68" s="33"/>
      <c r="E68" s="33"/>
      <c r="F68" s="3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row>
    <row r="69" spans="1:67">
      <c r="A69" s="11"/>
      <c r="B69" s="11"/>
      <c r="C69" s="11" t="s">
        <v>23</v>
      </c>
      <c r="D69" s="33"/>
      <c r="E69" s="33"/>
      <c r="F69" s="33"/>
      <c r="G69" s="90">
        <f>G22</f>
        <v>-354800</v>
      </c>
      <c r="H69" s="90">
        <f t="shared" ref="H69:BI69" si="112">H22</f>
        <v>-354800</v>
      </c>
      <c r="I69" s="90">
        <f t="shared" si="112"/>
        <v>-354800</v>
      </c>
      <c r="J69" s="90">
        <f t="shared" si="112"/>
        <v>-354800</v>
      </c>
      <c r="K69" s="90">
        <f t="shared" si="112"/>
        <v>-354800</v>
      </c>
      <c r="L69" s="90">
        <f t="shared" si="112"/>
        <v>-354800</v>
      </c>
      <c r="M69" s="90">
        <f t="shared" si="112"/>
        <v>-354800</v>
      </c>
      <c r="N69" s="90">
        <f t="shared" si="112"/>
        <v>-354800</v>
      </c>
      <c r="O69" s="90">
        <f t="shared" si="112"/>
        <v>-354800</v>
      </c>
      <c r="P69" s="90">
        <f t="shared" si="112"/>
        <v>-448550</v>
      </c>
      <c r="Q69" s="90">
        <f t="shared" si="112"/>
        <v>-448550</v>
      </c>
      <c r="R69" s="90">
        <f t="shared" si="112"/>
        <v>-704383.33333333337</v>
      </c>
      <c r="S69" s="90">
        <f t="shared" si="112"/>
        <v>-601246</v>
      </c>
      <c r="T69" s="90">
        <f t="shared" si="112"/>
        <v>-1184579.3333333333</v>
      </c>
      <c r="U69" s="90">
        <f t="shared" si="112"/>
        <v>-1184579.3333333333</v>
      </c>
      <c r="V69" s="90">
        <f t="shared" si="112"/>
        <v>-1290204.3333333335</v>
      </c>
      <c r="W69" s="90">
        <f t="shared" si="112"/>
        <v>-1290204.3333333335</v>
      </c>
      <c r="X69" s="90">
        <f t="shared" si="112"/>
        <v>-1279787.6666666667</v>
      </c>
      <c r="Y69" s="90">
        <f t="shared" si="112"/>
        <v>-1279787.6666666667</v>
      </c>
      <c r="Z69" s="90">
        <f t="shared" si="112"/>
        <v>-1355412.6666666667</v>
      </c>
      <c r="AA69" s="90">
        <f t="shared" si="112"/>
        <v>-1355412.6666666667</v>
      </c>
      <c r="AB69" s="90">
        <f t="shared" si="112"/>
        <v>-33183279.04799848</v>
      </c>
      <c r="AC69" s="90">
        <f t="shared" si="112"/>
        <v>-14224107.739055265</v>
      </c>
      <c r="AD69" s="90">
        <f t="shared" si="112"/>
        <v>-11883461.101893414</v>
      </c>
      <c r="AE69" s="90">
        <f t="shared" si="112"/>
        <v>-9471181.0958542358</v>
      </c>
      <c r="AF69" s="90">
        <f t="shared" si="112"/>
        <v>-6401080.9191445261</v>
      </c>
      <c r="AG69" s="90">
        <f t="shared" si="112"/>
        <v>-4009295.2534911539</v>
      </c>
      <c r="AH69" s="90">
        <f t="shared" si="112"/>
        <v>-1520263.6194417328</v>
      </c>
      <c r="AI69" s="90">
        <f t="shared" si="112"/>
        <v>917180.40834800806</v>
      </c>
      <c r="AJ69" s="90">
        <f t="shared" si="112"/>
        <v>3387141.8378667766</v>
      </c>
      <c r="AK69" s="90">
        <f t="shared" si="112"/>
        <v>5851475.1258781161</v>
      </c>
      <c r="AL69" s="90">
        <f t="shared" si="112"/>
        <v>8352393.4471434951</v>
      </c>
      <c r="AM69" s="90">
        <f t="shared" si="112"/>
        <v>10856883.688384838</v>
      </c>
      <c r="AN69" s="90">
        <f t="shared" si="112"/>
        <v>13361882.6422382</v>
      </c>
      <c r="AO69" s="90">
        <f t="shared" si="112"/>
        <v>13453672.238119666</v>
      </c>
      <c r="AP69" s="90">
        <f t="shared" si="112"/>
        <v>13618537.233007617</v>
      </c>
      <c r="AQ69" s="90">
        <f t="shared" si="112"/>
        <v>14304232.964556919</v>
      </c>
      <c r="AR69" s="90">
        <f t="shared" si="112"/>
        <v>14406554.287046215</v>
      </c>
      <c r="AS69" s="90">
        <f t="shared" si="112"/>
        <v>14471561.701426068</v>
      </c>
      <c r="AT69" s="90">
        <f t="shared" si="112"/>
        <v>14514547.595470317</v>
      </c>
      <c r="AU69" s="90">
        <f t="shared" si="112"/>
        <v>14551159.170453001</v>
      </c>
      <c r="AV69" s="90">
        <f t="shared" si="112"/>
        <v>14587770.745435679</v>
      </c>
      <c r="AW69" s="90">
        <f t="shared" si="112"/>
        <v>14624382.320418363</v>
      </c>
      <c r="AX69" s="90">
        <f t="shared" si="112"/>
        <v>14660993.895401053</v>
      </c>
      <c r="AY69" s="90">
        <f t="shared" si="112"/>
        <v>14697605.470383734</v>
      </c>
      <c r="AZ69" s="90">
        <f t="shared" ca="1" si="112"/>
        <v>14734217.045366423</v>
      </c>
      <c r="BA69" s="90">
        <f t="shared" ca="1" si="112"/>
        <v>14770828.620349107</v>
      </c>
      <c r="BB69" s="90">
        <f t="shared" ca="1" si="112"/>
        <v>14807440.195331786</v>
      </c>
      <c r="BC69" s="90">
        <f t="shared" ca="1" si="112"/>
        <v>15411437.590125959</v>
      </c>
      <c r="BD69" s="90">
        <f t="shared" ca="1" si="112"/>
        <v>15448002.479594575</v>
      </c>
      <c r="BE69" s="90">
        <f t="shared" ca="1" si="112"/>
        <v>15484567.369063197</v>
      </c>
      <c r="BF69" s="90">
        <f t="shared" ca="1" si="112"/>
        <v>15521132.258531824</v>
      </c>
      <c r="BG69" s="90">
        <f t="shared" ca="1" si="112"/>
        <v>15557697.14800044</v>
      </c>
      <c r="BH69" s="90">
        <f t="shared" ca="1" si="112"/>
        <v>15594262.037469069</v>
      </c>
      <c r="BI69" s="90">
        <f t="shared" ca="1" si="112"/>
        <v>192057939.57794985</v>
      </c>
      <c r="BJ69" s="90">
        <f t="shared" ref="BJ69:BO69" ca="1" si="113">BJ22</f>
        <v>204278758.68880963</v>
      </c>
      <c r="BK69" s="90">
        <f t="shared" ca="1" si="113"/>
        <v>228868306.35362518</v>
      </c>
      <c r="BL69" s="90">
        <f t="shared" ca="1" si="113"/>
        <v>245324472.67902416</v>
      </c>
      <c r="BM69" s="90">
        <f t="shared" ca="1" si="113"/>
        <v>257744914.91242033</v>
      </c>
      <c r="BN69" s="90">
        <f t="shared" ca="1" si="113"/>
        <v>235121936.65687171</v>
      </c>
      <c r="BO69" s="90">
        <f t="shared" ca="1" si="113"/>
        <v>215366378.20430723</v>
      </c>
    </row>
    <row r="70" spans="1:67">
      <c r="A70" s="11"/>
      <c r="B70" s="11"/>
      <c r="C70" s="11" t="s">
        <v>478</v>
      </c>
      <c r="D70" s="33"/>
      <c r="E70" s="33"/>
      <c r="F70" s="33"/>
      <c r="G70" s="90">
        <f>G23</f>
        <v>0</v>
      </c>
      <c r="H70" s="90">
        <f t="shared" ref="H70:BI70" si="114">H23</f>
        <v>0</v>
      </c>
      <c r="I70" s="90">
        <f t="shared" si="114"/>
        <v>0</v>
      </c>
      <c r="J70" s="90">
        <f t="shared" si="114"/>
        <v>0</v>
      </c>
      <c r="K70" s="90">
        <f t="shared" si="114"/>
        <v>0</v>
      </c>
      <c r="L70" s="90">
        <f t="shared" si="114"/>
        <v>0</v>
      </c>
      <c r="M70" s="90">
        <f t="shared" si="114"/>
        <v>0</v>
      </c>
      <c r="N70" s="90">
        <f t="shared" si="114"/>
        <v>0</v>
      </c>
      <c r="O70" s="90">
        <f t="shared" si="114"/>
        <v>0</v>
      </c>
      <c r="P70" s="90">
        <f t="shared" si="114"/>
        <v>0</v>
      </c>
      <c r="Q70" s="90">
        <f t="shared" si="114"/>
        <v>0</v>
      </c>
      <c r="R70" s="90">
        <f t="shared" si="114"/>
        <v>0</v>
      </c>
      <c r="S70" s="90">
        <f t="shared" si="114"/>
        <v>0</v>
      </c>
      <c r="T70" s="90">
        <f t="shared" si="114"/>
        <v>0</v>
      </c>
      <c r="U70" s="90">
        <f t="shared" si="114"/>
        <v>0</v>
      </c>
      <c r="V70" s="90">
        <f t="shared" si="114"/>
        <v>0</v>
      </c>
      <c r="W70" s="90">
        <f t="shared" si="114"/>
        <v>0</v>
      </c>
      <c r="X70" s="90">
        <f t="shared" si="114"/>
        <v>0</v>
      </c>
      <c r="Y70" s="90">
        <f t="shared" si="114"/>
        <v>0</v>
      </c>
      <c r="Z70" s="90">
        <f t="shared" si="114"/>
        <v>0</v>
      </c>
      <c r="AA70" s="90">
        <f t="shared" si="114"/>
        <v>0</v>
      </c>
      <c r="AB70" s="90">
        <f t="shared" si="114"/>
        <v>9564374.9999999981</v>
      </c>
      <c r="AC70" s="90">
        <f t="shared" si="114"/>
        <v>9574444.4444444422</v>
      </c>
      <c r="AD70" s="90">
        <f t="shared" si="114"/>
        <v>9584513.8888888881</v>
      </c>
      <c r="AE70" s="90">
        <f t="shared" si="114"/>
        <v>9594583.3333333321</v>
      </c>
      <c r="AF70" s="90">
        <f t="shared" si="114"/>
        <v>9604652.7777777761</v>
      </c>
      <c r="AG70" s="90">
        <f t="shared" si="114"/>
        <v>9614722.2222222202</v>
      </c>
      <c r="AH70" s="90">
        <f t="shared" si="114"/>
        <v>9624791.666666666</v>
      </c>
      <c r="AI70" s="90">
        <f t="shared" si="114"/>
        <v>9634861.1111111101</v>
      </c>
      <c r="AJ70" s="90">
        <f t="shared" si="114"/>
        <v>9644930.5555555541</v>
      </c>
      <c r="AK70" s="90">
        <f t="shared" si="114"/>
        <v>9654999.9999999981</v>
      </c>
      <c r="AL70" s="90">
        <f t="shared" si="114"/>
        <v>9665069.4444444422</v>
      </c>
      <c r="AM70" s="90">
        <f t="shared" si="114"/>
        <v>9675138.8888888881</v>
      </c>
      <c r="AN70" s="90">
        <f t="shared" si="114"/>
        <v>9685208.3333333321</v>
      </c>
      <c r="AO70" s="90">
        <f t="shared" si="114"/>
        <v>9695277.7777777761</v>
      </c>
      <c r="AP70" s="90">
        <f t="shared" si="114"/>
        <v>9705347.2222222202</v>
      </c>
      <c r="AQ70" s="90">
        <f t="shared" si="114"/>
        <v>9715416.666666666</v>
      </c>
      <c r="AR70" s="90">
        <f t="shared" si="114"/>
        <v>9725486.1111111101</v>
      </c>
      <c r="AS70" s="90">
        <f t="shared" si="114"/>
        <v>9735555.5555555541</v>
      </c>
      <c r="AT70" s="90">
        <f t="shared" si="114"/>
        <v>9745624.9999999981</v>
      </c>
      <c r="AU70" s="90">
        <f t="shared" si="114"/>
        <v>9755694.4444444422</v>
      </c>
      <c r="AV70" s="90">
        <f t="shared" si="114"/>
        <v>9765763.8888888881</v>
      </c>
      <c r="AW70" s="90">
        <f t="shared" si="114"/>
        <v>9775833.3333333321</v>
      </c>
      <c r="AX70" s="90">
        <f t="shared" si="114"/>
        <v>9785902.7777777761</v>
      </c>
      <c r="AY70" s="90">
        <f t="shared" si="114"/>
        <v>9795972.2222222202</v>
      </c>
      <c r="AZ70" s="90">
        <f t="shared" si="114"/>
        <v>9806041.666666666</v>
      </c>
      <c r="BA70" s="90">
        <f t="shared" si="114"/>
        <v>9816111.1111111101</v>
      </c>
      <c r="BB70" s="90">
        <f t="shared" si="114"/>
        <v>9826180.5555555541</v>
      </c>
      <c r="BC70" s="90">
        <f t="shared" si="114"/>
        <v>9836249.9999999981</v>
      </c>
      <c r="BD70" s="90">
        <f t="shared" si="114"/>
        <v>9846319.4444444422</v>
      </c>
      <c r="BE70" s="90">
        <f t="shared" si="114"/>
        <v>9856388.8888888881</v>
      </c>
      <c r="BF70" s="90">
        <f t="shared" si="114"/>
        <v>9866458.3333333321</v>
      </c>
      <c r="BG70" s="90">
        <f t="shared" si="114"/>
        <v>9876527.7777777761</v>
      </c>
      <c r="BH70" s="90">
        <f t="shared" si="114"/>
        <v>9886597.2222222202</v>
      </c>
      <c r="BI70" s="90">
        <f t="shared" si="114"/>
        <v>120089166.66666666</v>
      </c>
      <c r="BJ70" s="90">
        <f t="shared" ref="BJ70:BO70" si="115">BJ23</f>
        <v>121539166.66666666</v>
      </c>
      <c r="BK70" s="90">
        <f t="shared" si="115"/>
        <v>110689166.66666666</v>
      </c>
      <c r="BL70" s="90">
        <f t="shared" si="115"/>
        <v>108039166.66666666</v>
      </c>
      <c r="BM70" s="90">
        <f t="shared" si="115"/>
        <v>109489166.66666666</v>
      </c>
      <c r="BN70" s="90">
        <f t="shared" si="115"/>
        <v>110939166.66666666</v>
      </c>
      <c r="BO70" s="90">
        <f t="shared" si="115"/>
        <v>112389166.66666666</v>
      </c>
    </row>
    <row r="71" spans="1:67">
      <c r="A71" s="11"/>
      <c r="B71" s="11"/>
      <c r="C71" s="11" t="s">
        <v>535</v>
      </c>
      <c r="D71" s="33"/>
      <c r="E71" s="33"/>
      <c r="F71" s="33"/>
      <c r="G71" s="90">
        <f>-'06 Debt &amp; WC'!G$54</f>
        <v>339579.4838709677</v>
      </c>
      <c r="H71" s="90">
        <f>-'06 Debt &amp; WC'!H$54</f>
        <v>35243.087557603722</v>
      </c>
      <c r="I71" s="90">
        <f>-'06 Debt &amp; WC'!I$54</f>
        <v>-35243.087557603722</v>
      </c>
      <c r="J71" s="90">
        <f>-'06 Debt &amp; WC'!J$54</f>
        <v>10964.516129032301</v>
      </c>
      <c r="K71" s="90">
        <f>-'06 Debt &amp; WC'!K$54</f>
        <v>-10964.516129032301</v>
      </c>
      <c r="L71" s="90">
        <f>-'06 Debt &amp; WC'!L$54</f>
        <v>10964.516129032301</v>
      </c>
      <c r="M71" s="90">
        <f>-'06 Debt &amp; WC'!M$54</f>
        <v>-10964.516129032301</v>
      </c>
      <c r="N71" s="90">
        <f>-'06 Debt &amp; WC'!N$54</f>
        <v>0</v>
      </c>
      <c r="O71" s="90">
        <f>-'06 Debt &amp; WC'!O$54</f>
        <v>10964.516129032301</v>
      </c>
      <c r="P71" s="90">
        <f>-'06 Debt &amp; WC'!P$54</f>
        <v>82573.790322580608</v>
      </c>
      <c r="Q71" s="90">
        <f>-'06 Debt &amp; WC'!Q$54</f>
        <v>13988.709677419392</v>
      </c>
      <c r="R71" s="90">
        <f>-'06 Debt &amp; WC'!R$54</f>
        <v>241266.93548387091</v>
      </c>
      <c r="S71" s="90">
        <f>-'06 Debt &amp; WC'!S$54</f>
        <v>-103192.82967741927</v>
      </c>
      <c r="T71" s="90">
        <f>-'06 Debt &amp; WC'!T$54</f>
        <v>660061.60177975509</v>
      </c>
      <c r="U71" s="90">
        <f>-'06 Debt &amp; WC'!U$54</f>
        <v>-78045.472747497261</v>
      </c>
      <c r="V71" s="90">
        <f>-'06 Debt &amp; WC'!V$54</f>
        <v>146515.72849462391</v>
      </c>
      <c r="W71" s="90">
        <f>-'06 Debt &amp; WC'!W$54</f>
        <v>-41129.236559139565</v>
      </c>
      <c r="X71" s="90">
        <f>-'06 Debt &amp; WC'!X$54</f>
        <v>30400.06989247282</v>
      </c>
      <c r="Y71" s="90">
        <f>-'06 Debt &amp; WC'!Y$54</f>
        <v>-40793.215053763473</v>
      </c>
      <c r="Z71" s="90">
        <f>-'06 Debt &amp; WC'!Z$54</f>
        <v>75454.233870967757</v>
      </c>
      <c r="AA71" s="90">
        <f>-'06 Debt &amp; WC'!AA$54</f>
        <v>43232.731182795716</v>
      </c>
      <c r="AB71" s="90">
        <f>-'06 Debt &amp; WC'!AB$54</f>
        <v>-23027100.037171833</v>
      </c>
      <c r="AC71" s="90">
        <f>-'06 Debt &amp; WC'!AC$54</f>
        <v>-14491186.720806874</v>
      </c>
      <c r="AD71" s="90">
        <f>-'06 Debt &amp; WC'!AD$54</f>
        <v>-4650049.2291548699</v>
      </c>
      <c r="AE71" s="90">
        <f>-'06 Debt &amp; WC'!AE$54</f>
        <v>-6175890.7446393594</v>
      </c>
      <c r="AF71" s="90">
        <f>-'06 Debt &amp; WC'!AF$54</f>
        <v>-9824262.2611647397</v>
      </c>
      <c r="AG71" s="90">
        <f>-'06 Debt &amp; WC'!AG$54</f>
        <v>-1483951.3605119362</v>
      </c>
      <c r="AH71" s="90">
        <f>-'06 Debt &amp; WC'!AH$54</f>
        <v>-6898070.6549516544</v>
      </c>
      <c r="AI71" s="90">
        <f>-'06 Debt &amp; WC'!AI$54</f>
        <v>-3771172.4022088721</v>
      </c>
      <c r="AJ71" s="90">
        <f>-'06 Debt &amp; WC'!AJ$54</f>
        <v>-7216027.5345907211</v>
      </c>
      <c r="AK71" s="90">
        <f>-'06 Debt &amp; WC'!AK$54</f>
        <v>-3418710.2806343734</v>
      </c>
      <c r="AL71" s="90">
        <f>-'06 Debt &amp; WC'!AL$54</f>
        <v>-5317368.9076125026</v>
      </c>
      <c r="AM71" s="90">
        <f>-'06 Debt &amp; WC'!AM$54</f>
        <v>-7744720.7169524431</v>
      </c>
      <c r="AN71" s="90">
        <f>-'06 Debt &amp; WC'!AN$54</f>
        <v>-2890017.0982726365</v>
      </c>
      <c r="AO71" s="90">
        <f>-'06 Debt &amp; WC'!AO$54</f>
        <v>-2607522.0232000649</v>
      </c>
      <c r="AP71" s="90">
        <f>-'06 Debt &amp; WC'!AP$54</f>
        <v>2529234.4384924024</v>
      </c>
      <c r="AQ71" s="90">
        <f>-'06 Debt &amp; WC'!AQ$54</f>
        <v>-2049212.9157963693</v>
      </c>
      <c r="AR71" s="90">
        <f>-'06 Debt &amp; WC'!AR$54</f>
        <v>-8558273.6443495899</v>
      </c>
      <c r="AS71" s="90">
        <f>-'06 Debt &amp; WC'!AS$54</f>
        <v>8550572.755720228</v>
      </c>
      <c r="AT71" s="90">
        <f>-'06 Debt &amp; WC'!AT$54</f>
        <v>-2665493.64167431</v>
      </c>
      <c r="AU71" s="90">
        <f>-'06 Debt &amp; WC'!AU$54</f>
        <v>2657792.7530450076</v>
      </c>
      <c r="AV71" s="90">
        <f>-'06 Debt &amp; WC'!AV$54</f>
        <v>-2665760.7323564589</v>
      </c>
      <c r="AW71" s="90">
        <f>-'06 Debt &amp; WC'!AW$54</f>
        <v>2658059.8437270969</v>
      </c>
      <c r="AX71" s="90">
        <f>-'06 Debt &amp; WC'!AX$54</f>
        <v>-3850.4443146586418</v>
      </c>
      <c r="AY71" s="90">
        <f>-'06 Debt &amp; WC'!AY$54</f>
        <v>-2666161.3683796227</v>
      </c>
      <c r="AZ71" s="90">
        <f>-'06 Debt &amp; WC'!AZ$54</f>
        <v>2658460.4797502756</v>
      </c>
      <c r="BA71" s="90">
        <f>-'06 Debt &amp; WC'!BA$54</f>
        <v>-2666428.4590617269</v>
      </c>
      <c r="BB71" s="90">
        <f>-'06 Debt &amp; WC'!BB$54</f>
        <v>2658727.5704324096</v>
      </c>
      <c r="BC71" s="90">
        <f>-'06 Debt &amp; WC'!BC$54</f>
        <v>-2091809.4387821704</v>
      </c>
      <c r="BD71" s="90">
        <f>-'06 Debt &amp; WC'!BD$54</f>
        <v>-8743798.3240689486</v>
      </c>
      <c r="BE71" s="90">
        <f>-'06 Debt &amp; WC'!BE$54</f>
        <v>8736009.8775109649</v>
      </c>
      <c r="BF71" s="90">
        <f>-'06 Debt &amp; WC'!BF$54</f>
        <v>-2723245.601731047</v>
      </c>
      <c r="BG71" s="90">
        <f>-'06 Debt &amp; WC'!BG$54</f>
        <v>2715457.1551730633</v>
      </c>
      <c r="BH71" s="90">
        <f>-'06 Debt &amp; WC'!BH$54</f>
        <v>-2723515.7043818384</v>
      </c>
      <c r="BI71" s="90">
        <f>-'06 Debt &amp; WC'!BI$54</f>
        <v>-2841899.9065119028</v>
      </c>
      <c r="BJ71" s="90">
        <f>-'06 Debt &amp; WC'!BJ$54</f>
        <v>-2492084.554700911</v>
      </c>
      <c r="BK71" s="90">
        <f>-'06 Debt &amp; WC'!BK$54</f>
        <v>-2304366.8512658477</v>
      </c>
      <c r="BL71" s="90">
        <f>-'06 Debt &amp; WC'!BL$54</f>
        <v>-2349413.8159185201</v>
      </c>
      <c r="BM71" s="90">
        <f>-'06 Debt &amp; WC'!BM$54</f>
        <v>-2142409.0206710696</v>
      </c>
      <c r="BN71" s="90">
        <f>-'06 Debt &amp; WC'!BN$54</f>
        <v>-2665775.4153720289</v>
      </c>
      <c r="BO71" s="90">
        <f>-'06 Debt &amp; WC'!BO$54</f>
        <v>-1628813.548480019</v>
      </c>
    </row>
    <row r="72" spans="1:67">
      <c r="A72" s="11"/>
      <c r="B72" s="22" t="s">
        <v>536</v>
      </c>
      <c r="C72" s="22"/>
      <c r="D72" s="33"/>
      <c r="E72" s="33"/>
      <c r="F72" s="33"/>
      <c r="G72" s="89">
        <f>SUM(G69:G71)</f>
        <v>-15220.516129032301</v>
      </c>
      <c r="H72" s="89">
        <f t="shared" ref="H72:BI72" si="116">SUM(H69:H71)</f>
        <v>-319556.91244239628</v>
      </c>
      <c r="I72" s="89">
        <f t="shared" si="116"/>
        <v>-390043.08755760372</v>
      </c>
      <c r="J72" s="89">
        <f t="shared" si="116"/>
        <v>-343835.4838709677</v>
      </c>
      <c r="K72" s="89">
        <f t="shared" si="116"/>
        <v>-365764.5161290323</v>
      </c>
      <c r="L72" s="89">
        <f t="shared" si="116"/>
        <v>-343835.4838709677</v>
      </c>
      <c r="M72" s="89">
        <f t="shared" si="116"/>
        <v>-365764.5161290323</v>
      </c>
      <c r="N72" s="89">
        <f t="shared" si="116"/>
        <v>-354800</v>
      </c>
      <c r="O72" s="89">
        <f t="shared" si="116"/>
        <v>-343835.4838709677</v>
      </c>
      <c r="P72" s="89">
        <f t="shared" si="116"/>
        <v>-365976.20967741939</v>
      </c>
      <c r="Q72" s="89">
        <f t="shared" si="116"/>
        <v>-434561.29032258061</v>
      </c>
      <c r="R72" s="89">
        <f t="shared" si="116"/>
        <v>-463116.39784946246</v>
      </c>
      <c r="S72" s="89">
        <f t="shared" si="116"/>
        <v>-704438.82967741927</v>
      </c>
      <c r="T72" s="89">
        <f t="shared" si="116"/>
        <v>-524517.73155357817</v>
      </c>
      <c r="U72" s="89">
        <f t="shared" si="116"/>
        <v>-1262624.8060808305</v>
      </c>
      <c r="V72" s="89">
        <f t="shared" si="116"/>
        <v>-1143688.6048387096</v>
      </c>
      <c r="W72" s="89">
        <f t="shared" si="116"/>
        <v>-1331333.5698924731</v>
      </c>
      <c r="X72" s="89">
        <f t="shared" si="116"/>
        <v>-1249387.5967741939</v>
      </c>
      <c r="Y72" s="89">
        <f t="shared" si="116"/>
        <v>-1320580.8817204302</v>
      </c>
      <c r="Z72" s="89">
        <f t="shared" si="116"/>
        <v>-1279958.432795699</v>
      </c>
      <c r="AA72" s="89">
        <f t="shared" si="116"/>
        <v>-1312179.935483871</v>
      </c>
      <c r="AB72" s="89">
        <f t="shared" si="116"/>
        <v>-46646004.085170314</v>
      </c>
      <c r="AC72" s="89">
        <f t="shared" si="116"/>
        <v>-19140850.015417695</v>
      </c>
      <c r="AD72" s="89">
        <f t="shared" si="116"/>
        <v>-6948996.4421593957</v>
      </c>
      <c r="AE72" s="89">
        <f t="shared" si="116"/>
        <v>-6052488.5071602631</v>
      </c>
      <c r="AF72" s="89">
        <f t="shared" si="116"/>
        <v>-6620690.4025314897</v>
      </c>
      <c r="AG72" s="89">
        <f t="shared" si="116"/>
        <v>4121475.60821913</v>
      </c>
      <c r="AH72" s="89">
        <f t="shared" si="116"/>
        <v>1206457.3922732789</v>
      </c>
      <c r="AI72" s="89">
        <f t="shared" si="116"/>
        <v>6780869.1172502451</v>
      </c>
      <c r="AJ72" s="89">
        <f t="shared" si="116"/>
        <v>5816044.8588316105</v>
      </c>
      <c r="AK72" s="89">
        <f t="shared" si="116"/>
        <v>12087764.845243741</v>
      </c>
      <c r="AL72" s="89">
        <f t="shared" si="116"/>
        <v>12700093.983975433</v>
      </c>
      <c r="AM72" s="89">
        <f t="shared" si="116"/>
        <v>12787301.860321283</v>
      </c>
      <c r="AN72" s="89">
        <f t="shared" si="116"/>
        <v>20157073.877298895</v>
      </c>
      <c r="AO72" s="89">
        <f t="shared" si="116"/>
        <v>20541427.992697377</v>
      </c>
      <c r="AP72" s="89">
        <f t="shared" si="116"/>
        <v>25853118.89372224</v>
      </c>
      <c r="AQ72" s="89">
        <f t="shared" si="116"/>
        <v>21970436.715427216</v>
      </c>
      <c r="AR72" s="89">
        <f t="shared" si="116"/>
        <v>15573766.753807735</v>
      </c>
      <c r="AS72" s="89">
        <f t="shared" si="116"/>
        <v>32757690.01270185</v>
      </c>
      <c r="AT72" s="89">
        <f t="shared" si="116"/>
        <v>21594678.953796007</v>
      </c>
      <c r="AU72" s="89">
        <f t="shared" si="116"/>
        <v>26964646.367942452</v>
      </c>
      <c r="AV72" s="89">
        <f t="shared" si="116"/>
        <v>21687773.901968107</v>
      </c>
      <c r="AW72" s="89">
        <f t="shared" si="116"/>
        <v>27058275.497478791</v>
      </c>
      <c r="AX72" s="89">
        <f t="shared" si="116"/>
        <v>24443046.228864171</v>
      </c>
      <c r="AY72" s="89">
        <f t="shared" si="116"/>
        <v>21827416.324226331</v>
      </c>
      <c r="AZ72" s="89">
        <f t="shared" ca="1" si="116"/>
        <v>27198719.191783365</v>
      </c>
      <c r="BA72" s="89">
        <f t="shared" ca="1" si="116"/>
        <v>21920511.27239849</v>
      </c>
      <c r="BB72" s="89">
        <f t="shared" ca="1" si="116"/>
        <v>27292348.321319751</v>
      </c>
      <c r="BC72" s="89">
        <f t="shared" ca="1" si="116"/>
        <v>23155878.151343785</v>
      </c>
      <c r="BD72" s="89">
        <f t="shared" ca="1" si="116"/>
        <v>16550523.599970069</v>
      </c>
      <c r="BE72" s="89">
        <f t="shared" ca="1" si="116"/>
        <v>34076966.135463051</v>
      </c>
      <c r="BF72" s="89">
        <f t="shared" ca="1" si="116"/>
        <v>22664344.990134109</v>
      </c>
      <c r="BG72" s="89">
        <f t="shared" ca="1" si="116"/>
        <v>28149682.080951281</v>
      </c>
      <c r="BH72" s="89">
        <f t="shared" ca="1" si="116"/>
        <v>22757343.555309452</v>
      </c>
      <c r="BI72" s="89">
        <f t="shared" ca="1" si="116"/>
        <v>309305206.33810461</v>
      </c>
      <c r="BJ72" s="89">
        <f t="shared" ref="BJ72" ca="1" si="117">SUM(BJ69:BJ71)</f>
        <v>323325840.80077535</v>
      </c>
      <c r="BK72" s="89">
        <f t="shared" ref="BK72" ca="1" si="118">SUM(BK69:BK71)</f>
        <v>337253106.16902596</v>
      </c>
      <c r="BL72" s="89">
        <f t="shared" ref="BL72" ca="1" si="119">SUM(BL69:BL71)</f>
        <v>351014225.52977234</v>
      </c>
      <c r="BM72" s="89">
        <f t="shared" ref="BM72" ca="1" si="120">SUM(BM69:BM71)</f>
        <v>365091672.55841595</v>
      </c>
      <c r="BN72" s="89">
        <f t="shared" ref="BN72" ca="1" si="121">SUM(BN69:BN71)</f>
        <v>343395327.90816635</v>
      </c>
      <c r="BO72" s="89">
        <f t="shared" ref="BO72" ca="1" si="122">SUM(BO69:BO71)</f>
        <v>326126731.32249385</v>
      </c>
    </row>
    <row r="73" spans="1:67">
      <c r="A73" s="11"/>
      <c r="B73" s="11" t="s">
        <v>537</v>
      </c>
      <c r="C73" s="11"/>
      <c r="D73" s="33"/>
      <c r="E73" s="33"/>
      <c r="F73" s="3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row>
    <row r="74" spans="1:67">
      <c r="A74" s="11"/>
      <c r="B74" s="11"/>
      <c r="C74" s="11" t="s">
        <v>11</v>
      </c>
      <c r="D74" s="33"/>
      <c r="E74" s="33"/>
      <c r="F74" s="33"/>
      <c r="G74" s="90">
        <f>-'03 CAPEX &amp; Depreciation'!G$117-'03 CAPEX &amp; Depreciation'!G$314</f>
        <v>-23407000</v>
      </c>
      <c r="H74" s="90">
        <f>-'03 CAPEX &amp; Depreciation'!H$117-'03 CAPEX &amp; Depreciation'!H$314</f>
        <v>-23407000</v>
      </c>
      <c r="I74" s="90">
        <f>-'03 CAPEX &amp; Depreciation'!I$117-'03 CAPEX &amp; Depreciation'!I$314</f>
        <v>-23407000</v>
      </c>
      <c r="J74" s="90">
        <f>-'03 CAPEX &amp; Depreciation'!J$117-'03 CAPEX &amp; Depreciation'!J$314</f>
        <v>-269537000</v>
      </c>
      <c r="K74" s="90">
        <f>-'03 CAPEX &amp; Depreciation'!K$117-'03 CAPEX &amp; Depreciation'!K$314</f>
        <v>-54713470.588235296</v>
      </c>
      <c r="L74" s="90">
        <f>-'03 CAPEX &amp; Depreciation'!L$117-'03 CAPEX &amp; Depreciation'!L$314</f>
        <v>-54713470.588235296</v>
      </c>
      <c r="M74" s="90">
        <f>-'03 CAPEX &amp; Depreciation'!M$117-'03 CAPEX &amp; Depreciation'!M$314</f>
        <v>-54723470.588235296</v>
      </c>
      <c r="N74" s="90">
        <f>-'03 CAPEX &amp; Depreciation'!N$117-'03 CAPEX &amp; Depreciation'!N$314</f>
        <v>-54723470.588235296</v>
      </c>
      <c r="O74" s="90">
        <f>-'03 CAPEX &amp; Depreciation'!O$117-'03 CAPEX &amp; Depreciation'!O$314</f>
        <v>-54723470.588235296</v>
      </c>
      <c r="P74" s="90">
        <f>-'03 CAPEX &amp; Depreciation'!P$117-'03 CAPEX &amp; Depreciation'!P$314</f>
        <v>-65490137.25490196</v>
      </c>
      <c r="Q74" s="90">
        <f>-'03 CAPEX &amp; Depreciation'!Q$117-'03 CAPEX &amp; Depreciation'!Q$314</f>
        <v>-86868491.421568632</v>
      </c>
      <c r="R74" s="90">
        <f>-'03 CAPEX &amp; Depreciation'!R$117-'03 CAPEX &amp; Depreciation'!R$314</f>
        <v>-66123504.655330881</v>
      </c>
      <c r="S74" s="90">
        <f>-'03 CAPEX &amp; Depreciation'!S$117-'03 CAPEX &amp; Depreciation'!S$314</f>
        <v>-67148340.305547267</v>
      </c>
      <c r="T74" s="90">
        <f>-'03 CAPEX &amp; Depreciation'!T$117-'03 CAPEX &amp; Depreciation'!T$314</f>
        <v>-67512060.482202306</v>
      </c>
      <c r="U74" s="90">
        <f>-'03 CAPEX &amp; Depreciation'!U$117-'03 CAPEX &amp; Depreciation'!U$314</f>
        <v>-67877750.809814245</v>
      </c>
      <c r="V74" s="90">
        <f>-'03 CAPEX &amp; Depreciation'!V$117-'03 CAPEX &amp; Depreciation'!V$314</f>
        <v>-68245421.960034072</v>
      </c>
      <c r="W74" s="90">
        <f>-'03 CAPEX &amp; Depreciation'!W$117-'03 CAPEX &amp; Depreciation'!W$314</f>
        <v>-68615084.662317589</v>
      </c>
      <c r="X74" s="90">
        <f>-'03 CAPEX &amp; Depreciation'!X$117-'03 CAPEX &amp; Depreciation'!X$314</f>
        <v>-68986749.704238474</v>
      </c>
      <c r="Y74" s="90">
        <f>-'03 CAPEX &amp; Depreciation'!Y$117-'03 CAPEX &amp; Depreciation'!Y$314</f>
        <v>-69360427.931803092</v>
      </c>
      <c r="Z74" s="90">
        <f>-'03 CAPEX &amp; Depreciation'!Z$117-'03 CAPEX &amp; Depreciation'!Z$314</f>
        <v>-69736130.249767035</v>
      </c>
      <c r="AA74" s="90">
        <f>-'03 CAPEX &amp; Depreciation'!AA$117-'03 CAPEX &amp; Depreciation'!AA$314</f>
        <v>-70380547.621298045</v>
      </c>
      <c r="AB74" s="90">
        <f>-'03 CAPEX &amp; Depreciation'!AB$117-'03 CAPEX &amp; Depreciation'!AB$314</f>
        <v>-1812500</v>
      </c>
      <c r="AC74" s="90">
        <f>-'03 CAPEX &amp; Depreciation'!AC$117-'03 CAPEX &amp; Depreciation'!AC$314</f>
        <v>-1812500</v>
      </c>
      <c r="AD74" s="90">
        <f>-'03 CAPEX &amp; Depreciation'!AD$117-'03 CAPEX &amp; Depreciation'!AD$314</f>
        <v>-1812500</v>
      </c>
      <c r="AE74" s="90">
        <f>-'03 CAPEX &amp; Depreciation'!AE$117-'03 CAPEX &amp; Depreciation'!AE$314</f>
        <v>-1812500</v>
      </c>
      <c r="AF74" s="90">
        <f>-'03 CAPEX &amp; Depreciation'!AF$117-'03 CAPEX &amp; Depreciation'!AF$314</f>
        <v>-1812500</v>
      </c>
      <c r="AG74" s="90">
        <f>-'03 CAPEX &amp; Depreciation'!AG$117-'03 CAPEX &amp; Depreciation'!AG$314</f>
        <v>-1812500</v>
      </c>
      <c r="AH74" s="90">
        <f>-'03 CAPEX &amp; Depreciation'!AH$117-'03 CAPEX &amp; Depreciation'!AH$314</f>
        <v>-1812500</v>
      </c>
      <c r="AI74" s="90">
        <f>-'03 CAPEX &amp; Depreciation'!AI$117-'03 CAPEX &amp; Depreciation'!AI$314</f>
        <v>-1812500</v>
      </c>
      <c r="AJ74" s="90">
        <f>-'03 CAPEX &amp; Depreciation'!AJ$117-'03 CAPEX &amp; Depreciation'!AJ$314</f>
        <v>-1812500</v>
      </c>
      <c r="AK74" s="90">
        <f>-'03 CAPEX &amp; Depreciation'!AK$117-'03 CAPEX &amp; Depreciation'!AK$314</f>
        <v>-1812500</v>
      </c>
      <c r="AL74" s="90">
        <f>-'03 CAPEX &amp; Depreciation'!AL$117-'03 CAPEX &amp; Depreciation'!AL$314</f>
        <v>-1812500</v>
      </c>
      <c r="AM74" s="90">
        <f>-'03 CAPEX &amp; Depreciation'!AM$117-'03 CAPEX &amp; Depreciation'!AM$314</f>
        <v>-1812500</v>
      </c>
      <c r="AN74" s="90">
        <f>-'03 CAPEX &amp; Depreciation'!AN$117-'03 CAPEX &amp; Depreciation'!AN$314</f>
        <v>-1812500</v>
      </c>
      <c r="AO74" s="90">
        <f>-'03 CAPEX &amp; Depreciation'!AO$117-'03 CAPEX &amp; Depreciation'!AO$314</f>
        <v>-1812500</v>
      </c>
      <c r="AP74" s="90">
        <f>-'03 CAPEX &amp; Depreciation'!AP$117-'03 CAPEX &amp; Depreciation'!AP$314</f>
        <v>-1812500</v>
      </c>
      <c r="AQ74" s="90">
        <f>-'03 CAPEX &amp; Depreciation'!AQ$117-'03 CAPEX &amp; Depreciation'!AQ$314</f>
        <v>-1812500</v>
      </c>
      <c r="AR74" s="90">
        <f>-'03 CAPEX &amp; Depreciation'!AR$117-'03 CAPEX &amp; Depreciation'!AR$314</f>
        <v>-1812500</v>
      </c>
      <c r="AS74" s="90">
        <f>-'03 CAPEX &amp; Depreciation'!AS$117-'03 CAPEX &amp; Depreciation'!AS$314</f>
        <v>-1812500</v>
      </c>
      <c r="AT74" s="90">
        <f>-'03 CAPEX &amp; Depreciation'!AT$117-'03 CAPEX &amp; Depreciation'!AT$314</f>
        <v>-1812500</v>
      </c>
      <c r="AU74" s="90">
        <f>-'03 CAPEX &amp; Depreciation'!AU$117-'03 CAPEX &amp; Depreciation'!AU$314</f>
        <v>-1812500</v>
      </c>
      <c r="AV74" s="90">
        <f>-'03 CAPEX &amp; Depreciation'!AV$117-'03 CAPEX &amp; Depreciation'!AV$314</f>
        <v>-1812500</v>
      </c>
      <c r="AW74" s="90">
        <f>-'03 CAPEX &amp; Depreciation'!AW$117-'03 CAPEX &amp; Depreciation'!AW$314</f>
        <v>-1812500</v>
      </c>
      <c r="AX74" s="90">
        <f>-'03 CAPEX &amp; Depreciation'!AX$117-'03 CAPEX &amp; Depreciation'!AX$314</f>
        <v>-1812500</v>
      </c>
      <c r="AY74" s="90">
        <f>-'03 CAPEX &amp; Depreciation'!AY$117-'03 CAPEX &amp; Depreciation'!AY$314</f>
        <v>-1812500</v>
      </c>
      <c r="AZ74" s="90">
        <f>-'03 CAPEX &amp; Depreciation'!AZ$117-'03 CAPEX &amp; Depreciation'!AZ$314</f>
        <v>-1812500</v>
      </c>
      <c r="BA74" s="90">
        <f>-'03 CAPEX &amp; Depreciation'!BA$117-'03 CAPEX &amp; Depreciation'!BA$314</f>
        <v>-1812500</v>
      </c>
      <c r="BB74" s="90">
        <f>-'03 CAPEX &amp; Depreciation'!BB$117-'03 CAPEX &amp; Depreciation'!BB$314</f>
        <v>-1812500</v>
      </c>
      <c r="BC74" s="90">
        <f>-'03 CAPEX &amp; Depreciation'!BC$117-'03 CAPEX &amp; Depreciation'!BC$314</f>
        <v>-1812500</v>
      </c>
      <c r="BD74" s="90">
        <f>-'03 CAPEX &amp; Depreciation'!BD$117-'03 CAPEX &amp; Depreciation'!BD$314</f>
        <v>-1812500</v>
      </c>
      <c r="BE74" s="90">
        <f>-'03 CAPEX &amp; Depreciation'!BE$117-'03 CAPEX &amp; Depreciation'!BE$314</f>
        <v>-1812500</v>
      </c>
      <c r="BF74" s="90">
        <f>-'03 CAPEX &amp; Depreciation'!BF$117-'03 CAPEX &amp; Depreciation'!BF$314</f>
        <v>-1812500</v>
      </c>
      <c r="BG74" s="90">
        <f>-'03 CAPEX &amp; Depreciation'!BG$117-'03 CAPEX &amp; Depreciation'!BG$314</f>
        <v>-1812500</v>
      </c>
      <c r="BH74" s="90">
        <f>-'03 CAPEX &amp; Depreciation'!BH$117-'03 CAPEX &amp; Depreciation'!BH$314</f>
        <v>-1812500</v>
      </c>
      <c r="BI74" s="90">
        <f>-'03 CAPEX &amp; Depreciation'!BI$117-'03 CAPEX &amp; Depreciation'!BI$314</f>
        <v>-21750000</v>
      </c>
      <c r="BJ74" s="90">
        <f>-'03 CAPEX &amp; Depreciation'!BJ$117-'03 CAPEX &amp; Depreciation'!BJ$314</f>
        <v>-21750000</v>
      </c>
      <c r="BK74" s="90">
        <f>-'03 CAPEX &amp; Depreciation'!BK$117-'03 CAPEX &amp; Depreciation'!BK$314</f>
        <v>-21750000</v>
      </c>
      <c r="BL74" s="90">
        <f>-'03 CAPEX &amp; Depreciation'!BL$117-'03 CAPEX &amp; Depreciation'!BL$314</f>
        <v>-21750000</v>
      </c>
      <c r="BM74" s="90">
        <f>-'03 CAPEX &amp; Depreciation'!BM$117-'03 CAPEX &amp; Depreciation'!BM$314</f>
        <v>-21750000</v>
      </c>
      <c r="BN74" s="90">
        <f>-'03 CAPEX &amp; Depreciation'!BN$117-'03 CAPEX &amp; Depreciation'!BN$314</f>
        <v>-21750000</v>
      </c>
      <c r="BO74" s="90">
        <f>-'03 CAPEX &amp; Depreciation'!BO$117-'03 CAPEX &amp; Depreciation'!BO$314</f>
        <v>-21750000</v>
      </c>
    </row>
    <row r="75" spans="1:67">
      <c r="A75" s="11"/>
      <c r="B75" s="22" t="s">
        <v>538</v>
      </c>
      <c r="C75" s="22"/>
      <c r="D75" s="33"/>
      <c r="E75" s="33"/>
      <c r="F75" s="33"/>
      <c r="G75" s="89">
        <f>G74</f>
        <v>-23407000</v>
      </c>
      <c r="H75" s="89">
        <f t="shared" ref="H75:BI75" si="123">H74</f>
        <v>-23407000</v>
      </c>
      <c r="I75" s="89">
        <f t="shared" si="123"/>
        <v>-23407000</v>
      </c>
      <c r="J75" s="89">
        <f t="shared" si="123"/>
        <v>-269537000</v>
      </c>
      <c r="K75" s="89">
        <f t="shared" si="123"/>
        <v>-54713470.588235296</v>
      </c>
      <c r="L75" s="89">
        <f t="shared" si="123"/>
        <v>-54713470.588235296</v>
      </c>
      <c r="M75" s="89">
        <f t="shared" si="123"/>
        <v>-54723470.588235296</v>
      </c>
      <c r="N75" s="89">
        <f t="shared" si="123"/>
        <v>-54723470.588235296</v>
      </c>
      <c r="O75" s="89">
        <f t="shared" si="123"/>
        <v>-54723470.588235296</v>
      </c>
      <c r="P75" s="89">
        <f t="shared" si="123"/>
        <v>-65490137.25490196</v>
      </c>
      <c r="Q75" s="89">
        <f t="shared" si="123"/>
        <v>-86868491.421568632</v>
      </c>
      <c r="R75" s="89">
        <f t="shared" si="123"/>
        <v>-66123504.655330881</v>
      </c>
      <c r="S75" s="89">
        <f t="shared" si="123"/>
        <v>-67148340.305547267</v>
      </c>
      <c r="T75" s="89">
        <f t="shared" si="123"/>
        <v>-67512060.482202306</v>
      </c>
      <c r="U75" s="89">
        <f t="shared" si="123"/>
        <v>-67877750.809814245</v>
      </c>
      <c r="V75" s="89">
        <f t="shared" si="123"/>
        <v>-68245421.960034072</v>
      </c>
      <c r="W75" s="89">
        <f t="shared" si="123"/>
        <v>-68615084.662317589</v>
      </c>
      <c r="X75" s="89">
        <f t="shared" si="123"/>
        <v>-68986749.704238474</v>
      </c>
      <c r="Y75" s="89">
        <f t="shared" si="123"/>
        <v>-69360427.931803092</v>
      </c>
      <c r="Z75" s="89">
        <f t="shared" si="123"/>
        <v>-69736130.249767035</v>
      </c>
      <c r="AA75" s="89">
        <f t="shared" si="123"/>
        <v>-70380547.621298045</v>
      </c>
      <c r="AB75" s="89">
        <f t="shared" si="123"/>
        <v>-1812500</v>
      </c>
      <c r="AC75" s="89">
        <f t="shared" si="123"/>
        <v>-1812500</v>
      </c>
      <c r="AD75" s="89">
        <f t="shared" si="123"/>
        <v>-1812500</v>
      </c>
      <c r="AE75" s="89">
        <f t="shared" si="123"/>
        <v>-1812500</v>
      </c>
      <c r="AF75" s="89">
        <f t="shared" si="123"/>
        <v>-1812500</v>
      </c>
      <c r="AG75" s="89">
        <f t="shared" si="123"/>
        <v>-1812500</v>
      </c>
      <c r="AH75" s="89">
        <f t="shared" si="123"/>
        <v>-1812500</v>
      </c>
      <c r="AI75" s="89">
        <f t="shared" si="123"/>
        <v>-1812500</v>
      </c>
      <c r="AJ75" s="89">
        <f t="shared" si="123"/>
        <v>-1812500</v>
      </c>
      <c r="AK75" s="89">
        <f t="shared" si="123"/>
        <v>-1812500</v>
      </c>
      <c r="AL75" s="89">
        <f t="shared" si="123"/>
        <v>-1812500</v>
      </c>
      <c r="AM75" s="89">
        <f t="shared" si="123"/>
        <v>-1812500</v>
      </c>
      <c r="AN75" s="89">
        <f t="shared" si="123"/>
        <v>-1812500</v>
      </c>
      <c r="AO75" s="89">
        <f t="shared" si="123"/>
        <v>-1812500</v>
      </c>
      <c r="AP75" s="89">
        <f t="shared" si="123"/>
        <v>-1812500</v>
      </c>
      <c r="AQ75" s="89">
        <f t="shared" si="123"/>
        <v>-1812500</v>
      </c>
      <c r="AR75" s="89">
        <f t="shared" si="123"/>
        <v>-1812500</v>
      </c>
      <c r="AS75" s="89">
        <f t="shared" si="123"/>
        <v>-1812500</v>
      </c>
      <c r="AT75" s="89">
        <f t="shared" si="123"/>
        <v>-1812500</v>
      </c>
      <c r="AU75" s="89">
        <f t="shared" si="123"/>
        <v>-1812500</v>
      </c>
      <c r="AV75" s="89">
        <f t="shared" si="123"/>
        <v>-1812500</v>
      </c>
      <c r="AW75" s="89">
        <f t="shared" si="123"/>
        <v>-1812500</v>
      </c>
      <c r="AX75" s="89">
        <f t="shared" si="123"/>
        <v>-1812500</v>
      </c>
      <c r="AY75" s="89">
        <f t="shared" si="123"/>
        <v>-1812500</v>
      </c>
      <c r="AZ75" s="89">
        <f t="shared" si="123"/>
        <v>-1812500</v>
      </c>
      <c r="BA75" s="89">
        <f t="shared" si="123"/>
        <v>-1812500</v>
      </c>
      <c r="BB75" s="89">
        <f t="shared" si="123"/>
        <v>-1812500</v>
      </c>
      <c r="BC75" s="89">
        <f t="shared" si="123"/>
        <v>-1812500</v>
      </c>
      <c r="BD75" s="89">
        <f t="shared" si="123"/>
        <v>-1812500</v>
      </c>
      <c r="BE75" s="89">
        <f t="shared" si="123"/>
        <v>-1812500</v>
      </c>
      <c r="BF75" s="89">
        <f t="shared" si="123"/>
        <v>-1812500</v>
      </c>
      <c r="BG75" s="89">
        <f t="shared" si="123"/>
        <v>-1812500</v>
      </c>
      <c r="BH75" s="89">
        <f t="shared" si="123"/>
        <v>-1812500</v>
      </c>
      <c r="BI75" s="89">
        <f t="shared" si="123"/>
        <v>-21750000</v>
      </c>
      <c r="BJ75" s="89">
        <f t="shared" ref="BJ75" si="124">BJ74</f>
        <v>-21750000</v>
      </c>
      <c r="BK75" s="89">
        <f t="shared" ref="BK75" si="125">BK74</f>
        <v>-21750000</v>
      </c>
      <c r="BL75" s="89">
        <f t="shared" ref="BL75" si="126">BL74</f>
        <v>-21750000</v>
      </c>
      <c r="BM75" s="89">
        <f t="shared" ref="BM75" si="127">BM74</f>
        <v>-21750000</v>
      </c>
      <c r="BN75" s="89">
        <f t="shared" ref="BN75" si="128">BN74</f>
        <v>-21750000</v>
      </c>
      <c r="BO75" s="89">
        <f t="shared" ref="BO75" si="129">BO74</f>
        <v>-21750000</v>
      </c>
    </row>
    <row r="76" spans="1:67">
      <c r="A76" s="11"/>
      <c r="B76" s="11" t="s">
        <v>539</v>
      </c>
      <c r="C76" s="11"/>
      <c r="D76" s="33"/>
      <c r="E76" s="33"/>
      <c r="F76" s="3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row>
    <row r="77" spans="1:67">
      <c r="A77" s="11"/>
      <c r="B77" s="11"/>
      <c r="C77" s="11" t="s">
        <v>449</v>
      </c>
      <c r="D77" s="33"/>
      <c r="E77" s="33"/>
      <c r="F77" s="33"/>
      <c r="G77" s="90">
        <f>'06 Debt &amp; WC'!G$11</f>
        <v>0</v>
      </c>
      <c r="H77" s="90">
        <f>'06 Debt &amp; WC'!H$11</f>
        <v>0</v>
      </c>
      <c r="I77" s="90">
        <f>'06 Debt &amp; WC'!I$11</f>
        <v>0</v>
      </c>
      <c r="J77" s="90">
        <f>'06 Debt &amp; WC'!J$11</f>
        <v>0</v>
      </c>
      <c r="K77" s="90">
        <f>'06 Debt &amp; WC'!K$11</f>
        <v>0</v>
      </c>
      <c r="L77" s="90">
        <f>'06 Debt &amp; WC'!L$11</f>
        <v>0</v>
      </c>
      <c r="M77" s="90">
        <f>'06 Debt &amp; WC'!M$11</f>
        <v>0</v>
      </c>
      <c r="N77" s="90">
        <f>'06 Debt &amp; WC'!N$11</f>
        <v>0</v>
      </c>
      <c r="O77" s="90">
        <f>'06 Debt &amp; WC'!O$11</f>
        <v>0</v>
      </c>
      <c r="P77" s="90">
        <f>'06 Debt &amp; WC'!P$11</f>
        <v>0</v>
      </c>
      <c r="Q77" s="90">
        <f>'06 Debt &amp; WC'!Q$11</f>
        <v>62863981.617646933</v>
      </c>
      <c r="R77" s="90">
        <f>'06 Debt &amp; WC'!R$11</f>
        <v>66123504.655330881</v>
      </c>
      <c r="S77" s="90">
        <f>'06 Debt &amp; WC'!S$11</f>
        <v>67148340.305547267</v>
      </c>
      <c r="T77" s="90">
        <f>'06 Debt &amp; WC'!T$11</f>
        <v>67512060.482202306</v>
      </c>
      <c r="U77" s="90">
        <f>'06 Debt &amp; WC'!U$11</f>
        <v>67877750.809814245</v>
      </c>
      <c r="V77" s="90">
        <f>'06 Debt &amp; WC'!V$11</f>
        <v>68245421.960034072</v>
      </c>
      <c r="W77" s="90">
        <f>'06 Debt &amp; WC'!W$11</f>
        <v>68615084.662317589</v>
      </c>
      <c r="X77" s="90">
        <f>'06 Debt &amp; WC'!X$11</f>
        <v>68986749.704238474</v>
      </c>
      <c r="Y77" s="90">
        <f>'06 Debt &amp; WC'!Y$11</f>
        <v>69360427.931803092</v>
      </c>
      <c r="Z77" s="90">
        <f>'06 Debt &amp; WC'!Z$11</f>
        <v>69736130.249767035</v>
      </c>
      <c r="AA77" s="90">
        <f>'06 Debt &amp; WC'!AA$11</f>
        <v>70576867.621953264</v>
      </c>
      <c r="AB77" s="90">
        <f>'06 Debt &amp; WC'!AB$11</f>
        <v>0</v>
      </c>
      <c r="AC77" s="90">
        <f>'06 Debt &amp; WC'!AC$11</f>
        <v>0</v>
      </c>
      <c r="AD77" s="90">
        <f>'06 Debt &amp; WC'!AD$11</f>
        <v>0</v>
      </c>
      <c r="AE77" s="90">
        <f>'06 Debt &amp; WC'!AE$11</f>
        <v>0</v>
      </c>
      <c r="AF77" s="90">
        <f>'06 Debt &amp; WC'!AF$11</f>
        <v>0</v>
      </c>
      <c r="AG77" s="90">
        <f>'06 Debt &amp; WC'!AG$11</f>
        <v>0</v>
      </c>
      <c r="AH77" s="90">
        <f>'06 Debt &amp; WC'!AH$11</f>
        <v>0</v>
      </c>
      <c r="AI77" s="90">
        <f>'06 Debt &amp; WC'!AI$11</f>
        <v>0</v>
      </c>
      <c r="AJ77" s="90">
        <f>'06 Debt &amp; WC'!AJ$11</f>
        <v>0</v>
      </c>
      <c r="AK77" s="90">
        <f>'06 Debt &amp; WC'!AK$11</f>
        <v>0</v>
      </c>
      <c r="AL77" s="90">
        <f>'06 Debt &amp; WC'!AL$11</f>
        <v>0</v>
      </c>
      <c r="AM77" s="90">
        <f>'06 Debt &amp; WC'!AM$11</f>
        <v>0</v>
      </c>
      <c r="AN77" s="90">
        <f>'06 Debt &amp; WC'!AN$11</f>
        <v>0</v>
      </c>
      <c r="AO77" s="90">
        <f>'06 Debt &amp; WC'!AO$11</f>
        <v>0</v>
      </c>
      <c r="AP77" s="90">
        <f>'06 Debt &amp; WC'!AP$11</f>
        <v>0</v>
      </c>
      <c r="AQ77" s="90">
        <f>'06 Debt &amp; WC'!AQ$11</f>
        <v>0</v>
      </c>
      <c r="AR77" s="90">
        <f>'06 Debt &amp; WC'!AR$11</f>
        <v>0</v>
      </c>
      <c r="AS77" s="90">
        <f>'06 Debt &amp; WC'!AS$11</f>
        <v>0</v>
      </c>
      <c r="AT77" s="90">
        <f>'06 Debt &amp; WC'!AT$11</f>
        <v>0</v>
      </c>
      <c r="AU77" s="90">
        <f>'06 Debt &amp; WC'!AU$11</f>
        <v>0</v>
      </c>
      <c r="AV77" s="90">
        <f>'06 Debt &amp; WC'!AV$11</f>
        <v>0</v>
      </c>
      <c r="AW77" s="90">
        <f>'06 Debt &amp; WC'!AW$11</f>
        <v>0</v>
      </c>
      <c r="AX77" s="90">
        <f>'06 Debt &amp; WC'!AX$11</f>
        <v>0</v>
      </c>
      <c r="AY77" s="90">
        <f>'06 Debt &amp; WC'!AY$11</f>
        <v>0</v>
      </c>
      <c r="AZ77" s="90">
        <f>'06 Debt &amp; WC'!AZ$11</f>
        <v>0</v>
      </c>
      <c r="BA77" s="90">
        <f>'06 Debt &amp; WC'!BA$11</f>
        <v>0</v>
      </c>
      <c r="BB77" s="90">
        <f>'06 Debt &amp; WC'!BB$11</f>
        <v>0</v>
      </c>
      <c r="BC77" s="90">
        <f>'06 Debt &amp; WC'!BC$11</f>
        <v>0</v>
      </c>
      <c r="BD77" s="90">
        <f>'06 Debt &amp; WC'!BD$11</f>
        <v>0</v>
      </c>
      <c r="BE77" s="90">
        <f>'06 Debt &amp; WC'!BE$11</f>
        <v>0</v>
      </c>
      <c r="BF77" s="90">
        <f>'06 Debt &amp; WC'!BF$11</f>
        <v>0</v>
      </c>
      <c r="BG77" s="90">
        <f>'06 Debt &amp; WC'!BG$11</f>
        <v>0</v>
      </c>
      <c r="BH77" s="90">
        <f>'06 Debt &amp; WC'!BH$11</f>
        <v>0</v>
      </c>
      <c r="BI77" s="90">
        <f>'06 Debt &amp; WC'!BI$11</f>
        <v>0</v>
      </c>
      <c r="BJ77" s="90">
        <f>'06 Debt &amp; WC'!BJ$11</f>
        <v>0</v>
      </c>
      <c r="BK77" s="90">
        <f>'06 Debt &amp; WC'!BK$11</f>
        <v>0</v>
      </c>
      <c r="BL77" s="90">
        <f>'06 Debt &amp; WC'!BL$11</f>
        <v>0</v>
      </c>
      <c r="BM77" s="90">
        <f>'06 Debt &amp; WC'!BM$11</f>
        <v>0</v>
      </c>
      <c r="BN77" s="90">
        <f>'06 Debt &amp; WC'!BN$11</f>
        <v>0</v>
      </c>
      <c r="BO77" s="90">
        <f>'06 Debt &amp; WC'!BO$11</f>
        <v>0</v>
      </c>
    </row>
    <row r="78" spans="1:67">
      <c r="A78" s="11"/>
      <c r="B78" s="11"/>
      <c r="C78" s="11" t="s">
        <v>540</v>
      </c>
      <c r="D78" s="33"/>
      <c r="E78" s="33"/>
      <c r="F78" s="33"/>
      <c r="G78" s="90">
        <f>-'06 Debt &amp; WC'!G$29</f>
        <v>0</v>
      </c>
      <c r="H78" s="90">
        <f>-'06 Debt &amp; WC'!H$29</f>
        <v>0</v>
      </c>
      <c r="I78" s="90">
        <f>-'06 Debt &amp; WC'!I$29</f>
        <v>0</v>
      </c>
      <c r="J78" s="90">
        <f>-'06 Debt &amp; WC'!J$29</f>
        <v>0</v>
      </c>
      <c r="K78" s="90">
        <f>-'06 Debt &amp; WC'!K$29</f>
        <v>0</v>
      </c>
      <c r="L78" s="90">
        <f>-'06 Debt &amp; WC'!L$29</f>
        <v>0</v>
      </c>
      <c r="M78" s="90">
        <f>-'06 Debt &amp; WC'!M$29</f>
        <v>0</v>
      </c>
      <c r="N78" s="90">
        <f>-'06 Debt &amp; WC'!N$29</f>
        <v>0</v>
      </c>
      <c r="O78" s="90">
        <f>-'06 Debt &amp; WC'!O$29</f>
        <v>0</v>
      </c>
      <c r="P78" s="90">
        <f>-'06 Debt &amp; WC'!P$29</f>
        <v>0</v>
      </c>
      <c r="Q78" s="90">
        <f>-'06 Debt &amp; WC'!Q$29</f>
        <v>0</v>
      </c>
      <c r="R78" s="90">
        <f>-'06 Debt &amp; WC'!R$29</f>
        <v>0</v>
      </c>
      <c r="S78" s="90">
        <f>-'06 Debt &amp; WC'!S$29</f>
        <v>0</v>
      </c>
      <c r="T78" s="90">
        <f>-'06 Debt &amp; WC'!T$29</f>
        <v>0</v>
      </c>
      <c r="U78" s="90">
        <f>-'06 Debt &amp; WC'!U$29</f>
        <v>0</v>
      </c>
      <c r="V78" s="90">
        <f>-'06 Debt &amp; WC'!V$29</f>
        <v>0</v>
      </c>
      <c r="W78" s="90">
        <f>-'06 Debt &amp; WC'!W$29</f>
        <v>0</v>
      </c>
      <c r="X78" s="90">
        <f>-'06 Debt &amp; WC'!X$29</f>
        <v>0</v>
      </c>
      <c r="Y78" s="90">
        <f>-'06 Debt &amp; WC'!Y$29</f>
        <v>0</v>
      </c>
      <c r="Z78" s="90">
        <f>-'06 Debt &amp; WC'!Z$29</f>
        <v>0</v>
      </c>
      <c r="AA78" s="90">
        <f>-'06 Debt &amp; WC'!AA$29</f>
        <v>0</v>
      </c>
      <c r="AB78" s="90">
        <f>-'06 Debt &amp; WC'!AB$29</f>
        <v>0</v>
      </c>
      <c r="AC78" s="90">
        <f>-'06 Debt &amp; WC'!AC$29</f>
        <v>0</v>
      </c>
      <c r="AD78" s="90">
        <f>-'06 Debt &amp; WC'!AD$29</f>
        <v>0</v>
      </c>
      <c r="AE78" s="90">
        <f>-'06 Debt &amp; WC'!AE$29</f>
        <v>0</v>
      </c>
      <c r="AF78" s="90">
        <f>-'06 Debt &amp; WC'!AF$29</f>
        <v>0</v>
      </c>
      <c r="AG78" s="90">
        <f>-'06 Debt &amp; WC'!AG$29</f>
        <v>0</v>
      </c>
      <c r="AH78" s="90">
        <f>-'06 Debt &amp; WC'!AH$29</f>
        <v>0</v>
      </c>
      <c r="AI78" s="90">
        <f>-'06 Debt &amp; WC'!AI$29</f>
        <v>0</v>
      </c>
      <c r="AJ78" s="90">
        <f>-'06 Debt &amp; WC'!AJ$29</f>
        <v>0</v>
      </c>
      <c r="AK78" s="90">
        <f>-'06 Debt &amp; WC'!AK$29</f>
        <v>0</v>
      </c>
      <c r="AL78" s="90">
        <f>-'06 Debt &amp; WC'!AL$29</f>
        <v>0</v>
      </c>
      <c r="AM78" s="90">
        <f>-'06 Debt &amp; WC'!AM$29</f>
        <v>0</v>
      </c>
      <c r="AN78" s="90">
        <f>-'06 Debt &amp; WC'!AN$29</f>
        <v>-8893408.5714363717</v>
      </c>
      <c r="AO78" s="90">
        <f>-'06 Debt &amp; WC'!AO$29</f>
        <v>-8893408.5714363717</v>
      </c>
      <c r="AP78" s="90">
        <f>-'06 Debt &amp; WC'!AP$29</f>
        <v>-8893408.5714363717</v>
      </c>
      <c r="AQ78" s="90">
        <f>-'06 Debt &amp; WC'!AQ$29</f>
        <v>-8893408.5714363717</v>
      </c>
      <c r="AR78" s="90">
        <f>-'06 Debt &amp; WC'!AR$29</f>
        <v>-8893408.5714363717</v>
      </c>
      <c r="AS78" s="90">
        <f>-'06 Debt &amp; WC'!AS$29</f>
        <v>-8893408.5714363717</v>
      </c>
      <c r="AT78" s="90">
        <f>-'06 Debt &amp; WC'!AT$29</f>
        <v>-8893408.5714363717</v>
      </c>
      <c r="AU78" s="90">
        <f>-'06 Debt &amp; WC'!AU$29</f>
        <v>-8893408.5714363717</v>
      </c>
      <c r="AV78" s="90">
        <f>-'06 Debt &amp; WC'!AV$29</f>
        <v>-8893408.5714363717</v>
      </c>
      <c r="AW78" s="90">
        <f>-'06 Debt &amp; WC'!AW$29</f>
        <v>-8893408.5714363717</v>
      </c>
      <c r="AX78" s="90">
        <f>-'06 Debt &amp; WC'!AX$29</f>
        <v>-8893408.5714363717</v>
      </c>
      <c r="AY78" s="90">
        <f>-'06 Debt &amp; WC'!AY$29</f>
        <v>-8893408.5714363717</v>
      </c>
      <c r="AZ78" s="90">
        <f>-'06 Debt &amp; WC'!AZ$29</f>
        <v>-8893408.5714363717</v>
      </c>
      <c r="BA78" s="90">
        <f>-'06 Debt &amp; WC'!BA$29</f>
        <v>-8893408.5714363717</v>
      </c>
      <c r="BB78" s="90">
        <f>-'06 Debt &amp; WC'!BB$29</f>
        <v>-8893408.5714363717</v>
      </c>
      <c r="BC78" s="90">
        <f>-'06 Debt &amp; WC'!BC$29</f>
        <v>-8893408.5714363717</v>
      </c>
      <c r="BD78" s="90">
        <f>-'06 Debt &amp; WC'!BD$29</f>
        <v>-8893408.5714363717</v>
      </c>
      <c r="BE78" s="90">
        <f>-'06 Debt &amp; WC'!BE$29</f>
        <v>-8893408.5714363717</v>
      </c>
      <c r="BF78" s="90">
        <f>-'06 Debt &amp; WC'!BF$29</f>
        <v>-8893408.5714363717</v>
      </c>
      <c r="BG78" s="90">
        <f>-'06 Debt &amp; WC'!BG$29</f>
        <v>-8893408.5714363717</v>
      </c>
      <c r="BH78" s="90">
        <f>-'06 Debt &amp; WC'!BH$29</f>
        <v>-8893408.5714363717</v>
      </c>
      <c r="BI78" s="90">
        <f>-'06 Debt &amp; WC'!BI$29</f>
        <v>-106720902.85723646</v>
      </c>
      <c r="BJ78" s="90">
        <f>-'06 Debt &amp; WC'!BJ$29</f>
        <v>-106720902.85723646</v>
      </c>
      <c r="BK78" s="90">
        <f>-'06 Debt &amp; WC'!BK$29</f>
        <v>-106720902.85723646</v>
      </c>
      <c r="BL78" s="90">
        <f>-'06 Debt &amp; WC'!BL$29</f>
        <v>-106720902.85723646</v>
      </c>
      <c r="BM78" s="90">
        <f>-'06 Debt &amp; WC'!BM$29</f>
        <v>-106720902.85723646</v>
      </c>
      <c r="BN78" s="90">
        <f>-'06 Debt &amp; WC'!BN$29</f>
        <v>0</v>
      </c>
      <c r="BO78" s="90">
        <f>-'06 Debt &amp; WC'!BO$29</f>
        <v>0</v>
      </c>
    </row>
    <row r="79" spans="1:67">
      <c r="A79" s="11"/>
      <c r="B79" s="11"/>
      <c r="C79" s="11" t="s">
        <v>450</v>
      </c>
      <c r="D79" s="33"/>
      <c r="E79" s="33"/>
      <c r="F79" s="33"/>
      <c r="G79" s="90">
        <f>'06 Debt &amp; WC'!G$12</f>
        <v>23922220.516129032</v>
      </c>
      <c r="H79" s="90">
        <f>'06 Debt &amp; WC'!H$12</f>
        <v>23726556.912442397</v>
      </c>
      <c r="I79" s="90">
        <f>'06 Debt &amp; WC'!I$12</f>
        <v>23797043.087557603</v>
      </c>
      <c r="J79" s="90">
        <f>'06 Debt &amp; WC'!J$12</f>
        <v>269880835.48387098</v>
      </c>
      <c r="K79" s="90">
        <f>'06 Debt &amp; WC'!K$12</f>
        <v>55079235.104364328</v>
      </c>
      <c r="L79" s="90">
        <f>'06 Debt &amp; WC'!L$12</f>
        <v>55057306.072106265</v>
      </c>
      <c r="M79" s="90">
        <f>'06 Debt &amp; WC'!M$12</f>
        <v>55089235.104364328</v>
      </c>
      <c r="N79" s="90">
        <f>'06 Debt &amp; WC'!N$12</f>
        <v>55078270.588235296</v>
      </c>
      <c r="O79" s="90">
        <f>'06 Debt &amp; WC'!O$12</f>
        <v>55067306.072106265</v>
      </c>
      <c r="P79" s="90">
        <f>'06 Debt &amp; WC'!P$12</f>
        <v>65856113.464579381</v>
      </c>
      <c r="Q79" s="90">
        <f>'06 Debt &amp; WC'!Q$12</f>
        <v>24439071.094244286</v>
      </c>
      <c r="R79" s="90">
        <f>'06 Debt &amp; WC'!R$12</f>
        <v>463116.39784946293</v>
      </c>
      <c r="S79" s="90">
        <f>'06 Debt &amp; WC'!S$12</f>
        <v>704438.82967741787</v>
      </c>
      <c r="T79" s="90">
        <f>'06 Debt &amp; WC'!T$12</f>
        <v>524517.73155358434</v>
      </c>
      <c r="U79" s="90">
        <f>'06 Debt &amp; WC'!U$12</f>
        <v>1262624.8060808331</v>
      </c>
      <c r="V79" s="90">
        <f>'06 Debt &amp; WC'!V$12</f>
        <v>1143688.604838714</v>
      </c>
      <c r="W79" s="90">
        <f>'06 Debt &amp; WC'!W$12</f>
        <v>1331333.5698924661</v>
      </c>
      <c r="X79" s="90">
        <f>'06 Debt &amp; WC'!X$12</f>
        <v>1249387.5967741907</v>
      </c>
      <c r="Y79" s="90">
        <f>'06 Debt &amp; WC'!Y$12</f>
        <v>1320580.8817204237</v>
      </c>
      <c r="Z79" s="90">
        <f>'06 Debt &amp; WC'!Z$12</f>
        <v>1279958.4327957034</v>
      </c>
      <c r="AA79" s="90">
        <f>'06 Debt &amp; WC'!AA$12</f>
        <v>1115859.9348286539</v>
      </c>
      <c r="AB79" s="90">
        <f>'06 Debt &amp; WC'!AB$12</f>
        <v>0</v>
      </c>
      <c r="AC79" s="90">
        <f>'06 Debt &amp; WC'!AC$12</f>
        <v>0</v>
      </c>
      <c r="AD79" s="90">
        <f>'06 Debt &amp; WC'!AD$12</f>
        <v>0</v>
      </c>
      <c r="AE79" s="90">
        <f>'06 Debt &amp; WC'!AE$12</f>
        <v>0</v>
      </c>
      <c r="AF79" s="90">
        <f>'06 Debt &amp; WC'!AF$12</f>
        <v>0</v>
      </c>
      <c r="AG79" s="90">
        <f>'06 Debt &amp; WC'!AG$12</f>
        <v>0</v>
      </c>
      <c r="AH79" s="90">
        <f>'06 Debt &amp; WC'!AH$12</f>
        <v>0</v>
      </c>
      <c r="AI79" s="90">
        <f>'06 Debt &amp; WC'!AI$12</f>
        <v>0</v>
      </c>
      <c r="AJ79" s="90">
        <f>'06 Debt &amp; WC'!AJ$12</f>
        <v>0</v>
      </c>
      <c r="AK79" s="90">
        <f>'06 Debt &amp; WC'!AK$12</f>
        <v>0</v>
      </c>
      <c r="AL79" s="90">
        <f>'06 Debt &amp; WC'!AL$12</f>
        <v>0</v>
      </c>
      <c r="AM79" s="90">
        <f>'06 Debt &amp; WC'!AM$12</f>
        <v>0</v>
      </c>
      <c r="AN79" s="90">
        <f>'06 Debt &amp; WC'!AN$12</f>
        <v>0</v>
      </c>
      <c r="AO79" s="90">
        <f>'06 Debt &amp; WC'!AO$12</f>
        <v>0</v>
      </c>
      <c r="AP79" s="90">
        <f>'06 Debt &amp; WC'!AP$12</f>
        <v>0</v>
      </c>
      <c r="AQ79" s="90">
        <f>'06 Debt &amp; WC'!AQ$12</f>
        <v>0</v>
      </c>
      <c r="AR79" s="90">
        <f>'06 Debt &amp; WC'!AR$12</f>
        <v>0</v>
      </c>
      <c r="AS79" s="90">
        <f>'06 Debt &amp; WC'!AS$12</f>
        <v>0</v>
      </c>
      <c r="AT79" s="90">
        <f>'06 Debt &amp; WC'!AT$12</f>
        <v>0</v>
      </c>
      <c r="AU79" s="90">
        <f>'06 Debt &amp; WC'!AU$12</f>
        <v>0</v>
      </c>
      <c r="AV79" s="90">
        <f>'06 Debt &amp; WC'!AV$12</f>
        <v>0</v>
      </c>
      <c r="AW79" s="90">
        <f>'06 Debt &amp; WC'!AW$12</f>
        <v>0</v>
      </c>
      <c r="AX79" s="90">
        <f>'06 Debt &amp; WC'!AX$12</f>
        <v>0</v>
      </c>
      <c r="AY79" s="90">
        <f>'06 Debt &amp; WC'!AY$12</f>
        <v>0</v>
      </c>
      <c r="AZ79" s="90">
        <f>'06 Debt &amp; WC'!AZ$12</f>
        <v>0</v>
      </c>
      <c r="BA79" s="90">
        <f>'06 Debt &amp; WC'!BA$12</f>
        <v>0</v>
      </c>
      <c r="BB79" s="90">
        <f>'06 Debt &amp; WC'!BB$12</f>
        <v>0</v>
      </c>
      <c r="BC79" s="90">
        <f>'06 Debt &amp; WC'!BC$12</f>
        <v>0</v>
      </c>
      <c r="BD79" s="90">
        <f>'06 Debt &amp; WC'!BD$12</f>
        <v>0</v>
      </c>
      <c r="BE79" s="90">
        <f>'06 Debt &amp; WC'!BE$12</f>
        <v>0</v>
      </c>
      <c r="BF79" s="90">
        <f>'06 Debt &amp; WC'!BF$12</f>
        <v>0</v>
      </c>
      <c r="BG79" s="90">
        <f>'06 Debt &amp; WC'!BG$12</f>
        <v>0</v>
      </c>
      <c r="BH79" s="90">
        <f>'06 Debt &amp; WC'!BH$12</f>
        <v>0</v>
      </c>
      <c r="BI79" s="90">
        <f>'06 Debt &amp; WC'!BI$12</f>
        <v>0</v>
      </c>
      <c r="BJ79" s="90">
        <f>'06 Debt &amp; WC'!BJ$12</f>
        <v>0</v>
      </c>
      <c r="BK79" s="90">
        <f>'06 Debt &amp; WC'!BK$12</f>
        <v>0</v>
      </c>
      <c r="BL79" s="90">
        <f>'06 Debt &amp; WC'!BL$12</f>
        <v>0</v>
      </c>
      <c r="BM79" s="90">
        <f>'06 Debt &amp; WC'!BM$12</f>
        <v>0</v>
      </c>
      <c r="BN79" s="90">
        <f>'06 Debt &amp; WC'!BN$12</f>
        <v>0</v>
      </c>
      <c r="BO79" s="90">
        <f>'06 Debt &amp; WC'!BO$12</f>
        <v>0</v>
      </c>
    </row>
    <row r="80" spans="1:67">
      <c r="A80" s="11"/>
      <c r="B80" s="11"/>
      <c r="C80" s="11" t="s">
        <v>506</v>
      </c>
      <c r="D80" s="33"/>
      <c r="E80" s="33"/>
      <c r="F80" s="33"/>
      <c r="G80" s="90">
        <f>-'07 Equity &amp; Dividend'!G$32</f>
        <v>0</v>
      </c>
      <c r="H80" s="90">
        <f>-'07 Equity &amp; Dividend'!H$32</f>
        <v>0</v>
      </c>
      <c r="I80" s="90">
        <f>-'07 Equity &amp; Dividend'!I$32</f>
        <v>0</v>
      </c>
      <c r="J80" s="90">
        <f>-'07 Equity &amp; Dividend'!J$32</f>
        <v>0</v>
      </c>
      <c r="K80" s="90">
        <f>-'07 Equity &amp; Dividend'!K$32</f>
        <v>0</v>
      </c>
      <c r="L80" s="90">
        <f>-'07 Equity &amp; Dividend'!L$32</f>
        <v>0</v>
      </c>
      <c r="M80" s="90">
        <f>-'07 Equity &amp; Dividend'!M$32</f>
        <v>0</v>
      </c>
      <c r="N80" s="90">
        <f>-'07 Equity &amp; Dividend'!N$32</f>
        <v>0</v>
      </c>
      <c r="O80" s="90">
        <f>-'07 Equity &amp; Dividend'!O$32</f>
        <v>0</v>
      </c>
      <c r="P80" s="90">
        <f>-'07 Equity &amp; Dividend'!P$32</f>
        <v>0</v>
      </c>
      <c r="Q80" s="90">
        <f>-'07 Equity &amp; Dividend'!Q$32</f>
        <v>0</v>
      </c>
      <c r="R80" s="90">
        <f>-'07 Equity &amp; Dividend'!R$32</f>
        <v>0</v>
      </c>
      <c r="S80" s="90">
        <f>-'07 Equity &amp; Dividend'!S$32</f>
        <v>0</v>
      </c>
      <c r="T80" s="90">
        <f>-'07 Equity &amp; Dividend'!T$32</f>
        <v>0</v>
      </c>
      <c r="U80" s="90">
        <f>-'07 Equity &amp; Dividend'!U$32</f>
        <v>0</v>
      </c>
      <c r="V80" s="90">
        <f>-'07 Equity &amp; Dividend'!V$32</f>
        <v>0</v>
      </c>
      <c r="W80" s="90">
        <f>-'07 Equity &amp; Dividend'!W$32</f>
        <v>0</v>
      </c>
      <c r="X80" s="90">
        <f>-'07 Equity &amp; Dividend'!X$32</f>
        <v>0</v>
      </c>
      <c r="Y80" s="90">
        <f>-'07 Equity &amp; Dividend'!Y$32</f>
        <v>0</v>
      </c>
      <c r="Z80" s="90">
        <f>-'07 Equity &amp; Dividend'!Z$32</f>
        <v>0</v>
      </c>
      <c r="AA80" s="90">
        <f>-'07 Equity &amp; Dividend'!AA$32</f>
        <v>0</v>
      </c>
      <c r="AB80" s="90">
        <f>-'07 Equity &amp; Dividend'!AB$32</f>
        <v>0</v>
      </c>
      <c r="AC80" s="90">
        <f>-'07 Equity &amp; Dividend'!AC$32</f>
        <v>0</v>
      </c>
      <c r="AD80" s="90">
        <f>-'07 Equity &amp; Dividend'!AD$32</f>
        <v>0</v>
      </c>
      <c r="AE80" s="90">
        <f>-'07 Equity &amp; Dividend'!AE$32</f>
        <v>0</v>
      </c>
      <c r="AF80" s="90">
        <f>-'07 Equity &amp; Dividend'!AF$32</f>
        <v>0</v>
      </c>
      <c r="AG80" s="90">
        <f>-'07 Equity &amp; Dividend'!AG$32</f>
        <v>0</v>
      </c>
      <c r="AH80" s="90">
        <f>-'07 Equity &amp; Dividend'!AH$32</f>
        <v>0</v>
      </c>
      <c r="AI80" s="90">
        <f>-'07 Equity &amp; Dividend'!AI$32</f>
        <v>0</v>
      </c>
      <c r="AJ80" s="90">
        <f>-'07 Equity &amp; Dividend'!AJ$32</f>
        <v>0</v>
      </c>
      <c r="AK80" s="90">
        <f>-'07 Equity &amp; Dividend'!AK$32</f>
        <v>0</v>
      </c>
      <c r="AL80" s="90">
        <f>-'07 Equity &amp; Dividend'!AL$32</f>
        <v>0</v>
      </c>
      <c r="AM80" s="90">
        <f>-'07 Equity &amp; Dividend'!AM$32</f>
        <v>0</v>
      </c>
      <c r="AN80" s="90">
        <f>-'07 Equity &amp; Dividend'!AN$32</f>
        <v>0</v>
      </c>
      <c r="AO80" s="90">
        <f>-'07 Equity &amp; Dividend'!AO$32</f>
        <v>0</v>
      </c>
      <c r="AP80" s="90">
        <f>-'07 Equity &amp; Dividend'!AP$32</f>
        <v>0</v>
      </c>
      <c r="AQ80" s="90">
        <f>-'07 Equity &amp; Dividend'!AQ$32</f>
        <v>0</v>
      </c>
      <c r="AR80" s="90">
        <f>-'07 Equity &amp; Dividend'!AR$32</f>
        <v>0</v>
      </c>
      <c r="AS80" s="90">
        <f>-'07 Equity &amp; Dividend'!AS$32</f>
        <v>0</v>
      </c>
      <c r="AT80" s="90">
        <f>-'07 Equity &amp; Dividend'!AT$32</f>
        <v>0</v>
      </c>
      <c r="AU80" s="90">
        <f>-'07 Equity &amp; Dividend'!AU$32</f>
        <v>0</v>
      </c>
      <c r="AV80" s="90">
        <f>-'07 Equity &amp; Dividend'!AV$32</f>
        <v>0</v>
      </c>
      <c r="AW80" s="90">
        <f>-'07 Equity &amp; Dividend'!AW$32</f>
        <v>0</v>
      </c>
      <c r="AX80" s="90">
        <f>-'07 Equity &amp; Dividend'!AX$32</f>
        <v>0</v>
      </c>
      <c r="AY80" s="90">
        <f ca="1">-'07 Equity &amp; Dividend'!AY$32</f>
        <v>0</v>
      </c>
      <c r="AZ80" s="90">
        <f>-'07 Equity &amp; Dividend'!AZ$32</f>
        <v>0</v>
      </c>
      <c r="BA80" s="90">
        <f>-'07 Equity &amp; Dividend'!BA$32</f>
        <v>0</v>
      </c>
      <c r="BB80" s="90">
        <f>-'07 Equity &amp; Dividend'!BB$32</f>
        <v>0</v>
      </c>
      <c r="BC80" s="90">
        <f>-'07 Equity &amp; Dividend'!BC$32</f>
        <v>0</v>
      </c>
      <c r="BD80" s="90">
        <f>-'07 Equity &amp; Dividend'!BD$32</f>
        <v>0</v>
      </c>
      <c r="BE80" s="90">
        <f>-'07 Equity &amp; Dividend'!BE$32</f>
        <v>0</v>
      </c>
      <c r="BF80" s="90">
        <f>-'07 Equity &amp; Dividend'!BF$32</f>
        <v>0</v>
      </c>
      <c r="BG80" s="90">
        <f>-'07 Equity &amp; Dividend'!BG$32</f>
        <v>0</v>
      </c>
      <c r="BH80" s="90">
        <f>-'07 Equity &amp; Dividend'!BH$32</f>
        <v>0</v>
      </c>
      <c r="BI80" s="90">
        <f ca="1">-'07 Equity &amp; Dividend'!BI$32</f>
        <v>-32570538.632764772</v>
      </c>
      <c r="BJ80" s="90">
        <f ca="1">-'07 Equity &amp; Dividend'!BJ$32</f>
        <v>-96028969.788974926</v>
      </c>
      <c r="BK80" s="90">
        <f ca="1">-'07 Equity &amp; Dividend'!BK$32</f>
        <v>-102139379.34440483</v>
      </c>
      <c r="BL80" s="90">
        <f ca="1">-'07 Equity &amp; Dividend'!BL$32</f>
        <v>-114434153.17681257</v>
      </c>
      <c r="BM80" s="90">
        <f ca="1">-'07 Equity &amp; Dividend'!BM$32</f>
        <v>-122662236.33951207</v>
      </c>
      <c r="BN80" s="90">
        <f ca="1">-'07 Equity &amp; Dividend'!BN$32</f>
        <v>-128872457.45621018</v>
      </c>
      <c r="BO80" s="90">
        <f ca="1">-'07 Equity &amp; Dividend'!BO$32</f>
        <v>-117560968.32843585</v>
      </c>
    </row>
    <row r="81" spans="1:67">
      <c r="A81" s="32"/>
      <c r="B81" s="32"/>
      <c r="C81" s="35" t="s">
        <v>1784</v>
      </c>
      <c r="D81" s="17"/>
      <c r="E81" s="17"/>
      <c r="F81" s="17"/>
      <c r="G81" s="92">
        <f>'06 Debt &amp; WC'!G$59-'06 Debt &amp; WC'!G$60</f>
        <v>0</v>
      </c>
      <c r="H81" s="92">
        <f>'06 Debt &amp; WC'!H$59-'06 Debt &amp; WC'!H$60</f>
        <v>0</v>
      </c>
      <c r="I81" s="92">
        <f>'06 Debt &amp; WC'!I$59-'06 Debt &amp; WC'!I$60</f>
        <v>0</v>
      </c>
      <c r="J81" s="92">
        <f>'06 Debt &amp; WC'!J$59-'06 Debt &amp; WC'!J$60</f>
        <v>0</v>
      </c>
      <c r="K81" s="92">
        <f>'06 Debt &amp; WC'!K$59-'06 Debt &amp; WC'!K$60</f>
        <v>0</v>
      </c>
      <c r="L81" s="92">
        <f>'06 Debt &amp; WC'!L$59-'06 Debt &amp; WC'!L$60</f>
        <v>0</v>
      </c>
      <c r="M81" s="92">
        <f>'06 Debt &amp; WC'!M$59-'06 Debt &amp; WC'!M$60</f>
        <v>0</v>
      </c>
      <c r="N81" s="92">
        <f>'06 Debt &amp; WC'!N$59-'06 Debt &amp; WC'!N$60</f>
        <v>0</v>
      </c>
      <c r="O81" s="92">
        <f>'06 Debt &amp; WC'!O$59-'06 Debt &amp; WC'!O$60</f>
        <v>0</v>
      </c>
      <c r="P81" s="92">
        <f>'06 Debt &amp; WC'!P$59-'06 Debt &amp; WC'!P$60</f>
        <v>0</v>
      </c>
      <c r="Q81" s="92">
        <f>'06 Debt &amp; WC'!Q$59-'06 Debt &amp; WC'!Q$60</f>
        <v>0</v>
      </c>
      <c r="R81" s="92">
        <f>'06 Debt &amp; WC'!R$59-'06 Debt &amp; WC'!R$60</f>
        <v>0</v>
      </c>
      <c r="S81" s="92">
        <f>'06 Debt &amp; WC'!S$59-'06 Debt &amp; WC'!S$60</f>
        <v>0</v>
      </c>
      <c r="T81" s="92">
        <f>'06 Debt &amp; WC'!T$59-'06 Debt &amp; WC'!T$60</f>
        <v>0</v>
      </c>
      <c r="U81" s="92">
        <f>'06 Debt &amp; WC'!U$59-'06 Debt &amp; WC'!U$60</f>
        <v>0</v>
      </c>
      <c r="V81" s="92">
        <f>'06 Debt &amp; WC'!V$59-'06 Debt &amp; WC'!V$60</f>
        <v>0</v>
      </c>
      <c r="W81" s="92">
        <f>'06 Debt &amp; WC'!W$59-'06 Debt &amp; WC'!W$60</f>
        <v>0</v>
      </c>
      <c r="X81" s="92">
        <f>'06 Debt &amp; WC'!X$59-'06 Debt &amp; WC'!X$60</f>
        <v>0</v>
      </c>
      <c r="Y81" s="92">
        <f>'06 Debt &amp; WC'!Y$59-'06 Debt &amp; WC'!Y$60</f>
        <v>0</v>
      </c>
      <c r="Z81" s="92">
        <f>'06 Debt &amp; WC'!Z$59-'06 Debt &amp; WC'!Z$60</f>
        <v>0</v>
      </c>
      <c r="AA81" s="92">
        <f>'06 Debt &amp; WC'!AA$59-'06 Debt &amp; WC'!AA$60</f>
        <v>0</v>
      </c>
      <c r="AB81" s="92">
        <f>'06 Debt &amp; WC'!AB$59-'06 Debt &amp; WC'!AB$60</f>
        <v>48458504.085170314</v>
      </c>
      <c r="AC81" s="92">
        <f>'06 Debt &amp; WC'!AC$59-'06 Debt &amp; WC'!AC$60</f>
        <v>20953350.015417695</v>
      </c>
      <c r="AD81" s="92">
        <f>'06 Debt &amp; WC'!AD$59-'06 Debt &amp; WC'!AD$60</f>
        <v>8761496.4421593957</v>
      </c>
      <c r="AE81" s="92">
        <f>'06 Debt &amp; WC'!AE$59-'06 Debt &amp; WC'!AE$60</f>
        <v>7864988.5071602631</v>
      </c>
      <c r="AF81" s="92">
        <f>'06 Debt &amp; WC'!AF$59-'06 Debt &amp; WC'!AF$60</f>
        <v>8433190.4025314897</v>
      </c>
      <c r="AG81" s="92">
        <f>'06 Debt &amp; WC'!AG$59-'06 Debt &amp; WC'!AG$60</f>
        <v>-2308975.60821913</v>
      </c>
      <c r="AH81" s="92">
        <f>'06 Debt &amp; WC'!AH$59-'06 Debt &amp; WC'!AH$60</f>
        <v>606042.60772672109</v>
      </c>
      <c r="AI81" s="92">
        <f>'06 Debt &amp; WC'!AI$59-'06 Debt &amp; WC'!AI$60</f>
        <v>-4968369.1172502451</v>
      </c>
      <c r="AJ81" s="92">
        <f>'06 Debt &amp; WC'!AJ$59-'06 Debt &amp; WC'!AJ$60</f>
        <v>-4003544.8588316105</v>
      </c>
      <c r="AK81" s="92">
        <f>'06 Debt &amp; WC'!AK$59-'06 Debt &amp; WC'!AK$60</f>
        <v>-10275264.845243741</v>
      </c>
      <c r="AL81" s="92">
        <f>'06 Debt &amp; WC'!AL$59-'06 Debt &amp; WC'!AL$60</f>
        <v>-10887593.983975433</v>
      </c>
      <c r="AM81" s="92">
        <f>'06 Debt &amp; WC'!AM$59-'06 Debt &amp; WC'!AM$60</f>
        <v>-10974801.860321283</v>
      </c>
      <c r="AN81" s="92">
        <f>'06 Debt &amp; WC'!AN$59-'06 Debt &amp; WC'!AN$60</f>
        <v>-9451165.3058625236</v>
      </c>
      <c r="AO81" s="92">
        <f>'06 Debt &amp; WC'!AO$59-'06 Debt &amp; WC'!AO$60</f>
        <v>-9835519.4212610051</v>
      </c>
      <c r="AP81" s="92">
        <f>'06 Debt &amp; WC'!AP$59-'06 Debt &amp; WC'!AP$60</f>
        <v>-15147210.322285868</v>
      </c>
      <c r="AQ81" s="92">
        <f>'06 Debt &amp; WC'!AQ$59-'06 Debt &amp; WC'!AQ$60</f>
        <v>-11264528.143990844</v>
      </c>
      <c r="AR81" s="92">
        <f>'06 Debt &amp; WC'!AR$59-'06 Debt &amp; WC'!AR$60</f>
        <v>-4867858.182371363</v>
      </c>
      <c r="AS81" s="92">
        <f>'06 Debt &amp; WC'!AS$59-'06 Debt &amp; WC'!AS$60</f>
        <v>-1092740.4105528295</v>
      </c>
      <c r="AT81" s="92">
        <f>'06 Debt &amp; WC'!AT$59-'06 Debt &amp; WC'!AT$60</f>
        <v>0</v>
      </c>
      <c r="AU81" s="92">
        <f>'06 Debt &amp; WC'!AU$59-'06 Debt &amp; WC'!AU$60</f>
        <v>0</v>
      </c>
      <c r="AV81" s="92">
        <f>'06 Debt &amp; WC'!AV$59-'06 Debt &amp; WC'!AV$60</f>
        <v>0</v>
      </c>
      <c r="AW81" s="92">
        <f>'06 Debt &amp; WC'!AW$59-'06 Debt &amp; WC'!AW$60</f>
        <v>0</v>
      </c>
      <c r="AX81" s="92">
        <f>'06 Debt &amp; WC'!AX$59-'06 Debt &amp; WC'!AX$60</f>
        <v>0</v>
      </c>
      <c r="AY81" s="92">
        <f ca="1">'06 Debt &amp; WC'!AY$59-'06 Debt &amp; WC'!AY$60</f>
        <v>0</v>
      </c>
      <c r="AZ81" s="92">
        <f ca="1">'06 Debt &amp; WC'!AZ$59-'06 Debt &amp; WC'!AZ$60</f>
        <v>0</v>
      </c>
      <c r="BA81" s="92">
        <f ca="1">'06 Debt &amp; WC'!BA$59-'06 Debt &amp; WC'!BA$60</f>
        <v>0</v>
      </c>
      <c r="BB81" s="92">
        <f ca="1">'06 Debt &amp; WC'!BB$59-'06 Debt &amp; WC'!BB$60</f>
        <v>0</v>
      </c>
      <c r="BC81" s="92">
        <f ca="1">'06 Debt &amp; WC'!BC$59-'06 Debt &amp; WC'!BC$60</f>
        <v>0</v>
      </c>
      <c r="BD81" s="92">
        <f ca="1">'06 Debt &amp; WC'!BD$59-'06 Debt &amp; WC'!BD$60</f>
        <v>0</v>
      </c>
      <c r="BE81" s="92">
        <f ca="1">'06 Debt &amp; WC'!BE$59-'06 Debt &amp; WC'!BE$60</f>
        <v>0</v>
      </c>
      <c r="BF81" s="92">
        <f ca="1">'06 Debt &amp; WC'!BF$59-'06 Debt &amp; WC'!BF$60</f>
        <v>0</v>
      </c>
      <c r="BG81" s="92">
        <f ca="1">'06 Debt &amp; WC'!BG$59-'06 Debt &amp; WC'!BG$60</f>
        <v>0</v>
      </c>
      <c r="BH81" s="92">
        <f ca="1">'06 Debt &amp; WC'!BH$59-'06 Debt &amp; WC'!BH$60</f>
        <v>0</v>
      </c>
      <c r="BI81" s="92">
        <f ca="1">'06 Debt &amp; WC'!BI$59-'06 Debt &amp; WC'!BI$60</f>
        <v>0</v>
      </c>
      <c r="BJ81" s="92">
        <f ca="1">'06 Debt &amp; WC'!BJ$59-'06 Debt &amp; WC'!BJ$60</f>
        <v>0</v>
      </c>
      <c r="BK81" s="92">
        <f ca="1">'06 Debt &amp; WC'!BK$59-'06 Debt &amp; WC'!BK$60</f>
        <v>0</v>
      </c>
      <c r="BL81" s="92">
        <f ca="1">'06 Debt &amp; WC'!BL$59-'06 Debt &amp; WC'!BL$60</f>
        <v>0</v>
      </c>
      <c r="BM81" s="92">
        <f ca="1">'06 Debt &amp; WC'!BM$59-'06 Debt &amp; WC'!BM$60</f>
        <v>0</v>
      </c>
      <c r="BN81" s="92">
        <f ca="1">'06 Debt &amp; WC'!BN$59-'06 Debt &amp; WC'!BN$60</f>
        <v>0</v>
      </c>
      <c r="BO81" s="92">
        <f ca="1">'06 Debt &amp; WC'!BO$59-'06 Debt &amp; WC'!BO$60</f>
        <v>0</v>
      </c>
    </row>
    <row r="82" spans="1:67">
      <c r="A82" s="11"/>
      <c r="B82" s="22" t="s">
        <v>541</v>
      </c>
      <c r="C82" s="22"/>
      <c r="D82" s="33"/>
      <c r="E82" s="33"/>
      <c r="F82" s="33"/>
      <c r="G82" s="89">
        <f>SUM(G77:G81)</f>
        <v>23922220.516129032</v>
      </c>
      <c r="H82" s="89">
        <f t="shared" ref="H82:BO82" si="130">SUM(H77:H81)</f>
        <v>23726556.912442397</v>
      </c>
      <c r="I82" s="89">
        <f t="shared" si="130"/>
        <v>23797043.087557603</v>
      </c>
      <c r="J82" s="89">
        <f t="shared" si="130"/>
        <v>269880835.48387098</v>
      </c>
      <c r="K82" s="89">
        <f t="shared" si="130"/>
        <v>55079235.104364328</v>
      </c>
      <c r="L82" s="89">
        <f t="shared" si="130"/>
        <v>55057306.072106265</v>
      </c>
      <c r="M82" s="89">
        <f t="shared" si="130"/>
        <v>55089235.104364328</v>
      </c>
      <c r="N82" s="89">
        <f t="shared" si="130"/>
        <v>55078270.588235296</v>
      </c>
      <c r="O82" s="89">
        <f t="shared" si="130"/>
        <v>55067306.072106265</v>
      </c>
      <c r="P82" s="89">
        <f t="shared" si="130"/>
        <v>65856113.464579381</v>
      </c>
      <c r="Q82" s="89">
        <f t="shared" si="130"/>
        <v>87303052.711891219</v>
      </c>
      <c r="R82" s="89">
        <f t="shared" si="130"/>
        <v>66586621.053180344</v>
      </c>
      <c r="S82" s="89">
        <f t="shared" si="130"/>
        <v>67852779.135224685</v>
      </c>
      <c r="T82" s="89">
        <f t="shared" si="130"/>
        <v>68036578.213755891</v>
      </c>
      <c r="U82" s="89">
        <f t="shared" si="130"/>
        <v>69140375.615895078</v>
      </c>
      <c r="V82" s="89">
        <f t="shared" si="130"/>
        <v>69389110.564872786</v>
      </c>
      <c r="W82" s="89">
        <f t="shared" si="130"/>
        <v>69946418.232210055</v>
      </c>
      <c r="X82" s="89">
        <f t="shared" si="130"/>
        <v>70236137.301012665</v>
      </c>
      <c r="Y82" s="89">
        <f t="shared" si="130"/>
        <v>70681008.813523516</v>
      </c>
      <c r="Z82" s="89">
        <f t="shared" si="130"/>
        <v>71016088.682562739</v>
      </c>
      <c r="AA82" s="89">
        <f t="shared" si="130"/>
        <v>71692727.556781918</v>
      </c>
      <c r="AB82" s="89">
        <f t="shared" si="130"/>
        <v>48458504.085170314</v>
      </c>
      <c r="AC82" s="89">
        <f t="shared" si="130"/>
        <v>20953350.015417695</v>
      </c>
      <c r="AD82" s="89">
        <f t="shared" si="130"/>
        <v>8761496.4421593957</v>
      </c>
      <c r="AE82" s="89">
        <f t="shared" si="130"/>
        <v>7864988.5071602631</v>
      </c>
      <c r="AF82" s="89">
        <f t="shared" si="130"/>
        <v>8433190.4025314897</v>
      </c>
      <c r="AG82" s="89">
        <f t="shared" si="130"/>
        <v>-2308975.60821913</v>
      </c>
      <c r="AH82" s="89">
        <f t="shared" si="130"/>
        <v>606042.60772672109</v>
      </c>
      <c r="AI82" s="89">
        <f t="shared" si="130"/>
        <v>-4968369.1172502451</v>
      </c>
      <c r="AJ82" s="89">
        <f t="shared" si="130"/>
        <v>-4003544.8588316105</v>
      </c>
      <c r="AK82" s="89">
        <f t="shared" si="130"/>
        <v>-10275264.845243741</v>
      </c>
      <c r="AL82" s="89">
        <f t="shared" si="130"/>
        <v>-10887593.983975433</v>
      </c>
      <c r="AM82" s="89">
        <f t="shared" si="130"/>
        <v>-10974801.860321283</v>
      </c>
      <c r="AN82" s="89">
        <f t="shared" si="130"/>
        <v>-18344573.877298895</v>
      </c>
      <c r="AO82" s="89">
        <f t="shared" si="130"/>
        <v>-18728927.992697377</v>
      </c>
      <c r="AP82" s="89">
        <f t="shared" si="130"/>
        <v>-24040618.89372224</v>
      </c>
      <c r="AQ82" s="89">
        <f t="shared" si="130"/>
        <v>-20157936.715427216</v>
      </c>
      <c r="AR82" s="89">
        <f t="shared" si="130"/>
        <v>-13761266.753807735</v>
      </c>
      <c r="AS82" s="89">
        <f t="shared" si="130"/>
        <v>-9986148.9819892012</v>
      </c>
      <c r="AT82" s="89">
        <f t="shared" si="130"/>
        <v>-8893408.5714363717</v>
      </c>
      <c r="AU82" s="89">
        <f t="shared" si="130"/>
        <v>-8893408.5714363717</v>
      </c>
      <c r="AV82" s="89">
        <f t="shared" si="130"/>
        <v>-8893408.5714363717</v>
      </c>
      <c r="AW82" s="89">
        <f t="shared" si="130"/>
        <v>-8893408.5714363717</v>
      </c>
      <c r="AX82" s="89">
        <f t="shared" si="130"/>
        <v>-8893408.5714363717</v>
      </c>
      <c r="AY82" s="89">
        <f t="shared" ca="1" si="130"/>
        <v>-8893408.5714363717</v>
      </c>
      <c r="AZ82" s="89">
        <f t="shared" ca="1" si="130"/>
        <v>-8893408.5714363717</v>
      </c>
      <c r="BA82" s="89">
        <f t="shared" ca="1" si="130"/>
        <v>-8893408.5714363717</v>
      </c>
      <c r="BB82" s="89">
        <f t="shared" ca="1" si="130"/>
        <v>-8893408.5714363717</v>
      </c>
      <c r="BC82" s="89">
        <f t="shared" ca="1" si="130"/>
        <v>-8893408.5714363717</v>
      </c>
      <c r="BD82" s="89">
        <f t="shared" ca="1" si="130"/>
        <v>-8893408.5714363717</v>
      </c>
      <c r="BE82" s="89">
        <f t="shared" ca="1" si="130"/>
        <v>-8893408.5714363717</v>
      </c>
      <c r="BF82" s="89">
        <f t="shared" ca="1" si="130"/>
        <v>-8893408.5714363717</v>
      </c>
      <c r="BG82" s="89">
        <f t="shared" ca="1" si="130"/>
        <v>-8893408.5714363717</v>
      </c>
      <c r="BH82" s="89">
        <f t="shared" ca="1" si="130"/>
        <v>-8893408.5714363717</v>
      </c>
      <c r="BI82" s="89">
        <f t="shared" ca="1" si="130"/>
        <v>-139291441.49000123</v>
      </c>
      <c r="BJ82" s="89">
        <f t="shared" ca="1" si="130"/>
        <v>-202749872.64621139</v>
      </c>
      <c r="BK82" s="89">
        <f t="shared" ca="1" si="130"/>
        <v>-208860282.20164129</v>
      </c>
      <c r="BL82" s="89">
        <f t="shared" ca="1" si="130"/>
        <v>-221155056.03404903</v>
      </c>
      <c r="BM82" s="89">
        <f t="shared" ca="1" si="130"/>
        <v>-229383139.19674852</v>
      </c>
      <c r="BN82" s="89">
        <f t="shared" ca="1" si="130"/>
        <v>-128872457.45621018</v>
      </c>
      <c r="BO82" s="89">
        <f t="shared" ca="1" si="130"/>
        <v>-117560968.32843585</v>
      </c>
    </row>
    <row r="83" spans="1:67">
      <c r="A83" s="11"/>
      <c r="B83" s="22" t="s">
        <v>542</v>
      </c>
      <c r="C83" s="22"/>
      <c r="D83" s="33"/>
      <c r="E83" s="33"/>
      <c r="F83" s="33"/>
      <c r="G83" s="89">
        <f>G72+G75+G82</f>
        <v>500000</v>
      </c>
      <c r="H83" s="89">
        <f t="shared" ref="H83:BI83" si="131">H72+H75+H82</f>
        <v>0</v>
      </c>
      <c r="I83" s="89">
        <f t="shared" si="131"/>
        <v>0</v>
      </c>
      <c r="J83" s="89">
        <f t="shared" si="131"/>
        <v>0</v>
      </c>
      <c r="K83" s="89">
        <f t="shared" si="131"/>
        <v>0</v>
      </c>
      <c r="L83" s="89">
        <f t="shared" si="131"/>
        <v>0</v>
      </c>
      <c r="M83" s="89">
        <f t="shared" si="131"/>
        <v>0</v>
      </c>
      <c r="N83" s="89">
        <f t="shared" si="131"/>
        <v>0</v>
      </c>
      <c r="O83" s="89">
        <f t="shared" si="131"/>
        <v>0</v>
      </c>
      <c r="P83" s="89">
        <f t="shared" si="131"/>
        <v>0</v>
      </c>
      <c r="Q83" s="89">
        <f t="shared" si="131"/>
        <v>0</v>
      </c>
      <c r="R83" s="89">
        <f t="shared" si="131"/>
        <v>0</v>
      </c>
      <c r="S83" s="89">
        <f t="shared" si="131"/>
        <v>0</v>
      </c>
      <c r="T83" s="89">
        <f t="shared" si="131"/>
        <v>0</v>
      </c>
      <c r="U83" s="89">
        <f t="shared" si="131"/>
        <v>0</v>
      </c>
      <c r="V83" s="89">
        <f t="shared" si="131"/>
        <v>0</v>
      </c>
      <c r="W83" s="89">
        <f t="shared" si="131"/>
        <v>0</v>
      </c>
      <c r="X83" s="89">
        <f t="shared" si="131"/>
        <v>0</v>
      </c>
      <c r="Y83" s="89">
        <f t="shared" si="131"/>
        <v>0</v>
      </c>
      <c r="Z83" s="89">
        <f t="shared" si="131"/>
        <v>0</v>
      </c>
      <c r="AA83" s="89">
        <f t="shared" si="131"/>
        <v>0</v>
      </c>
      <c r="AB83" s="89">
        <f t="shared" si="131"/>
        <v>0</v>
      </c>
      <c r="AC83" s="89">
        <f t="shared" si="131"/>
        <v>0</v>
      </c>
      <c r="AD83" s="89">
        <f t="shared" si="131"/>
        <v>0</v>
      </c>
      <c r="AE83" s="89">
        <f t="shared" si="131"/>
        <v>0</v>
      </c>
      <c r="AF83" s="89">
        <f t="shared" si="131"/>
        <v>0</v>
      </c>
      <c r="AG83" s="89">
        <f t="shared" si="131"/>
        <v>0</v>
      </c>
      <c r="AH83" s="89">
        <f t="shared" si="131"/>
        <v>0</v>
      </c>
      <c r="AI83" s="89">
        <f t="shared" si="131"/>
        <v>0</v>
      </c>
      <c r="AJ83" s="89">
        <f t="shared" si="131"/>
        <v>0</v>
      </c>
      <c r="AK83" s="89">
        <f t="shared" si="131"/>
        <v>0</v>
      </c>
      <c r="AL83" s="89">
        <f t="shared" si="131"/>
        <v>0</v>
      </c>
      <c r="AM83" s="89">
        <f t="shared" si="131"/>
        <v>0</v>
      </c>
      <c r="AN83" s="89">
        <f t="shared" si="131"/>
        <v>0</v>
      </c>
      <c r="AO83" s="89">
        <f t="shared" si="131"/>
        <v>0</v>
      </c>
      <c r="AP83" s="89">
        <f t="shared" si="131"/>
        <v>0</v>
      </c>
      <c r="AQ83" s="89">
        <f t="shared" si="131"/>
        <v>0</v>
      </c>
      <c r="AR83" s="89">
        <f t="shared" si="131"/>
        <v>0</v>
      </c>
      <c r="AS83" s="89">
        <f t="shared" si="131"/>
        <v>20959041.030712649</v>
      </c>
      <c r="AT83" s="89">
        <f t="shared" si="131"/>
        <v>10888770.382359635</v>
      </c>
      <c r="AU83" s="89">
        <f t="shared" si="131"/>
        <v>16258737.796506081</v>
      </c>
      <c r="AV83" s="89">
        <f t="shared" si="131"/>
        <v>10981865.330531735</v>
      </c>
      <c r="AW83" s="89">
        <f t="shared" si="131"/>
        <v>16352366.926042419</v>
      </c>
      <c r="AX83" s="89">
        <f t="shared" si="131"/>
        <v>13737137.657427799</v>
      </c>
      <c r="AY83" s="89">
        <f t="shared" ca="1" si="131"/>
        <v>11121507.752789959</v>
      </c>
      <c r="AZ83" s="89">
        <f t="shared" ca="1" si="131"/>
        <v>16492810.620346993</v>
      </c>
      <c r="BA83" s="89">
        <f t="shared" ca="1" si="131"/>
        <v>11214602.700962119</v>
      </c>
      <c r="BB83" s="89">
        <f t="shared" ca="1" si="131"/>
        <v>16586439.74988338</v>
      </c>
      <c r="BC83" s="89">
        <f t="shared" ca="1" si="131"/>
        <v>12449969.579907414</v>
      </c>
      <c r="BD83" s="89">
        <f t="shared" ca="1" si="131"/>
        <v>5844615.0285336971</v>
      </c>
      <c r="BE83" s="89">
        <f t="shared" ca="1" si="131"/>
        <v>23371057.56402668</v>
      </c>
      <c r="BF83" s="89">
        <f t="shared" ca="1" si="131"/>
        <v>11958436.418697737</v>
      </c>
      <c r="BG83" s="89">
        <f t="shared" ca="1" si="131"/>
        <v>17443773.509514909</v>
      </c>
      <c r="BH83" s="89">
        <f t="shared" ca="1" si="131"/>
        <v>12051434.98387308</v>
      </c>
      <c r="BI83" s="89">
        <f t="shared" ca="1" si="131"/>
        <v>148263764.84810337</v>
      </c>
      <c r="BJ83" s="89">
        <f t="shared" ref="BJ83" ca="1" si="132">BJ72+BJ75+BJ82</f>
        <v>98825968.154563963</v>
      </c>
      <c r="BK83" s="89">
        <f t="shared" ref="BK83" ca="1" si="133">BK72+BK75+BK82</f>
        <v>106642823.96738467</v>
      </c>
      <c r="BL83" s="89">
        <f t="shared" ref="BL83" ca="1" si="134">BL72+BL75+BL82</f>
        <v>108109169.49572331</v>
      </c>
      <c r="BM83" s="89">
        <f t="shared" ref="BM83" ca="1" si="135">BM72+BM75+BM82</f>
        <v>113958533.36166742</v>
      </c>
      <c r="BN83" s="89">
        <f t="shared" ref="BN83" ca="1" si="136">BN72+BN75+BN82</f>
        <v>192772870.45195615</v>
      </c>
      <c r="BO83" s="89">
        <f t="shared" ref="BO83" ca="1" si="137">BO72+BO75+BO82</f>
        <v>186815762.99405801</v>
      </c>
    </row>
    <row r="84" spans="1:67">
      <c r="A84" s="11"/>
      <c r="B84" s="11"/>
      <c r="C84" s="11" t="s">
        <v>543</v>
      </c>
      <c r="D84" s="33"/>
      <c r="E84" s="33"/>
      <c r="F84" s="33"/>
      <c r="G84" s="90">
        <f>0</f>
        <v>0</v>
      </c>
      <c r="H84" s="90">
        <f>G85</f>
        <v>500000</v>
      </c>
      <c r="I84" s="90">
        <f t="shared" ref="I84:BO84" si="138">H85</f>
        <v>500000</v>
      </c>
      <c r="J84" s="90">
        <f t="shared" si="138"/>
        <v>500000</v>
      </c>
      <c r="K84" s="90">
        <f t="shared" si="138"/>
        <v>500000</v>
      </c>
      <c r="L84" s="90">
        <f t="shared" si="138"/>
        <v>500000</v>
      </c>
      <c r="M84" s="90">
        <f t="shared" si="138"/>
        <v>500000</v>
      </c>
      <c r="N84" s="90">
        <f t="shared" si="138"/>
        <v>500000</v>
      </c>
      <c r="O84" s="90">
        <f t="shared" si="138"/>
        <v>500000</v>
      </c>
      <c r="P84" s="90">
        <f t="shared" si="138"/>
        <v>500000</v>
      </c>
      <c r="Q84" s="90">
        <f t="shared" si="138"/>
        <v>500000</v>
      </c>
      <c r="R84" s="90">
        <f t="shared" si="138"/>
        <v>500000</v>
      </c>
      <c r="S84" s="90">
        <f t="shared" si="138"/>
        <v>500000</v>
      </c>
      <c r="T84" s="90">
        <f t="shared" si="138"/>
        <v>500000</v>
      </c>
      <c r="U84" s="90">
        <f t="shared" si="138"/>
        <v>500000</v>
      </c>
      <c r="V84" s="90">
        <f t="shared" si="138"/>
        <v>500000</v>
      </c>
      <c r="W84" s="90">
        <f t="shared" si="138"/>
        <v>500000</v>
      </c>
      <c r="X84" s="90">
        <f t="shared" si="138"/>
        <v>500000</v>
      </c>
      <c r="Y84" s="90">
        <f t="shared" si="138"/>
        <v>500000</v>
      </c>
      <c r="Z84" s="90">
        <f t="shared" si="138"/>
        <v>500000</v>
      </c>
      <c r="AA84" s="90">
        <f t="shared" si="138"/>
        <v>500000</v>
      </c>
      <c r="AB84" s="90">
        <f t="shared" si="138"/>
        <v>500000</v>
      </c>
      <c r="AC84" s="90">
        <f t="shared" si="138"/>
        <v>500000</v>
      </c>
      <c r="AD84" s="90">
        <f t="shared" si="138"/>
        <v>500000</v>
      </c>
      <c r="AE84" s="90">
        <f t="shared" si="138"/>
        <v>500000</v>
      </c>
      <c r="AF84" s="90">
        <f t="shared" si="138"/>
        <v>500000</v>
      </c>
      <c r="AG84" s="90">
        <f t="shared" si="138"/>
        <v>500000</v>
      </c>
      <c r="AH84" s="90">
        <f t="shared" si="138"/>
        <v>500000</v>
      </c>
      <c r="AI84" s="90">
        <f t="shared" si="138"/>
        <v>500000</v>
      </c>
      <c r="AJ84" s="90">
        <f t="shared" si="138"/>
        <v>500000</v>
      </c>
      <c r="AK84" s="90">
        <f t="shared" si="138"/>
        <v>500000</v>
      </c>
      <c r="AL84" s="90">
        <f t="shared" si="138"/>
        <v>500000</v>
      </c>
      <c r="AM84" s="90">
        <f t="shared" si="138"/>
        <v>500000</v>
      </c>
      <c r="AN84" s="90">
        <f t="shared" si="138"/>
        <v>500000</v>
      </c>
      <c r="AO84" s="90">
        <f t="shared" si="138"/>
        <v>500000</v>
      </c>
      <c r="AP84" s="90">
        <f t="shared" si="138"/>
        <v>500000</v>
      </c>
      <c r="AQ84" s="90">
        <f t="shared" si="138"/>
        <v>500000</v>
      </c>
      <c r="AR84" s="90">
        <f t="shared" si="138"/>
        <v>500000</v>
      </c>
      <c r="AS84" s="90">
        <f t="shared" si="138"/>
        <v>500000</v>
      </c>
      <c r="AT84" s="90">
        <f t="shared" si="138"/>
        <v>21459041.030712649</v>
      </c>
      <c r="AU84" s="90">
        <f t="shared" si="138"/>
        <v>32347811.413072284</v>
      </c>
      <c r="AV84" s="90">
        <f t="shared" si="138"/>
        <v>48606549.209578365</v>
      </c>
      <c r="AW84" s="90">
        <f t="shared" si="138"/>
        <v>59588414.540110096</v>
      </c>
      <c r="AX84" s="90">
        <f t="shared" si="138"/>
        <v>75940781.466152519</v>
      </c>
      <c r="AY84" s="90">
        <f t="shared" si="138"/>
        <v>89677919.123580322</v>
      </c>
      <c r="AZ84" s="90">
        <f t="shared" ca="1" si="138"/>
        <v>100799426.87637028</v>
      </c>
      <c r="BA84" s="90">
        <f t="shared" ca="1" si="138"/>
        <v>117292237.49671727</v>
      </c>
      <c r="BB84" s="90">
        <f t="shared" ca="1" si="138"/>
        <v>128506840.1976794</v>
      </c>
      <c r="BC84" s="90">
        <f t="shared" ca="1" si="138"/>
        <v>145093279.94756278</v>
      </c>
      <c r="BD84" s="90">
        <f t="shared" ca="1" si="138"/>
        <v>157543249.5274702</v>
      </c>
      <c r="BE84" s="90">
        <f t="shared" ca="1" si="138"/>
        <v>163387864.5560039</v>
      </c>
      <c r="BF84" s="90">
        <f t="shared" ca="1" si="138"/>
        <v>186758922.12003058</v>
      </c>
      <c r="BG84" s="90">
        <f t="shared" ca="1" si="138"/>
        <v>198717358.53872833</v>
      </c>
      <c r="BH84" s="90">
        <f t="shared" ca="1" si="138"/>
        <v>216161132.04824322</v>
      </c>
      <c r="BI84" s="90">
        <f t="shared" ca="1" si="138"/>
        <v>228212567.03211629</v>
      </c>
      <c r="BJ84" s="90">
        <f t="shared" ca="1" si="138"/>
        <v>376476331.8802197</v>
      </c>
      <c r="BK84" s="90">
        <f t="shared" ca="1" si="138"/>
        <v>475302300.03478366</v>
      </c>
      <c r="BL84" s="90">
        <f t="shared" ca="1" si="138"/>
        <v>581945124.0021683</v>
      </c>
      <c r="BM84" s="90">
        <f t="shared" ca="1" si="138"/>
        <v>690054293.49789166</v>
      </c>
      <c r="BN84" s="90">
        <f t="shared" ca="1" si="138"/>
        <v>804012826.85955906</v>
      </c>
      <c r="BO84" s="90">
        <f t="shared" ca="1" si="138"/>
        <v>996785697.31151521</v>
      </c>
    </row>
    <row r="85" spans="1:67">
      <c r="A85" s="11"/>
      <c r="B85" s="22" t="s">
        <v>544</v>
      </c>
      <c r="C85" s="22"/>
      <c r="D85" s="33"/>
      <c r="E85" s="33"/>
      <c r="F85" s="33"/>
      <c r="G85" s="89">
        <f>G84+G83</f>
        <v>500000</v>
      </c>
      <c r="H85" s="89">
        <f t="shared" ref="H85:BI85" si="139">H84+H83</f>
        <v>500000</v>
      </c>
      <c r="I85" s="89">
        <f t="shared" si="139"/>
        <v>500000</v>
      </c>
      <c r="J85" s="89">
        <f t="shared" si="139"/>
        <v>500000</v>
      </c>
      <c r="K85" s="89">
        <f t="shared" si="139"/>
        <v>500000</v>
      </c>
      <c r="L85" s="89">
        <f t="shared" si="139"/>
        <v>500000</v>
      </c>
      <c r="M85" s="89">
        <f t="shared" si="139"/>
        <v>500000</v>
      </c>
      <c r="N85" s="89">
        <f t="shared" si="139"/>
        <v>500000</v>
      </c>
      <c r="O85" s="89">
        <f t="shared" si="139"/>
        <v>500000</v>
      </c>
      <c r="P85" s="89">
        <f t="shared" si="139"/>
        <v>500000</v>
      </c>
      <c r="Q85" s="89">
        <f t="shared" si="139"/>
        <v>500000</v>
      </c>
      <c r="R85" s="89">
        <f t="shared" si="139"/>
        <v>500000</v>
      </c>
      <c r="S85" s="89">
        <f t="shared" si="139"/>
        <v>500000</v>
      </c>
      <c r="T85" s="89">
        <f t="shared" si="139"/>
        <v>500000</v>
      </c>
      <c r="U85" s="89">
        <f t="shared" si="139"/>
        <v>500000</v>
      </c>
      <c r="V85" s="89">
        <f t="shared" si="139"/>
        <v>500000</v>
      </c>
      <c r="W85" s="89">
        <f t="shared" si="139"/>
        <v>500000</v>
      </c>
      <c r="X85" s="89">
        <f t="shared" si="139"/>
        <v>500000</v>
      </c>
      <c r="Y85" s="89">
        <f t="shared" si="139"/>
        <v>500000</v>
      </c>
      <c r="Z85" s="89">
        <f t="shared" si="139"/>
        <v>500000</v>
      </c>
      <c r="AA85" s="89">
        <f t="shared" si="139"/>
        <v>500000</v>
      </c>
      <c r="AB85" s="89">
        <f t="shared" si="139"/>
        <v>500000</v>
      </c>
      <c r="AC85" s="89">
        <f t="shared" si="139"/>
        <v>500000</v>
      </c>
      <c r="AD85" s="89">
        <f t="shared" si="139"/>
        <v>500000</v>
      </c>
      <c r="AE85" s="89">
        <f t="shared" si="139"/>
        <v>500000</v>
      </c>
      <c r="AF85" s="89">
        <f t="shared" si="139"/>
        <v>500000</v>
      </c>
      <c r="AG85" s="89">
        <f t="shared" si="139"/>
        <v>500000</v>
      </c>
      <c r="AH85" s="89">
        <f t="shared" si="139"/>
        <v>500000</v>
      </c>
      <c r="AI85" s="89">
        <f t="shared" si="139"/>
        <v>500000</v>
      </c>
      <c r="AJ85" s="89">
        <f t="shared" si="139"/>
        <v>500000</v>
      </c>
      <c r="AK85" s="89">
        <f t="shared" si="139"/>
        <v>500000</v>
      </c>
      <c r="AL85" s="89">
        <f t="shared" si="139"/>
        <v>500000</v>
      </c>
      <c r="AM85" s="89">
        <f t="shared" si="139"/>
        <v>500000</v>
      </c>
      <c r="AN85" s="89">
        <f t="shared" si="139"/>
        <v>500000</v>
      </c>
      <c r="AO85" s="89">
        <f t="shared" si="139"/>
        <v>500000</v>
      </c>
      <c r="AP85" s="89">
        <f t="shared" si="139"/>
        <v>500000</v>
      </c>
      <c r="AQ85" s="89">
        <f t="shared" si="139"/>
        <v>500000</v>
      </c>
      <c r="AR85" s="89">
        <f t="shared" si="139"/>
        <v>500000</v>
      </c>
      <c r="AS85" s="89">
        <f t="shared" si="139"/>
        <v>21459041.030712649</v>
      </c>
      <c r="AT85" s="89">
        <f t="shared" si="139"/>
        <v>32347811.413072284</v>
      </c>
      <c r="AU85" s="89">
        <f t="shared" si="139"/>
        <v>48606549.209578365</v>
      </c>
      <c r="AV85" s="89">
        <f t="shared" si="139"/>
        <v>59588414.540110096</v>
      </c>
      <c r="AW85" s="89">
        <f t="shared" si="139"/>
        <v>75940781.466152519</v>
      </c>
      <c r="AX85" s="89">
        <f t="shared" si="139"/>
        <v>89677919.123580322</v>
      </c>
      <c r="AY85" s="89">
        <f t="shared" ca="1" si="139"/>
        <v>100799426.87637028</v>
      </c>
      <c r="AZ85" s="89">
        <f t="shared" ca="1" si="139"/>
        <v>117292237.49671727</v>
      </c>
      <c r="BA85" s="89">
        <f t="shared" ca="1" si="139"/>
        <v>128506840.1976794</v>
      </c>
      <c r="BB85" s="89">
        <f t="shared" ca="1" si="139"/>
        <v>145093279.94756278</v>
      </c>
      <c r="BC85" s="89">
        <f t="shared" ca="1" si="139"/>
        <v>157543249.5274702</v>
      </c>
      <c r="BD85" s="89">
        <f t="shared" ca="1" si="139"/>
        <v>163387864.5560039</v>
      </c>
      <c r="BE85" s="89">
        <f t="shared" ca="1" si="139"/>
        <v>186758922.12003058</v>
      </c>
      <c r="BF85" s="89">
        <f t="shared" ca="1" si="139"/>
        <v>198717358.53872833</v>
      </c>
      <c r="BG85" s="89">
        <f t="shared" ca="1" si="139"/>
        <v>216161132.04824322</v>
      </c>
      <c r="BH85" s="89">
        <f t="shared" ca="1" si="139"/>
        <v>228212567.03211629</v>
      </c>
      <c r="BI85" s="89">
        <f t="shared" ca="1" si="139"/>
        <v>376476331.8802197</v>
      </c>
      <c r="BJ85" s="89">
        <f t="shared" ref="BJ85" ca="1" si="140">BJ84+BJ83</f>
        <v>475302300.03478366</v>
      </c>
      <c r="BK85" s="89">
        <f t="shared" ref="BK85" ca="1" si="141">BK84+BK83</f>
        <v>581945124.0021683</v>
      </c>
      <c r="BL85" s="89">
        <f t="shared" ref="BL85" ca="1" si="142">BL84+BL83</f>
        <v>690054293.49789166</v>
      </c>
      <c r="BM85" s="89">
        <f t="shared" ref="BM85" ca="1" si="143">BM84+BM83</f>
        <v>804012826.85955906</v>
      </c>
      <c r="BN85" s="89">
        <f t="shared" ref="BN85" ca="1" si="144">BN84+BN83</f>
        <v>996785697.31151521</v>
      </c>
      <c r="BO85" s="89">
        <f t="shared" ref="BO85" ca="1" si="145">BO84+BO83</f>
        <v>1183601460.3055732</v>
      </c>
    </row>
    <row r="86" spans="1:67">
      <c r="A86" s="11"/>
      <c r="B86" s="11"/>
      <c r="C86" s="11"/>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c r="BG86" s="33"/>
      <c r="BH86" s="33"/>
      <c r="BI86" s="33"/>
      <c r="BJ86" s="33"/>
      <c r="BK86" s="33"/>
      <c r="BL86" s="33"/>
      <c r="BM86" s="33"/>
      <c r="BN86" s="33"/>
      <c r="BO86" s="33"/>
    </row>
    <row r="87" spans="1:67">
      <c r="A87" s="18" t="s">
        <v>545</v>
      </c>
      <c r="B87" s="18"/>
      <c r="C87" s="18"/>
      <c r="D87" s="39"/>
      <c r="E87" s="39"/>
      <c r="F87" s="39"/>
      <c r="G87" s="39"/>
      <c r="H87" s="39"/>
      <c r="I87" s="39"/>
      <c r="J87" s="39"/>
      <c r="K87" s="39"/>
      <c r="L87" s="39"/>
      <c r="M87" s="39"/>
      <c r="N87" s="39"/>
      <c r="O87" s="39"/>
      <c r="P87" s="39"/>
      <c r="Q87" s="39"/>
      <c r="R87" s="39"/>
      <c r="S87" s="39"/>
      <c r="T87" s="39"/>
      <c r="U87" s="39"/>
      <c r="V87" s="39"/>
      <c r="W87" s="39"/>
      <c r="X87" s="39"/>
      <c r="Y87" s="39"/>
      <c r="Z87" s="39"/>
      <c r="AA87" s="39"/>
      <c r="AB87" s="39"/>
      <c r="AC87" s="39"/>
      <c r="AD87" s="39"/>
      <c r="AE87" s="39"/>
      <c r="AF87" s="39"/>
      <c r="AG87" s="39"/>
      <c r="AH87" s="39"/>
      <c r="AI87" s="39"/>
      <c r="AJ87" s="39"/>
      <c r="AK87" s="39"/>
      <c r="AL87" s="39"/>
      <c r="AM87" s="39"/>
      <c r="AN87" s="39"/>
      <c r="AO87" s="39"/>
      <c r="AP87" s="39"/>
      <c r="AQ87" s="39"/>
      <c r="AR87" s="39"/>
      <c r="AS87" s="39"/>
      <c r="AT87" s="39"/>
      <c r="AU87" s="39"/>
      <c r="AV87" s="39"/>
      <c r="AW87" s="39"/>
      <c r="AX87" s="39"/>
      <c r="AY87" s="39"/>
      <c r="AZ87" s="39"/>
      <c r="BA87" s="39"/>
      <c r="BB87" s="39"/>
      <c r="BC87" s="39"/>
      <c r="BD87" s="39"/>
      <c r="BE87" s="39"/>
      <c r="BF87" s="39"/>
      <c r="BG87" s="39"/>
      <c r="BH87" s="39"/>
      <c r="BI87" s="39"/>
      <c r="BJ87" s="39"/>
      <c r="BK87" s="39"/>
      <c r="BL87" s="39"/>
      <c r="BM87" s="39"/>
      <c r="BN87" s="39"/>
      <c r="BO87" s="39"/>
    </row>
    <row r="88" spans="1:67">
      <c r="A88" s="11"/>
      <c r="B88" s="11"/>
      <c r="C88" s="11" t="s">
        <v>546</v>
      </c>
      <c r="D88" s="33"/>
      <c r="E88" s="33"/>
      <c r="F88" s="33"/>
      <c r="G88" s="90">
        <f>('06 Debt &amp; WC'!G$18+'06 Debt &amp; WC'!G$30)/2</f>
        <v>0</v>
      </c>
      <c r="H88" s="90">
        <f>('06 Debt &amp; WC'!H$18+'06 Debt &amp; WC'!H$30)/2</f>
        <v>0</v>
      </c>
      <c r="I88" s="90">
        <f>('06 Debt &amp; WC'!I$18+'06 Debt &amp; WC'!I$30)/2</f>
        <v>0</v>
      </c>
      <c r="J88" s="90">
        <f>('06 Debt &amp; WC'!J$18+'06 Debt &amp; WC'!J$30)/2</f>
        <v>0</v>
      </c>
      <c r="K88" s="90">
        <f>('06 Debt &amp; WC'!K$18+'06 Debt &amp; WC'!K$30)/2</f>
        <v>0</v>
      </c>
      <c r="L88" s="90">
        <f>('06 Debt &amp; WC'!L$18+'06 Debt &amp; WC'!L$30)/2</f>
        <v>0</v>
      </c>
      <c r="M88" s="90">
        <f>('06 Debt &amp; WC'!M$18+'06 Debt &amp; WC'!M$30)/2</f>
        <v>0</v>
      </c>
      <c r="N88" s="90">
        <f>('06 Debt &amp; WC'!N$18+'06 Debt &amp; WC'!N$30)/2</f>
        <v>0</v>
      </c>
      <c r="O88" s="90">
        <f>('06 Debt &amp; WC'!O$18+'06 Debt &amp; WC'!O$30)/2</f>
        <v>0</v>
      </c>
      <c r="P88" s="90">
        <f>('06 Debt &amp; WC'!P$18+'06 Debt &amp; WC'!P$30)/2</f>
        <v>0</v>
      </c>
      <c r="Q88" s="90">
        <f>('06 Debt &amp; WC'!Q$18+'06 Debt &amp; WC'!Q$30)/2</f>
        <v>31431990.808823466</v>
      </c>
      <c r="R88" s="90">
        <f>('06 Debt &amp; WC'!R$18+'06 Debt &amp; WC'!R$30)/2</f>
        <v>95925733.945312381</v>
      </c>
      <c r="S88" s="90">
        <f>('06 Debt &amp; WC'!S$18+'06 Debt &amp; WC'!S$30)/2</f>
        <v>162561656.42575145</v>
      </c>
      <c r="T88" s="90">
        <f>('06 Debt &amp; WC'!T$18+'06 Debt &amp; WC'!T$30)/2</f>
        <v>229891856.81962627</v>
      </c>
      <c r="U88" s="90">
        <f>('06 Debt &amp; WC'!U$18+'06 Debt &amp; WC'!U$30)/2</f>
        <v>297586762.46563452</v>
      </c>
      <c r="V88" s="90">
        <f>('06 Debt &amp; WC'!V$18+'06 Debt &amp; WC'!V$30)/2</f>
        <v>365648348.85055864</v>
      </c>
      <c r="W88" s="90">
        <f>('06 Debt &amp; WC'!W$18+'06 Debt &amp; WC'!W$30)/2</f>
        <v>434078602.16173446</v>
      </c>
      <c r="X88" s="90">
        <f>('06 Debt &amp; WC'!X$18+'06 Debt &amp; WC'!X$30)/2</f>
        <v>502879519.34501255</v>
      </c>
      <c r="Y88" s="90">
        <f>('06 Debt &amp; WC'!Y$18+'06 Debt &amp; WC'!Y$30)/2</f>
        <v>572053108.16303325</v>
      </c>
      <c r="Z88" s="90">
        <f>('06 Debt &amp; WC'!Z$18+'06 Debt &amp; WC'!Z$30)/2</f>
        <v>641601387.25381839</v>
      </c>
      <c r="AA88" s="90">
        <f>('06 Debt &amp; WC'!AA$18+'06 Debt &amp; WC'!AA$30)/2</f>
        <v>711757886.18967855</v>
      </c>
      <c r="AB88" s="90">
        <f>('06 Debt &amp; WC'!AB$18+'06 Debt &amp; WC'!AB$30)/2</f>
        <v>747046320.00065517</v>
      </c>
      <c r="AC88" s="90">
        <f>('06 Debt &amp; WC'!AC$18+'06 Debt &amp; WC'!AC$30)/2</f>
        <v>747046320.00065517</v>
      </c>
      <c r="AD88" s="90">
        <f>('06 Debt &amp; WC'!AD$18+'06 Debt &amp; WC'!AD$30)/2</f>
        <v>747046320.00065517</v>
      </c>
      <c r="AE88" s="90">
        <f>('06 Debt &amp; WC'!AE$18+'06 Debt &amp; WC'!AE$30)/2</f>
        <v>747046320.00065517</v>
      </c>
      <c r="AF88" s="90">
        <f>('06 Debt &amp; WC'!AF$18+'06 Debt &amp; WC'!AF$30)/2</f>
        <v>747046320.00065517</v>
      </c>
      <c r="AG88" s="90">
        <f>('06 Debt &amp; WC'!AG$18+'06 Debt &amp; WC'!AG$30)/2</f>
        <v>747046320.00065517</v>
      </c>
      <c r="AH88" s="90">
        <f>('06 Debt &amp; WC'!AH$18+'06 Debt &amp; WC'!AH$30)/2</f>
        <v>747046320.00065517</v>
      </c>
      <c r="AI88" s="90">
        <f>('06 Debt &amp; WC'!AI$18+'06 Debt &amp; WC'!AI$30)/2</f>
        <v>747046320.00065517</v>
      </c>
      <c r="AJ88" s="90">
        <f>('06 Debt &amp; WC'!AJ$18+'06 Debt &amp; WC'!AJ$30)/2</f>
        <v>747046320.00065517</v>
      </c>
      <c r="AK88" s="90">
        <f>('06 Debt &amp; WC'!AK$18+'06 Debt &amp; WC'!AK$30)/2</f>
        <v>747046320.00065517</v>
      </c>
      <c r="AL88" s="90">
        <f>('06 Debt &amp; WC'!AL$18+'06 Debt &amp; WC'!AL$30)/2</f>
        <v>747046320.00065517</v>
      </c>
      <c r="AM88" s="90">
        <f>('06 Debt &amp; WC'!AM$18+'06 Debt &amp; WC'!AM$30)/2</f>
        <v>747046320.00065517</v>
      </c>
      <c r="AN88" s="90">
        <f>('06 Debt &amp; WC'!AN$18+'06 Debt &amp; WC'!AN$30)/2</f>
        <v>742599615.71493697</v>
      </c>
      <c r="AO88" s="90">
        <f>('06 Debt &amp; WC'!AO$18+'06 Debt &amp; WC'!AO$30)/2</f>
        <v>733706207.14350057</v>
      </c>
      <c r="AP88" s="90">
        <f>('06 Debt &amp; WC'!AP$18+'06 Debt &amp; WC'!AP$30)/2</f>
        <v>724812798.57206416</v>
      </c>
      <c r="AQ88" s="90">
        <f>('06 Debt &amp; WC'!AQ$18+'06 Debt &amp; WC'!AQ$30)/2</f>
        <v>715919390.00062776</v>
      </c>
      <c r="AR88" s="90">
        <f>('06 Debt &amp; WC'!AR$18+'06 Debt &amp; WC'!AR$30)/2</f>
        <v>707025981.42919135</v>
      </c>
      <c r="AS88" s="90">
        <f>('06 Debt &amp; WC'!AS$18+'06 Debt &amp; WC'!AS$30)/2</f>
        <v>698132572.85775495</v>
      </c>
      <c r="AT88" s="90">
        <f>('06 Debt &amp; WC'!AT$18+'06 Debt &amp; WC'!AT$30)/2</f>
        <v>689239164.28631854</v>
      </c>
      <c r="AU88" s="90">
        <f>('06 Debt &amp; WC'!AU$18+'06 Debt &amp; WC'!AU$30)/2</f>
        <v>680345755.71488214</v>
      </c>
      <c r="AV88" s="90">
        <f>('06 Debt &amp; WC'!AV$18+'06 Debt &amp; WC'!AV$30)/2</f>
        <v>671452347.14344573</v>
      </c>
      <c r="AW88" s="90">
        <f>('06 Debt &amp; WC'!AW$18+'06 Debt &amp; WC'!AW$30)/2</f>
        <v>662558938.57200933</v>
      </c>
      <c r="AX88" s="90">
        <f>('06 Debt &amp; WC'!AX$18+'06 Debt &amp; WC'!AX$30)/2</f>
        <v>653665530.00057292</v>
      </c>
      <c r="AY88" s="90">
        <f>('06 Debt &amp; WC'!AY$18+'06 Debt &amp; WC'!AY$30)/2</f>
        <v>644772121.42913651</v>
      </c>
      <c r="AZ88" s="90">
        <f>('06 Debt &amp; WC'!AZ$18+'06 Debt &amp; WC'!AZ$30)/2</f>
        <v>635878712.85770011</v>
      </c>
      <c r="BA88" s="90">
        <f>('06 Debt &amp; WC'!BA$18+'06 Debt &amp; WC'!BA$30)/2</f>
        <v>626985304.2862637</v>
      </c>
      <c r="BB88" s="90">
        <f>('06 Debt &amp; WC'!BB$18+'06 Debt &amp; WC'!BB$30)/2</f>
        <v>618091895.7148273</v>
      </c>
      <c r="BC88" s="90">
        <f>('06 Debt &amp; WC'!BC$18+'06 Debt &amp; WC'!BC$30)/2</f>
        <v>609198487.14339089</v>
      </c>
      <c r="BD88" s="90">
        <f>('06 Debt &amp; WC'!BD$18+'06 Debt &amp; WC'!BD$30)/2</f>
        <v>600305078.57195449</v>
      </c>
      <c r="BE88" s="90">
        <f>('06 Debt &amp; WC'!BE$18+'06 Debt &amp; WC'!BE$30)/2</f>
        <v>591411670.00051808</v>
      </c>
      <c r="BF88" s="90">
        <f>('06 Debt &amp; WC'!BF$18+'06 Debt &amp; WC'!BF$30)/2</f>
        <v>582518261.42908168</v>
      </c>
      <c r="BG88" s="90">
        <f>('06 Debt &amp; WC'!BG$18+'06 Debt &amp; WC'!BG$30)/2</f>
        <v>573624852.85764527</v>
      </c>
      <c r="BH88" s="90">
        <f>('06 Debt &amp; WC'!BH$18+'06 Debt &amp; WC'!BH$30)/2</f>
        <v>564731444.28620887</v>
      </c>
      <c r="BI88" s="90">
        <f>('06 Debt &amp; WC'!BI$18+'06 Debt &amp; WC'!BI$30)/2</f>
        <v>506924288.57187247</v>
      </c>
      <c r="BJ88" s="90">
        <f>('06 Debt &amp; WC'!BJ$18+'06 Debt &amp; WC'!BJ$30)/2</f>
        <v>400203385.71463597</v>
      </c>
      <c r="BK88" s="90">
        <f>('06 Debt &amp; WC'!BK$18+'06 Debt &amp; WC'!BK$30)/2</f>
        <v>293482482.85739958</v>
      </c>
      <c r="BL88" s="90">
        <f>('06 Debt &amp; WC'!BL$18+'06 Debt &amp; WC'!BL$30)/2</f>
        <v>186761580.00016311</v>
      </c>
      <c r="BM88" s="90">
        <f>('06 Debt &amp; WC'!BM$18+'06 Debt &amp; WC'!BM$30)/2</f>
        <v>80040677.142926633</v>
      </c>
      <c r="BN88" s="63">
        <f>('06 Debt &amp; WC'!BN$18+'06 Debt &amp; WC'!BN$30)/2</f>
        <v>26680225.714308411</v>
      </c>
      <c r="BO88" s="63">
        <f>('06 Debt &amp; WC'!BO$18+'06 Debt &amp; WC'!BO$30)/2</f>
        <v>26680225.714308411</v>
      </c>
    </row>
    <row r="89" spans="1:67">
      <c r="A89" s="11"/>
      <c r="B89" s="11"/>
      <c r="C89" s="11" t="s">
        <v>547</v>
      </c>
      <c r="D89" s="33"/>
      <c r="E89" s="33"/>
      <c r="F89" s="33"/>
      <c r="G89" s="90">
        <f>G63</f>
        <v>23567420.516129032</v>
      </c>
      <c r="H89" s="90">
        <f>(G63+H63)/2</f>
        <v>35253298.972350232</v>
      </c>
      <c r="I89" s="90">
        <f t="shared" ref="I89:BI89" si="146">(H63+I63)/2</f>
        <v>58660298.972350232</v>
      </c>
      <c r="J89" s="90">
        <f t="shared" si="146"/>
        <v>205144438.25806451</v>
      </c>
      <c r="K89" s="90">
        <f t="shared" si="146"/>
        <v>367269673.5521822</v>
      </c>
      <c r="L89" s="90">
        <f t="shared" si="146"/>
        <v>421983144.14041746</v>
      </c>
      <c r="M89" s="90">
        <f t="shared" si="146"/>
        <v>476701614.72865272</v>
      </c>
      <c r="N89" s="90">
        <f t="shared" si="146"/>
        <v>531430567.57495254</v>
      </c>
      <c r="O89" s="90">
        <f t="shared" si="146"/>
        <v>586148555.90512323</v>
      </c>
      <c r="P89" s="90">
        <f t="shared" si="146"/>
        <v>646208590.67346609</v>
      </c>
      <c r="Q89" s="90">
        <f t="shared" si="146"/>
        <v>690907632.95287788</v>
      </c>
      <c r="R89" s="90">
        <f t="shared" si="146"/>
        <v>702782260.03225803</v>
      </c>
      <c r="S89" s="90">
        <f t="shared" si="146"/>
        <v>702713222.97935486</v>
      </c>
      <c r="T89" s="90">
        <f t="shared" si="146"/>
        <v>702434788.59330368</v>
      </c>
      <c r="U89" s="90">
        <f t="shared" si="146"/>
        <v>702143780.52878761</v>
      </c>
      <c r="V89" s="90">
        <f t="shared" si="146"/>
        <v>702109545.40091395</v>
      </c>
      <c r="W89" s="90">
        <f t="shared" si="146"/>
        <v>702056852.15494633</v>
      </c>
      <c r="X89" s="90">
        <f t="shared" si="146"/>
        <v>702062216.73827958</v>
      </c>
      <c r="Y89" s="90">
        <f t="shared" si="146"/>
        <v>702067413.31086028</v>
      </c>
      <c r="Z89" s="90">
        <f t="shared" si="146"/>
        <v>702050082.80145168</v>
      </c>
      <c r="AA89" s="90">
        <f t="shared" si="146"/>
        <v>701892579.31859732</v>
      </c>
      <c r="AB89" s="90">
        <f t="shared" si="146"/>
        <v>685181163.42867899</v>
      </c>
      <c r="AC89" s="90">
        <f t="shared" si="146"/>
        <v>661477470.0351522</v>
      </c>
      <c r="AD89" s="90">
        <f t="shared" si="146"/>
        <v>648423685.61467779</v>
      </c>
      <c r="AE89" s="90">
        <f t="shared" si="146"/>
        <v>637746364.51580405</v>
      </c>
      <c r="AF89" s="90">
        <f t="shared" si="146"/>
        <v>629810233.5083046</v>
      </c>
      <c r="AG89" s="90">
        <f t="shared" si="146"/>
        <v>624605045.4219867</v>
      </c>
      <c r="AH89" s="90">
        <f t="shared" si="146"/>
        <v>621840265.98552036</v>
      </c>
      <c r="AI89" s="90">
        <f t="shared" si="146"/>
        <v>621538724.37997341</v>
      </c>
      <c r="AJ89" s="90">
        <f t="shared" si="146"/>
        <v>623690885.50308084</v>
      </c>
      <c r="AK89" s="90">
        <f t="shared" si="146"/>
        <v>628310193.98495328</v>
      </c>
      <c r="AL89" s="90">
        <f t="shared" si="146"/>
        <v>635412128.27146411</v>
      </c>
      <c r="AM89" s="90">
        <f t="shared" ca="1" si="146"/>
        <v>645016766.83922827</v>
      </c>
      <c r="AN89" s="90">
        <f t="shared" ca="1" si="146"/>
        <v>657126150.00453973</v>
      </c>
      <c r="AO89" s="90">
        <f t="shared" ca="1" si="146"/>
        <v>670533927.44471872</v>
      </c>
      <c r="AP89" s="90">
        <f t="shared" ca="1" si="146"/>
        <v>684070032.18028235</v>
      </c>
      <c r="AQ89" s="90">
        <f t="shared" ca="1" si="146"/>
        <v>698031417.27906466</v>
      </c>
      <c r="AR89" s="90">
        <f t="shared" ca="1" si="146"/>
        <v>712386810.90486622</v>
      </c>
      <c r="AS89" s="90">
        <f t="shared" ca="1" si="146"/>
        <v>726825868.89910233</v>
      </c>
      <c r="AT89" s="90">
        <f t="shared" ca="1" si="146"/>
        <v>741318923.54755044</v>
      </c>
      <c r="AU89" s="90">
        <f t="shared" ca="1" si="146"/>
        <v>755851776.93051219</v>
      </c>
      <c r="AV89" s="90">
        <f t="shared" ca="1" si="146"/>
        <v>770421241.88845658</v>
      </c>
      <c r="AW89" s="90">
        <f t="shared" ca="1" si="146"/>
        <v>785027318.4213835</v>
      </c>
      <c r="AX89" s="90">
        <f t="shared" ca="1" si="146"/>
        <v>799670006.5292933</v>
      </c>
      <c r="AY89" s="90">
        <f t="shared" ca="1" si="146"/>
        <v>798064036.89580321</v>
      </c>
      <c r="AZ89" s="90">
        <f t="shared" ca="1" si="146"/>
        <v>796494678.83729601</v>
      </c>
      <c r="BA89" s="90">
        <f t="shared" ca="1" si="146"/>
        <v>811247201.67015374</v>
      </c>
      <c r="BB89" s="90">
        <f t="shared" ca="1" si="146"/>
        <v>826036336.07799411</v>
      </c>
      <c r="BC89" s="90">
        <f t="shared" ca="1" si="146"/>
        <v>841145774.97072303</v>
      </c>
      <c r="BD89" s="90">
        <f t="shared" ca="1" si="146"/>
        <v>856575495.00558329</v>
      </c>
      <c r="BE89" s="90">
        <f t="shared" ca="1" si="146"/>
        <v>872041779.92991221</v>
      </c>
      <c r="BF89" s="90">
        <f t="shared" ca="1" si="146"/>
        <v>887544629.74370968</v>
      </c>
      <c r="BG89" s="90">
        <f t="shared" ca="1" si="146"/>
        <v>903084044.44697583</v>
      </c>
      <c r="BH89" s="90">
        <f t="shared" ca="1" si="146"/>
        <v>918660024.03971052</v>
      </c>
      <c r="BI89" s="90">
        <f t="shared" ca="1" si="146"/>
        <v>974471639.9529326</v>
      </c>
      <c r="BJ89" s="90">
        <f t="shared" ref="BJ89:BO89" ca="1" si="147">(BI63+BJ63)/2</f>
        <v>1073555814.5196224</v>
      </c>
      <c r="BK89" s="90">
        <f t="shared" ca="1" si="147"/>
        <v>1181842580.7802312</v>
      </c>
      <c r="BL89" s="90">
        <f t="shared" ca="1" si="147"/>
        <v>1300390775.5383935</v>
      </c>
      <c r="BM89" s="90">
        <f t="shared" ca="1" si="147"/>
        <v>1426158122.4362545</v>
      </c>
      <c r="BN89" s="90">
        <f t="shared" ca="1" si="147"/>
        <v>1549374835.3285775</v>
      </c>
      <c r="BO89" s="90">
        <f t="shared" ca="1" si="147"/>
        <v>1661996914.0438724</v>
      </c>
    </row>
    <row r="90" spans="1:67">
      <c r="A90" s="11"/>
      <c r="B90" s="11"/>
      <c r="C90" s="11" t="s">
        <v>548</v>
      </c>
      <c r="D90" s="33"/>
      <c r="E90" s="33"/>
      <c r="F90" s="33"/>
      <c r="G90" s="6">
        <f>IF(G88+G89=0,0,G88/(G88+G89))</f>
        <v>0</v>
      </c>
      <c r="H90" s="6">
        <f t="shared" ref="H90:BI90" si="148">IF(H88+H89=0,0,H88/(H88+H89))</f>
        <v>0</v>
      </c>
      <c r="I90" s="6">
        <f t="shared" si="148"/>
        <v>0</v>
      </c>
      <c r="J90" s="6">
        <f t="shared" si="148"/>
        <v>0</v>
      </c>
      <c r="K90" s="6">
        <f t="shared" si="148"/>
        <v>0</v>
      </c>
      <c r="L90" s="6">
        <f t="shared" si="148"/>
        <v>0</v>
      </c>
      <c r="M90" s="6">
        <f t="shared" si="148"/>
        <v>0</v>
      </c>
      <c r="N90" s="6">
        <f t="shared" si="148"/>
        <v>0</v>
      </c>
      <c r="O90" s="6">
        <f t="shared" si="148"/>
        <v>0</v>
      </c>
      <c r="P90" s="6">
        <f t="shared" si="148"/>
        <v>0</v>
      </c>
      <c r="Q90" s="6">
        <f t="shared" si="148"/>
        <v>4.3514144558672072E-2</v>
      </c>
      <c r="R90" s="6">
        <f t="shared" si="148"/>
        <v>0.12010113166340264</v>
      </c>
      <c r="S90" s="6">
        <f t="shared" si="148"/>
        <v>0.18787284861143297</v>
      </c>
      <c r="T90" s="6">
        <f t="shared" si="148"/>
        <v>0.24657866205015147</v>
      </c>
      <c r="U90" s="6">
        <f t="shared" si="148"/>
        <v>0.29766697091627703</v>
      </c>
      <c r="V90" s="6">
        <f t="shared" si="148"/>
        <v>0.34244499695962266</v>
      </c>
      <c r="W90" s="6">
        <f t="shared" si="148"/>
        <v>0.38206588880971715</v>
      </c>
      <c r="X90" s="6">
        <f t="shared" si="148"/>
        <v>0.41734758145206352</v>
      </c>
      <c r="Y90" s="6">
        <f t="shared" si="148"/>
        <v>0.44897880421962455</v>
      </c>
      <c r="Z90" s="6">
        <f t="shared" si="148"/>
        <v>0.47750581274430232</v>
      </c>
      <c r="AA90" s="6">
        <f t="shared" si="148"/>
        <v>0.50348930202754683</v>
      </c>
      <c r="AB90" s="6">
        <f t="shared" si="148"/>
        <v>0.521597531568046</v>
      </c>
      <c r="AC90" s="6">
        <f t="shared" si="148"/>
        <v>0.53037536553192599</v>
      </c>
      <c r="AD90" s="6">
        <f t="shared" si="148"/>
        <v>0.53533670877522355</v>
      </c>
      <c r="AE90" s="6">
        <f t="shared" si="148"/>
        <v>0.53946437495913568</v>
      </c>
      <c r="AF90" s="6">
        <f t="shared" si="148"/>
        <v>0.54257382012438804</v>
      </c>
      <c r="AG90" s="6">
        <f t="shared" si="148"/>
        <v>0.54463279724908131</v>
      </c>
      <c r="AH90" s="6">
        <f t="shared" si="148"/>
        <v>0.54573280770551702</v>
      </c>
      <c r="AI90" s="6">
        <f t="shared" si="148"/>
        <v>0.54585304951855651</v>
      </c>
      <c r="AJ90" s="6">
        <f t="shared" si="148"/>
        <v>0.54499601893137573</v>
      </c>
      <c r="AK90" s="6">
        <f t="shared" si="148"/>
        <v>0.54316558099965639</v>
      </c>
      <c r="AL90" s="6">
        <f t="shared" si="148"/>
        <v>0.54037524305657003</v>
      </c>
      <c r="AM90" s="6">
        <f t="shared" ca="1" si="148"/>
        <v>0.53664688552048456</v>
      </c>
      <c r="AN90" s="6">
        <f t="shared" ca="1" si="148"/>
        <v>0.53053221845439946</v>
      </c>
      <c r="AO90" s="6">
        <f t="shared" ca="1" si="148"/>
        <v>0.52249340342252315</v>
      </c>
      <c r="AP90" s="6">
        <f t="shared" ca="1" si="148"/>
        <v>0.51445924583026714</v>
      </c>
      <c r="AQ90" s="6">
        <f t="shared" ca="1" si="148"/>
        <v>0.50632552866389247</v>
      </c>
      <c r="AR90" s="6">
        <f t="shared" ca="1" si="148"/>
        <v>0.49811160308522384</v>
      </c>
      <c r="AS90" s="6">
        <f t="shared" ca="1" si="148"/>
        <v>0.489931883204267</v>
      </c>
      <c r="AT90" s="6">
        <f t="shared" ca="1" si="148"/>
        <v>0.48179739791619008</v>
      </c>
      <c r="AU90" s="6">
        <f t="shared" ca="1" si="148"/>
        <v>0.47371321858611182</v>
      </c>
      <c r="AV90" s="6">
        <f t="shared" ca="1" si="148"/>
        <v>0.46568045371735389</v>
      </c>
      <c r="AW90" s="6">
        <f t="shared" ca="1" si="148"/>
        <v>0.4576991079952159</v>
      </c>
      <c r="AX90" s="6">
        <f t="shared" ca="1" si="148"/>
        <v>0.44976917825964136</v>
      </c>
      <c r="AY90" s="6">
        <f t="shared" ca="1" si="148"/>
        <v>0.44687826660629615</v>
      </c>
      <c r="AZ90" s="6">
        <f t="shared" ca="1" si="148"/>
        <v>0.44393362550894244</v>
      </c>
      <c r="BA90" s="6">
        <f t="shared" ca="1" si="148"/>
        <v>0.43594154748249242</v>
      </c>
      <c r="BB90" s="6">
        <f t="shared" ca="1" si="148"/>
        <v>0.42800347095734947</v>
      </c>
      <c r="BC90" s="6">
        <f t="shared" ca="1" si="148"/>
        <v>0.42003716156010057</v>
      </c>
      <c r="BD90" s="6">
        <f t="shared" ca="1" si="148"/>
        <v>0.41204824160558085</v>
      </c>
      <c r="BE90" s="6">
        <f t="shared" ca="1" si="148"/>
        <v>0.40412058889104574</v>
      </c>
      <c r="BF90" s="6">
        <f t="shared" ca="1" si="148"/>
        <v>0.39625397316461636</v>
      </c>
      <c r="BG90" s="6">
        <f t="shared" ca="1" si="148"/>
        <v>0.38844815921720266</v>
      </c>
      <c r="BH90" s="6">
        <f t="shared" ca="1" si="148"/>
        <v>0.38070290705091908</v>
      </c>
      <c r="BI90" s="6">
        <f t="shared" ca="1" si="148"/>
        <v>0.34219365586934941</v>
      </c>
      <c r="BJ90" s="6">
        <f t="shared" ref="BJ90" ca="1" si="149">IF(BJ88+BJ89=0,0,BJ88/(BJ88+BJ89))</f>
        <v>0.27155276496392522</v>
      </c>
      <c r="BK90" s="6">
        <f t="shared" ref="BK90" ca="1" si="150">IF(BK88+BK89=0,0,BK88/(BK88+BK89))</f>
        <v>0.19892733478937541</v>
      </c>
      <c r="BL90" s="6">
        <f t="shared" ref="BL90" ca="1" si="151">IF(BL88+BL89=0,0,BL88/(BL88+BL89))</f>
        <v>0.12558335351762218</v>
      </c>
      <c r="BM90" s="6">
        <f t="shared" ref="BM90" ca="1" si="152">IF(BM88+BM89=0,0,BM88/(BM88+BM89))</f>
        <v>5.3140845129666353E-2</v>
      </c>
      <c r="BN90" s="6">
        <f t="shared" ref="BN90" ca="1" si="153">IF(BN88+BN89=0,0,BN88/(BN88+BN89))</f>
        <v>1.6928485795828688E-2</v>
      </c>
      <c r="BO90" s="6">
        <f t="shared" ref="BO90" ca="1" si="154">IF(BO88+BO89=0,0,BO88/(BO88+BO89))</f>
        <v>1.5799482971699984E-2</v>
      </c>
    </row>
    <row r="91" spans="1:67">
      <c r="A91" s="11"/>
      <c r="B91" s="11"/>
      <c r="C91" s="11" t="s">
        <v>549</v>
      </c>
      <c r="D91" s="33"/>
      <c r="E91" s="33"/>
      <c r="F91" s="33"/>
      <c r="G91" s="6">
        <f>IF(G88+G89=0,0,G89/(G88+G89))</f>
        <v>1</v>
      </c>
      <c r="H91" s="6">
        <f t="shared" ref="H91:BI91" si="155">IF(H88+H89=0,0,H89/(H88+H89))</f>
        <v>1</v>
      </c>
      <c r="I91" s="6">
        <f t="shared" si="155"/>
        <v>1</v>
      </c>
      <c r="J91" s="6">
        <f t="shared" si="155"/>
        <v>1</v>
      </c>
      <c r="K91" s="6">
        <f t="shared" si="155"/>
        <v>1</v>
      </c>
      <c r="L91" s="6">
        <f t="shared" si="155"/>
        <v>1</v>
      </c>
      <c r="M91" s="6">
        <f t="shared" si="155"/>
        <v>1</v>
      </c>
      <c r="N91" s="6">
        <f t="shared" si="155"/>
        <v>1</v>
      </c>
      <c r="O91" s="6">
        <f t="shared" si="155"/>
        <v>1</v>
      </c>
      <c r="P91" s="6">
        <f t="shared" si="155"/>
        <v>1</v>
      </c>
      <c r="Q91" s="6">
        <f t="shared" si="155"/>
        <v>0.95648585544132791</v>
      </c>
      <c r="R91" s="6">
        <f t="shared" si="155"/>
        <v>0.87989886833659736</v>
      </c>
      <c r="S91" s="6">
        <f t="shared" si="155"/>
        <v>0.81212715138856706</v>
      </c>
      <c r="T91" s="6">
        <f t="shared" si="155"/>
        <v>0.75342133794984845</v>
      </c>
      <c r="U91" s="6">
        <f t="shared" si="155"/>
        <v>0.70233302908372286</v>
      </c>
      <c r="V91" s="6">
        <f t="shared" si="155"/>
        <v>0.65755500304037728</v>
      </c>
      <c r="W91" s="6">
        <f t="shared" si="155"/>
        <v>0.61793411119028274</v>
      </c>
      <c r="X91" s="6">
        <f t="shared" si="155"/>
        <v>0.58265241854793659</v>
      </c>
      <c r="Y91" s="6">
        <f t="shared" si="155"/>
        <v>0.55102119578037534</v>
      </c>
      <c r="Z91" s="6">
        <f t="shared" si="155"/>
        <v>0.52249418725569763</v>
      </c>
      <c r="AA91" s="6">
        <f t="shared" si="155"/>
        <v>0.49651069797245306</v>
      </c>
      <c r="AB91" s="6">
        <f t="shared" si="155"/>
        <v>0.478402468431954</v>
      </c>
      <c r="AC91" s="6">
        <f t="shared" si="155"/>
        <v>0.46962463446807395</v>
      </c>
      <c r="AD91" s="6">
        <f t="shared" si="155"/>
        <v>0.46466329122477634</v>
      </c>
      <c r="AE91" s="6">
        <f t="shared" si="155"/>
        <v>0.46053562504086437</v>
      </c>
      <c r="AF91" s="6">
        <f t="shared" si="155"/>
        <v>0.45742617987561196</v>
      </c>
      <c r="AG91" s="6">
        <f t="shared" si="155"/>
        <v>0.4553672027509188</v>
      </c>
      <c r="AH91" s="6">
        <f t="shared" si="155"/>
        <v>0.45426719229448304</v>
      </c>
      <c r="AI91" s="6">
        <f t="shared" si="155"/>
        <v>0.45414695048144343</v>
      </c>
      <c r="AJ91" s="6">
        <f t="shared" si="155"/>
        <v>0.45500398106862427</v>
      </c>
      <c r="AK91" s="6">
        <f t="shared" si="155"/>
        <v>0.45683441900034349</v>
      </c>
      <c r="AL91" s="6">
        <f t="shared" si="155"/>
        <v>0.45962475694342991</v>
      </c>
      <c r="AM91" s="6">
        <f t="shared" ca="1" si="155"/>
        <v>0.46335311447951555</v>
      </c>
      <c r="AN91" s="6">
        <f t="shared" ca="1" si="155"/>
        <v>0.46946778154560054</v>
      </c>
      <c r="AO91" s="6">
        <f t="shared" ca="1" si="155"/>
        <v>0.47750659657747696</v>
      </c>
      <c r="AP91" s="6">
        <f t="shared" ca="1" si="155"/>
        <v>0.4855407541697328</v>
      </c>
      <c r="AQ91" s="6">
        <f t="shared" ca="1" si="155"/>
        <v>0.49367447133610753</v>
      </c>
      <c r="AR91" s="6">
        <f t="shared" ca="1" si="155"/>
        <v>0.50188839691477616</v>
      </c>
      <c r="AS91" s="6">
        <f t="shared" ca="1" si="155"/>
        <v>0.51006811679573294</v>
      </c>
      <c r="AT91" s="6">
        <f t="shared" ca="1" si="155"/>
        <v>0.51820260208380997</v>
      </c>
      <c r="AU91" s="6">
        <f t="shared" ca="1" si="155"/>
        <v>0.52628678141388818</v>
      </c>
      <c r="AV91" s="6">
        <f t="shared" ca="1" si="155"/>
        <v>0.53431954628264611</v>
      </c>
      <c r="AW91" s="6">
        <f t="shared" ca="1" si="155"/>
        <v>0.54230089200478404</v>
      </c>
      <c r="AX91" s="6">
        <f t="shared" ca="1" si="155"/>
        <v>0.55023082174035864</v>
      </c>
      <c r="AY91" s="6">
        <f t="shared" ca="1" si="155"/>
        <v>0.55312173339370385</v>
      </c>
      <c r="AZ91" s="6">
        <f t="shared" ca="1" si="155"/>
        <v>0.55606637449105756</v>
      </c>
      <c r="BA91" s="6">
        <f t="shared" ca="1" si="155"/>
        <v>0.56405845251750752</v>
      </c>
      <c r="BB91" s="6">
        <f t="shared" ca="1" si="155"/>
        <v>0.57199652904265053</v>
      </c>
      <c r="BC91" s="6">
        <f t="shared" ca="1" si="155"/>
        <v>0.57996283843989949</v>
      </c>
      <c r="BD91" s="6">
        <f t="shared" ca="1" si="155"/>
        <v>0.58795175839441915</v>
      </c>
      <c r="BE91" s="6">
        <f t="shared" ca="1" si="155"/>
        <v>0.59587941110895415</v>
      </c>
      <c r="BF91" s="6">
        <f t="shared" ca="1" si="155"/>
        <v>0.60374602683538359</v>
      </c>
      <c r="BG91" s="6">
        <f t="shared" ca="1" si="155"/>
        <v>0.61155184078279723</v>
      </c>
      <c r="BH91" s="6">
        <f t="shared" ca="1" si="155"/>
        <v>0.61929709294908086</v>
      </c>
      <c r="BI91" s="6">
        <f t="shared" ca="1" si="155"/>
        <v>0.65780634413065064</v>
      </c>
      <c r="BJ91" s="6">
        <f t="shared" ref="BJ91:BO91" ca="1" si="156">IF(BJ88+BJ89=0,0,BJ89/(BJ88+BJ89))</f>
        <v>0.72844723503607478</v>
      </c>
      <c r="BK91" s="6">
        <f t="shared" ca="1" si="156"/>
        <v>0.80107266521062448</v>
      </c>
      <c r="BL91" s="6">
        <f t="shared" ca="1" si="156"/>
        <v>0.87441664648237782</v>
      </c>
      <c r="BM91" s="6">
        <f t="shared" ca="1" si="156"/>
        <v>0.94685915487033356</v>
      </c>
      <c r="BN91" s="6">
        <f t="shared" ca="1" si="156"/>
        <v>0.98307151420417127</v>
      </c>
      <c r="BO91" s="6">
        <f t="shared" ca="1" si="156"/>
        <v>0.98420051702829991</v>
      </c>
    </row>
    <row r="92" spans="1:67">
      <c r="A92" s="11"/>
      <c r="B92" s="11"/>
      <c r="C92" s="11" t="s">
        <v>550</v>
      </c>
      <c r="D92" s="33"/>
      <c r="E92" s="33"/>
      <c r="F92" s="33"/>
      <c r="G92" s="6">
        <f>'06 Debt &amp; WC'!G$21</f>
        <v>7.0000000000000007E-2</v>
      </c>
      <c r="H92" s="6">
        <f>'06 Debt &amp; WC'!H$21</f>
        <v>7.0000000000000007E-2</v>
      </c>
      <c r="I92" s="6">
        <f>'06 Debt &amp; WC'!I$21</f>
        <v>7.0000000000000007E-2</v>
      </c>
      <c r="J92" s="6">
        <f>'06 Debt &amp; WC'!J$21</f>
        <v>7.0000000000000007E-2</v>
      </c>
      <c r="K92" s="6">
        <f>'06 Debt &amp; WC'!K$21</f>
        <v>7.0000000000000007E-2</v>
      </c>
      <c r="L92" s="6">
        <f>'06 Debt &amp; WC'!L$21</f>
        <v>7.0000000000000007E-2</v>
      </c>
      <c r="M92" s="6">
        <f>'06 Debt &amp; WC'!M$21</f>
        <v>7.0000000000000007E-2</v>
      </c>
      <c r="N92" s="6">
        <f>'06 Debt &amp; WC'!N$21</f>
        <v>7.0000000000000007E-2</v>
      </c>
      <c r="O92" s="6">
        <f>'06 Debt &amp; WC'!O$21</f>
        <v>7.0000000000000007E-2</v>
      </c>
      <c r="P92" s="6">
        <f>'06 Debt &amp; WC'!P$21</f>
        <v>7.0000000000000007E-2</v>
      </c>
      <c r="Q92" s="6">
        <f>'06 Debt &amp; WC'!Q$21</f>
        <v>7.0000000000000007E-2</v>
      </c>
      <c r="R92" s="6">
        <f>'06 Debt &amp; WC'!R$21</f>
        <v>7.0000000000000007E-2</v>
      </c>
      <c r="S92" s="6">
        <f>'06 Debt &amp; WC'!S$21</f>
        <v>7.0000000000000007E-2</v>
      </c>
      <c r="T92" s="6">
        <f>'06 Debt &amp; WC'!T$21</f>
        <v>7.0000000000000007E-2</v>
      </c>
      <c r="U92" s="6">
        <f>'06 Debt &amp; WC'!U$21</f>
        <v>7.0000000000000007E-2</v>
      </c>
      <c r="V92" s="6">
        <f>'06 Debt &amp; WC'!V$21</f>
        <v>7.0000000000000007E-2</v>
      </c>
      <c r="W92" s="6">
        <f>'06 Debt &amp; WC'!W$21</f>
        <v>7.0000000000000007E-2</v>
      </c>
      <c r="X92" s="6">
        <f>'06 Debt &amp; WC'!X$21</f>
        <v>7.0000000000000007E-2</v>
      </c>
      <c r="Y92" s="6">
        <f>'06 Debt &amp; WC'!Y$21</f>
        <v>7.0000000000000007E-2</v>
      </c>
      <c r="Z92" s="6">
        <f>'06 Debt &amp; WC'!Z$21</f>
        <v>7.0000000000000007E-2</v>
      </c>
      <c r="AA92" s="6">
        <f>'06 Debt &amp; WC'!AA$21</f>
        <v>7.0000000000000007E-2</v>
      </c>
      <c r="AB92" s="6">
        <f>'06 Debt &amp; WC'!AB$21</f>
        <v>7.0000000000000007E-2</v>
      </c>
      <c r="AC92" s="6">
        <f>'06 Debt &amp; WC'!AC$21</f>
        <v>7.0000000000000007E-2</v>
      </c>
      <c r="AD92" s="6">
        <f>'06 Debt &amp; WC'!AD$21</f>
        <v>7.0000000000000007E-2</v>
      </c>
      <c r="AE92" s="6">
        <f>'06 Debt &amp; WC'!AE$21</f>
        <v>7.0000000000000007E-2</v>
      </c>
      <c r="AF92" s="6">
        <f>'06 Debt &amp; WC'!AF$21</f>
        <v>7.0000000000000007E-2</v>
      </c>
      <c r="AG92" s="6">
        <f>'06 Debt &amp; WC'!AG$21</f>
        <v>7.0000000000000007E-2</v>
      </c>
      <c r="AH92" s="6">
        <f>'06 Debt &amp; WC'!AH$21</f>
        <v>7.0000000000000007E-2</v>
      </c>
      <c r="AI92" s="6">
        <f>'06 Debt &amp; WC'!AI$21</f>
        <v>7.0000000000000007E-2</v>
      </c>
      <c r="AJ92" s="6">
        <f>'06 Debt &amp; WC'!AJ$21</f>
        <v>7.0000000000000007E-2</v>
      </c>
      <c r="AK92" s="6">
        <f>'06 Debt &amp; WC'!AK$21</f>
        <v>7.0000000000000007E-2</v>
      </c>
      <c r="AL92" s="6">
        <f>'06 Debt &amp; WC'!AL$21</f>
        <v>7.0000000000000007E-2</v>
      </c>
      <c r="AM92" s="6">
        <f>'06 Debt &amp; WC'!AM$21</f>
        <v>7.0000000000000007E-2</v>
      </c>
      <c r="AN92" s="6">
        <f>'06 Debt &amp; WC'!AN$21</f>
        <v>7.0000000000000007E-2</v>
      </c>
      <c r="AO92" s="6">
        <f>'06 Debt &amp; WC'!AO$21</f>
        <v>7.0000000000000007E-2</v>
      </c>
      <c r="AP92" s="6">
        <f>'06 Debt &amp; WC'!AP$21</f>
        <v>7.0000000000000007E-2</v>
      </c>
      <c r="AQ92" s="6">
        <f>'06 Debt &amp; WC'!AQ$21</f>
        <v>7.0000000000000007E-2</v>
      </c>
      <c r="AR92" s="6">
        <f>'06 Debt &amp; WC'!AR$21</f>
        <v>7.0000000000000007E-2</v>
      </c>
      <c r="AS92" s="6">
        <f>'06 Debt &amp; WC'!AS$21</f>
        <v>7.0000000000000007E-2</v>
      </c>
      <c r="AT92" s="6">
        <f>'06 Debt &amp; WC'!AT$21</f>
        <v>7.0000000000000007E-2</v>
      </c>
      <c r="AU92" s="6">
        <f>'06 Debt &amp; WC'!AU$21</f>
        <v>7.0000000000000007E-2</v>
      </c>
      <c r="AV92" s="6">
        <f>'06 Debt &amp; WC'!AV$21</f>
        <v>7.0000000000000007E-2</v>
      </c>
      <c r="AW92" s="6">
        <f>'06 Debt &amp; WC'!AW$21</f>
        <v>7.0000000000000007E-2</v>
      </c>
      <c r="AX92" s="6">
        <f>'06 Debt &amp; WC'!AX$21</f>
        <v>7.0000000000000007E-2</v>
      </c>
      <c r="AY92" s="6">
        <f>'06 Debt &amp; WC'!AY$21</f>
        <v>7.0000000000000007E-2</v>
      </c>
      <c r="AZ92" s="6">
        <f>'06 Debt &amp; WC'!AZ$21</f>
        <v>7.0000000000000007E-2</v>
      </c>
      <c r="BA92" s="6">
        <f>'06 Debt &amp; WC'!BA$21</f>
        <v>7.0000000000000007E-2</v>
      </c>
      <c r="BB92" s="6">
        <f>'06 Debt &amp; WC'!BB$21</f>
        <v>7.0000000000000007E-2</v>
      </c>
      <c r="BC92" s="6">
        <f>'06 Debt &amp; WC'!BC$21</f>
        <v>7.0000000000000007E-2</v>
      </c>
      <c r="BD92" s="6">
        <f>'06 Debt &amp; WC'!BD$21</f>
        <v>7.0000000000000007E-2</v>
      </c>
      <c r="BE92" s="6">
        <f>'06 Debt &amp; WC'!BE$21</f>
        <v>7.0000000000000007E-2</v>
      </c>
      <c r="BF92" s="6">
        <f>'06 Debt &amp; WC'!BF$21</f>
        <v>7.0000000000000007E-2</v>
      </c>
      <c r="BG92" s="6">
        <f>'06 Debt &amp; WC'!BG$21</f>
        <v>7.0000000000000007E-2</v>
      </c>
      <c r="BH92" s="6">
        <f>'06 Debt &amp; WC'!BH$21</f>
        <v>7.0000000000000007E-2</v>
      </c>
      <c r="BI92" s="6">
        <f>'06 Debt &amp; WC'!BI$21</f>
        <v>7.0000000000000007E-2</v>
      </c>
      <c r="BJ92" s="6">
        <f>'06 Debt &amp; WC'!BJ$21</f>
        <v>7.0000000000000007E-2</v>
      </c>
      <c r="BK92" s="6">
        <f>'06 Debt &amp; WC'!BK$21</f>
        <v>7.0000000000000007E-2</v>
      </c>
      <c r="BL92" s="6">
        <f>'06 Debt &amp; WC'!BL$21</f>
        <v>7.0000000000000007E-2</v>
      </c>
      <c r="BM92" s="6">
        <f>'06 Debt &amp; WC'!BM$21</f>
        <v>7.0000000000000007E-2</v>
      </c>
      <c r="BN92" s="6">
        <f>'06 Debt &amp; WC'!BN$21</f>
        <v>7.0000000000000007E-2</v>
      </c>
      <c r="BO92" s="6">
        <f>'06 Debt &amp; WC'!BO$21</f>
        <v>7.0000000000000007E-2</v>
      </c>
    </row>
    <row r="93" spans="1:67">
      <c r="A93" s="11"/>
      <c r="B93" s="11"/>
      <c r="C93" s="11" t="s">
        <v>551</v>
      </c>
      <c r="D93" s="33"/>
      <c r="E93" s="33"/>
      <c r="F93" s="33"/>
      <c r="G93" s="6">
        <f>G92*(1-IF(G27=1,0,'01 Major Assumptions'!$D$151))</f>
        <v>5.6000000000000008E-2</v>
      </c>
      <c r="H93" s="6">
        <f>H92*(1-IF(H27=1,0,'01 Major Assumptions'!$D$151))</f>
        <v>5.6000000000000008E-2</v>
      </c>
      <c r="I93" s="6">
        <f>I92*(1-IF(I27=1,0,'01 Major Assumptions'!$D$151))</f>
        <v>5.6000000000000008E-2</v>
      </c>
      <c r="J93" s="6">
        <f>J92*(1-IF(J27=1,0,'01 Major Assumptions'!$D$151))</f>
        <v>5.6000000000000008E-2</v>
      </c>
      <c r="K93" s="6">
        <f>K92*(1-IF(K27=1,0,'01 Major Assumptions'!$D$151))</f>
        <v>5.6000000000000008E-2</v>
      </c>
      <c r="L93" s="6">
        <f>L92*(1-IF(L27=1,0,'01 Major Assumptions'!$D$151))</f>
        <v>5.6000000000000008E-2</v>
      </c>
      <c r="M93" s="6">
        <f>M92*(1-IF(M27=1,0,'01 Major Assumptions'!$D$151))</f>
        <v>5.6000000000000008E-2</v>
      </c>
      <c r="N93" s="6">
        <f>N92*(1-IF(N27=1,0,'01 Major Assumptions'!$D$151))</f>
        <v>5.6000000000000008E-2</v>
      </c>
      <c r="O93" s="6">
        <f>O92*(1-IF(O27=1,0,'01 Major Assumptions'!$D$151))</f>
        <v>5.6000000000000008E-2</v>
      </c>
      <c r="P93" s="6">
        <f>P92*(1-IF(P27=1,0,'01 Major Assumptions'!$D$151))</f>
        <v>5.6000000000000008E-2</v>
      </c>
      <c r="Q93" s="6">
        <f>Q92*(1-IF(Q27=1,0,'01 Major Assumptions'!$D$151))</f>
        <v>5.6000000000000008E-2</v>
      </c>
      <c r="R93" s="6">
        <f>R92*(1-IF(R27=1,0,'01 Major Assumptions'!$D$151))</f>
        <v>5.6000000000000008E-2</v>
      </c>
      <c r="S93" s="6">
        <f>S92*(1-IF(S27=1,0,'01 Major Assumptions'!$D$151))</f>
        <v>5.6000000000000008E-2</v>
      </c>
      <c r="T93" s="6">
        <f>T92*(1-IF(T27=1,0,'01 Major Assumptions'!$D$151))</f>
        <v>5.6000000000000008E-2</v>
      </c>
      <c r="U93" s="6">
        <f>U92*(1-IF(U27=1,0,'01 Major Assumptions'!$D$151))</f>
        <v>5.6000000000000008E-2</v>
      </c>
      <c r="V93" s="6">
        <f>V92*(1-IF(V27=1,0,'01 Major Assumptions'!$D$151))</f>
        <v>5.6000000000000008E-2</v>
      </c>
      <c r="W93" s="6">
        <f>W92*(1-IF(W27=1,0,'01 Major Assumptions'!$D$151))</f>
        <v>5.6000000000000008E-2</v>
      </c>
      <c r="X93" s="6">
        <f>X92*(1-IF(X27=1,0,'01 Major Assumptions'!$D$151))</f>
        <v>5.6000000000000008E-2</v>
      </c>
      <c r="Y93" s="6">
        <f>Y92*(1-IF(Y27=1,0,'01 Major Assumptions'!$D$151))</f>
        <v>5.6000000000000008E-2</v>
      </c>
      <c r="Z93" s="6">
        <f>Z92*(1-IF(Z27=1,0,'01 Major Assumptions'!$D$151))</f>
        <v>5.6000000000000008E-2</v>
      </c>
      <c r="AA93" s="6">
        <f>AA92*(1-IF(AA27=1,0,'01 Major Assumptions'!$D$151))</f>
        <v>5.6000000000000008E-2</v>
      </c>
      <c r="AB93" s="6">
        <f>AB92*(1-IF(AB27=1,0,'01 Major Assumptions'!$D$151))</f>
        <v>7.0000000000000007E-2</v>
      </c>
      <c r="AC93" s="6">
        <f>AC92*(1-IF(AC27=1,0,'01 Major Assumptions'!$D$151))</f>
        <v>7.0000000000000007E-2</v>
      </c>
      <c r="AD93" s="6">
        <f>AD92*(1-IF(AD27=1,0,'01 Major Assumptions'!$D$151))</f>
        <v>7.0000000000000007E-2</v>
      </c>
      <c r="AE93" s="6">
        <f>AE92*(1-IF(AE27=1,0,'01 Major Assumptions'!$D$151))</f>
        <v>7.0000000000000007E-2</v>
      </c>
      <c r="AF93" s="6">
        <f>AF92*(1-IF(AF27=1,0,'01 Major Assumptions'!$D$151))</f>
        <v>7.0000000000000007E-2</v>
      </c>
      <c r="AG93" s="6">
        <f>AG92*(1-IF(AG27=1,0,'01 Major Assumptions'!$D$151))</f>
        <v>7.0000000000000007E-2</v>
      </c>
      <c r="AH93" s="6">
        <f>AH92*(1-IF(AH27=1,0,'01 Major Assumptions'!$D$151))</f>
        <v>7.0000000000000007E-2</v>
      </c>
      <c r="AI93" s="6">
        <f>AI92*(1-IF(AI27=1,0,'01 Major Assumptions'!$D$151))</f>
        <v>7.0000000000000007E-2</v>
      </c>
      <c r="AJ93" s="6">
        <f>AJ92*(1-IF(AJ27=1,0,'01 Major Assumptions'!$D$151))</f>
        <v>7.0000000000000007E-2</v>
      </c>
      <c r="AK93" s="6">
        <f>AK92*(1-IF(AK27=1,0,'01 Major Assumptions'!$D$151))</f>
        <v>7.0000000000000007E-2</v>
      </c>
      <c r="AL93" s="6">
        <f>AL92*(1-IF(AL27=1,0,'01 Major Assumptions'!$D$151))</f>
        <v>7.0000000000000007E-2</v>
      </c>
      <c r="AM93" s="6">
        <f>AM92*(1-IF(AM27=1,0,'01 Major Assumptions'!$D$151))</f>
        <v>7.0000000000000007E-2</v>
      </c>
      <c r="AN93" s="6">
        <f>AN92*(1-IF(AN27=1,0,'01 Major Assumptions'!$D$151))</f>
        <v>7.0000000000000007E-2</v>
      </c>
      <c r="AO93" s="6">
        <f>AO92*(1-IF(AO27=1,0,'01 Major Assumptions'!$D$151))</f>
        <v>7.0000000000000007E-2</v>
      </c>
      <c r="AP93" s="6">
        <f>AP92*(1-IF(AP27=1,0,'01 Major Assumptions'!$D$151))</f>
        <v>7.0000000000000007E-2</v>
      </c>
      <c r="AQ93" s="6">
        <f>AQ92*(1-IF(AQ27=1,0,'01 Major Assumptions'!$D$151))</f>
        <v>7.0000000000000007E-2</v>
      </c>
      <c r="AR93" s="6">
        <f>AR92*(1-IF(AR27=1,0,'01 Major Assumptions'!$D$151))</f>
        <v>7.0000000000000007E-2</v>
      </c>
      <c r="AS93" s="6">
        <f>AS92*(1-IF(AS27=1,0,'01 Major Assumptions'!$D$151))</f>
        <v>7.0000000000000007E-2</v>
      </c>
      <c r="AT93" s="6">
        <f>AT92*(1-IF(AT27=1,0,'01 Major Assumptions'!$D$151))</f>
        <v>7.0000000000000007E-2</v>
      </c>
      <c r="AU93" s="6">
        <f>AU92*(1-IF(AU27=1,0,'01 Major Assumptions'!$D$151))</f>
        <v>7.0000000000000007E-2</v>
      </c>
      <c r="AV93" s="6">
        <f>AV92*(1-IF(AV27=1,0,'01 Major Assumptions'!$D$151))</f>
        <v>7.0000000000000007E-2</v>
      </c>
      <c r="AW93" s="6">
        <f>AW92*(1-IF(AW27=1,0,'01 Major Assumptions'!$D$151))</f>
        <v>7.0000000000000007E-2</v>
      </c>
      <c r="AX93" s="6">
        <f>AX92*(1-IF(AX27=1,0,'01 Major Assumptions'!$D$151))</f>
        <v>7.0000000000000007E-2</v>
      </c>
      <c r="AY93" s="6">
        <f>AY92*(1-IF(AY27=1,0,'01 Major Assumptions'!$D$151))</f>
        <v>7.0000000000000007E-2</v>
      </c>
      <c r="AZ93" s="6">
        <f>AZ92*(1-IF(AZ27=1,0,'01 Major Assumptions'!$D$151))</f>
        <v>7.0000000000000007E-2</v>
      </c>
      <c r="BA93" s="6">
        <f>BA92*(1-IF(BA27=1,0,'01 Major Assumptions'!$D$151))</f>
        <v>7.0000000000000007E-2</v>
      </c>
      <c r="BB93" s="6">
        <f>BB92*(1-IF(BB27=1,0,'01 Major Assumptions'!$D$151))</f>
        <v>7.0000000000000007E-2</v>
      </c>
      <c r="BC93" s="6">
        <f>BC92*(1-IF(BC27=1,0,'01 Major Assumptions'!$D$151))</f>
        <v>7.0000000000000007E-2</v>
      </c>
      <c r="BD93" s="6">
        <f>BD92*(1-IF(BD27=1,0,'01 Major Assumptions'!$D$151))</f>
        <v>7.0000000000000007E-2</v>
      </c>
      <c r="BE93" s="6">
        <f>BE92*(1-IF(BE27=1,0,'01 Major Assumptions'!$D$151))</f>
        <v>7.0000000000000007E-2</v>
      </c>
      <c r="BF93" s="6">
        <f>BF92*(1-IF(BF27=1,0,'01 Major Assumptions'!$D$151))</f>
        <v>7.0000000000000007E-2</v>
      </c>
      <c r="BG93" s="6">
        <f>BG92*(1-IF(BG27=1,0,'01 Major Assumptions'!$D$151))</f>
        <v>7.0000000000000007E-2</v>
      </c>
      <c r="BH93" s="6">
        <f>BH92*(1-IF(BH27=1,0,'01 Major Assumptions'!$D$151))</f>
        <v>7.0000000000000007E-2</v>
      </c>
      <c r="BI93" s="6">
        <f>BI92*(1-IF(BI27=1,0,'01 Major Assumptions'!$D$151))</f>
        <v>7.0000000000000007E-2</v>
      </c>
      <c r="BJ93" s="6">
        <f>BJ92*(1-IF(BJ27=1,0,'01 Major Assumptions'!$D$151))</f>
        <v>7.0000000000000007E-2</v>
      </c>
      <c r="BK93" s="6">
        <f>BK92*(1-IF(BK27=1,0,'01 Major Assumptions'!$D$151))</f>
        <v>7.0000000000000007E-2</v>
      </c>
      <c r="BL93" s="6">
        <f>BL92*(1-IF(BL27=1,0,'01 Major Assumptions'!$D$151))</f>
        <v>7.0000000000000007E-2</v>
      </c>
      <c r="BM93" s="6">
        <f>BM92*(1-IF(BM27=1,0,'01 Major Assumptions'!$D$151))</f>
        <v>7.0000000000000007E-2</v>
      </c>
      <c r="BN93" s="6">
        <f>BN92*(1-IF(BN27=1,0,'01 Major Assumptions'!$D$151))</f>
        <v>5.6000000000000008E-2</v>
      </c>
      <c r="BO93" s="6">
        <f>BO92*(1-IF(BO27=1,0,'01 Major Assumptions'!$D$151))</f>
        <v>5.6000000000000008E-2</v>
      </c>
    </row>
    <row r="94" spans="1:67">
      <c r="A94" s="11"/>
      <c r="B94" s="11"/>
      <c r="C94" s="11" t="s">
        <v>552</v>
      </c>
      <c r="D94" s="33"/>
      <c r="E94" s="33"/>
      <c r="F94" s="33"/>
      <c r="G94" s="63">
        <f>'01 Major Assumptions'!$D$162*(1+(1-'01 Major Assumptions'!$D$151)*IF(G89=0,0,G88/G89))</f>
        <v>0.85</v>
      </c>
      <c r="H94" s="63">
        <f>'01 Major Assumptions'!$D$162*(1+(1-'01 Major Assumptions'!$D$151)*IF(H89=0,0,H88/H89))</f>
        <v>0.85</v>
      </c>
      <c r="I94" s="63">
        <f>'01 Major Assumptions'!$D$162*(1+(1-'01 Major Assumptions'!$D$151)*IF(I89=0,0,I88/I89))</f>
        <v>0.85</v>
      </c>
      <c r="J94" s="63">
        <f>'01 Major Assumptions'!$D$162*(1+(1-'01 Major Assumptions'!$D$151)*IF(J89=0,0,J88/J89))</f>
        <v>0.85</v>
      </c>
      <c r="K94" s="63">
        <f>'01 Major Assumptions'!$D$162*(1+(1-'01 Major Assumptions'!$D$151)*IF(K89=0,0,K88/K89))</f>
        <v>0.85</v>
      </c>
      <c r="L94" s="63">
        <f>'01 Major Assumptions'!$D$162*(1+(1-'01 Major Assumptions'!$D$151)*IF(L89=0,0,L88/L89))</f>
        <v>0.85</v>
      </c>
      <c r="M94" s="63">
        <f>'01 Major Assumptions'!$D$162*(1+(1-'01 Major Assumptions'!$D$151)*IF(M89=0,0,M88/M89))</f>
        <v>0.85</v>
      </c>
      <c r="N94" s="63">
        <f>'01 Major Assumptions'!$D$162*(1+(1-'01 Major Assumptions'!$D$151)*IF(N89=0,0,N88/N89))</f>
        <v>0.85</v>
      </c>
      <c r="O94" s="63">
        <f>'01 Major Assumptions'!$D$162*(1+(1-'01 Major Assumptions'!$D$151)*IF(O89=0,0,O88/O89))</f>
        <v>0.85</v>
      </c>
      <c r="P94" s="63">
        <f>'01 Major Assumptions'!$D$162*(1+(1-'01 Major Assumptions'!$D$151)*IF(P89=0,0,P88/P89))</f>
        <v>0.85</v>
      </c>
      <c r="Q94" s="63">
        <f>'01 Major Assumptions'!$D$162*(1+(1-'01 Major Assumptions'!$D$151)*IF(Q89=0,0,Q88/Q89))</f>
        <v>0.88093576149774233</v>
      </c>
      <c r="R94" s="63">
        <f>'01 Major Assumptions'!$D$162*(1+(1-'01 Major Assumptions'!$D$151)*IF(R89=0,0,R88/R89))</f>
        <v>0.94281608656402105</v>
      </c>
      <c r="S94" s="63">
        <f>'01 Major Assumptions'!$D$162*(1+(1-'01 Major Assumptions'!$D$151)*IF(S89=0,0,S88/S89))</f>
        <v>1.0073073093755611</v>
      </c>
      <c r="T94" s="63">
        <f>'01 Major Assumptions'!$D$162*(1+(1-'01 Major Assumptions'!$D$151)*IF(T89=0,0,T88/T89))</f>
        <v>1.0725494311726862</v>
      </c>
      <c r="U94" s="63">
        <f>'01 Major Assumptions'!$D$162*(1+(1-'01 Major Assumptions'!$D$151)*IF(U89=0,0,U88/U89))</f>
        <v>1.1382016534052812</v>
      </c>
      <c r="V94" s="63">
        <f>'01 Major Assumptions'!$D$162*(1+(1-'01 Major Assumptions'!$D$151)*IF(V89=0,0,V88/V89))</f>
        <v>1.2041340220298566</v>
      </c>
      <c r="W94" s="63">
        <f>'01 Major Assumptions'!$D$162*(1+(1-'01 Major Assumptions'!$D$151)*IF(W89=0,0,W88/W89))</f>
        <v>1.2704409494244684</v>
      </c>
      <c r="X94" s="63">
        <f>'01 Major Assumptions'!$D$162*(1+(1-'01 Major Assumptions'!$D$151)*IF(X89=0,0,X88/X89))</f>
        <v>1.3370765937858275</v>
      </c>
      <c r="Y94" s="63">
        <f>'01 Major Assumptions'!$D$162*(1+(1-'01 Major Assumptions'!$D$151)*IF(Y89=0,0,Y88/Y89))</f>
        <v>1.4040723101167829</v>
      </c>
      <c r="Z94" s="63">
        <f>'01 Major Assumptions'!$D$162*(1+(1-'01 Major Assumptions'!$D$151)*IF(Z89=0,0,Z88/Z89))</f>
        <v>1.4714498851586693</v>
      </c>
      <c r="AA94" s="63">
        <f>'01 Major Assumptions'!$D$162*(1+(1-'01 Major Assumptions'!$D$151)*IF(AA89=0,0,AA88/AA89))</f>
        <v>1.5395576002225979</v>
      </c>
      <c r="AB94" s="63">
        <f>'01 Major Assumptions'!$D$162*(1+(1-'01 Major Assumptions'!$D$151)*IF(AB89=0,0,AB88/AB89))</f>
        <v>1.591397348196836</v>
      </c>
      <c r="AC94" s="63">
        <f>'01 Major Assumptions'!$D$162*(1+(1-'01 Major Assumptions'!$D$151)*IF(AC89=0,0,AC88/AC89))</f>
        <v>1.6179649279263433</v>
      </c>
      <c r="AD94" s="63">
        <f>'01 Major Assumptions'!$D$162*(1+(1-'01 Major Assumptions'!$D$151)*IF(AD89=0,0,AD88/AD89))</f>
        <v>1.6334252647925582</v>
      </c>
      <c r="AE94" s="63">
        <f>'01 Major Assumptions'!$D$162*(1+(1-'01 Major Assumptions'!$D$151)*IF(AE89=0,0,AE88/AE89))</f>
        <v>1.6465415812070174</v>
      </c>
      <c r="AF94" s="63">
        <f>'01 Major Assumptions'!$D$162*(1+(1-'01 Major Assumptions'!$D$151)*IF(AF89=0,0,AF88/AF89))</f>
        <v>1.6565786654032626</v>
      </c>
      <c r="AG94" s="63">
        <f>'01 Major Assumptions'!$D$162*(1+(1-'01 Major Assumptions'!$D$151)*IF(AG89=0,0,AG88/AG89))</f>
        <v>1.6633003428706592</v>
      </c>
      <c r="AH94" s="63">
        <f>'01 Major Assumptions'!$D$162*(1+(1-'01 Major Assumptions'!$D$151)*IF(AH89=0,0,AH88/AH89))</f>
        <v>1.6669163777057083</v>
      </c>
      <c r="AI94" s="63">
        <f>'01 Major Assumptions'!$D$162*(1+(1-'01 Major Assumptions'!$D$151)*IF(AI89=0,0,AI88/AI89))</f>
        <v>1.6673127074378209</v>
      </c>
      <c r="AJ94" s="63">
        <f>'01 Major Assumptions'!$D$162*(1+(1-'01 Major Assumptions'!$D$151)*IF(AJ89=0,0,AJ88/AJ89))</f>
        <v>1.6644924182925809</v>
      </c>
      <c r="AK94" s="63">
        <f>'01 Major Assumptions'!$D$162*(1+(1-'01 Major Assumptions'!$D$151)*IF(AK89=0,0,AK88/AK89))</f>
        <v>1.658504306413674</v>
      </c>
      <c r="AL94" s="63">
        <f>'01 Major Assumptions'!$D$162*(1+(1-'01 Major Assumptions'!$D$151)*IF(AL89=0,0,AL88/AL89))</f>
        <v>1.6494677391228811</v>
      </c>
      <c r="AM94" s="63">
        <f ca="1">'01 Major Assumptions'!$D$162*(1+(1-'01 Major Assumptions'!$D$151)*IF(AM89=0,0,AM88/AM89))</f>
        <v>1.6375632444250297</v>
      </c>
      <c r="AN94" s="63">
        <f ca="1">'01 Major Assumptions'!$D$162*(1+(1-'01 Major Assumptions'!$D$151)*IF(AN89=0,0,AN88/AN89))</f>
        <v>1.6184487045336251</v>
      </c>
      <c r="AO94" s="63">
        <f ca="1">'01 Major Assumptions'!$D$162*(1+(1-'01 Major Assumptions'!$D$151)*IF(AO89=0,0,AO88/AO89))</f>
        <v>1.5940640964415826</v>
      </c>
      <c r="AP94" s="63">
        <f ca="1">'01 Major Assumptions'!$D$162*(1+(1-'01 Major Assumptions'!$D$151)*IF(AP89=0,0,AP88/AP89))</f>
        <v>1.5705003579211174</v>
      </c>
      <c r="AQ94" s="63">
        <f ca="1">'01 Major Assumptions'!$D$162*(1+(1-'01 Major Assumptions'!$D$151)*IF(AQ89=0,0,AQ88/AQ89))</f>
        <v>1.5474258939491257</v>
      </c>
      <c r="AR94" s="63">
        <f ca="1">'01 Major Assumptions'!$D$162*(1+(1-'01 Major Assumptions'!$D$151)*IF(AR89=0,0,AR88/AR89))</f>
        <v>1.5248828866738444</v>
      </c>
      <c r="AS94" s="63">
        <f ca="1">'01 Major Assumptions'!$D$162*(1+(1-'01 Major Assumptions'!$D$151)*IF(AS89=0,0,AS88/AS89))</f>
        <v>1.5031552739892575</v>
      </c>
      <c r="AT94" s="63">
        <f ca="1">'01 Major Assumptions'!$D$162*(1+(1-'01 Major Assumptions'!$D$151)*IF(AT89=0,0,AT88/AT89))</f>
        <v>1.4822280692253689</v>
      </c>
      <c r="AU94" s="63">
        <f ca="1">'01 Major Assumptions'!$D$162*(1+(1-'01 Major Assumptions'!$D$151)*IF(AU89=0,0,AU88/AU89))</f>
        <v>1.4620712129101092</v>
      </c>
      <c r="AV94" s="63">
        <f ca="1">'01 Major Assumptions'!$D$162*(1+(1-'01 Major Assumptions'!$D$151)*IF(AV89=0,0,AV88/AV89))</f>
        <v>1.4426466862963896</v>
      </c>
      <c r="AW94" s="63">
        <f ca="1">'01 Major Assumptions'!$D$162*(1+(1-'01 Major Assumptions'!$D$151)*IF(AW89=0,0,AW88/AW89))</f>
        <v>1.4239164327872822</v>
      </c>
      <c r="AX94" s="63">
        <f ca="1">'01 Major Assumptions'!$D$162*(1+(1-'01 Major Assumptions'!$D$151)*IF(AX89=0,0,AX88/AX89))</f>
        <v>1.405844982018976</v>
      </c>
      <c r="AY94" s="63">
        <f ca="1">'01 Major Assumptions'!$D$162*(1+(1-'01 Major Assumptions'!$D$151)*IF(AY89=0,0,AY88/AY89))</f>
        <v>1.3993857914926406</v>
      </c>
      <c r="AZ94" s="63">
        <f ca="1">'01 Major Assumptions'!$D$162*(1+(1-'01 Major Assumptions'!$D$151)*IF(AZ89=0,0,AZ88/AZ89))</f>
        <v>1.392875597580187</v>
      </c>
      <c r="BA94" s="63">
        <f ca="1">'01 Major Assumptions'!$D$162*(1+(1-'01 Major Assumptions'!$D$151)*IF(BA89=0,0,BA88/BA89))</f>
        <v>1.3755488167317089</v>
      </c>
      <c r="BB94" s="63">
        <f ca="1">'01 Major Assumptions'!$D$162*(1+(1-'01 Major Assumptions'!$D$151)*IF(BB89=0,0,BB88/BB89))</f>
        <v>1.3588184026887622</v>
      </c>
      <c r="BC94" s="63">
        <f ca="1">'01 Major Assumptions'!$D$162*(1+(1-'01 Major Assumptions'!$D$151)*IF(BC89=0,0,BC88/BC89))</f>
        <v>1.3424889164091973</v>
      </c>
      <c r="BD94" s="63">
        <f ca="1">'01 Major Assumptions'!$D$162*(1+(1-'01 Major Assumptions'!$D$151)*IF(BD89=0,0,BD88/BD89))</f>
        <v>1.3265574731113086</v>
      </c>
      <c r="BE94" s="63">
        <f ca="1">'01 Major Assumptions'!$D$162*(1+(1-'01 Major Assumptions'!$D$151)*IF(BE89=0,0,BE88/BE89))</f>
        <v>1.3111704907449213</v>
      </c>
      <c r="BF94" s="63">
        <f ca="1">'01 Major Assumptions'!$D$162*(1+(1-'01 Major Assumptions'!$D$151)*IF(BF89=0,0,BF88/BF89))</f>
        <v>1.2963014078358608</v>
      </c>
      <c r="BG94" s="63">
        <f ca="1">'01 Major Assumptions'!$D$162*(1+(1-'01 Major Assumptions'!$D$151)*IF(BG89=0,0,BG88/BG89))</f>
        <v>1.2819253588209101</v>
      </c>
      <c r="BH94" s="63">
        <f ca="1">'01 Major Assumptions'!$D$162*(1+(1-'01 Major Assumptions'!$D$151)*IF(BH89=0,0,BH88/BH89))</f>
        <v>1.2680190408481542</v>
      </c>
      <c r="BI94" s="63">
        <f ca="1">'01 Major Assumptions'!$D$162*(1+(1-'01 Major Assumptions'!$D$151)*IF(BI89=0,0,BI88/BI89))</f>
        <v>1.2037388899747998</v>
      </c>
      <c r="BJ94" s="63">
        <f ca="1">'01 Major Assumptions'!$D$162*(1+(1-'01 Major Assumptions'!$D$151)*IF(BJ89=0,0,BJ88/BJ89))</f>
        <v>1.1034924580588523</v>
      </c>
      <c r="BK94" s="63">
        <f ca="1">'01 Major Assumptions'!$D$162*(1+(1-'01 Major Assumptions'!$D$151)*IF(BK89=0,0,BK88/BK89))</f>
        <v>1.0188618193222319</v>
      </c>
      <c r="BL94" s="63">
        <f ca="1">'01 Major Assumptions'!$D$162*(1+(1-'01 Major Assumptions'!$D$151)*IF(BL89=0,0,BL88/BL89))</f>
        <v>0.94766131595906677</v>
      </c>
      <c r="BM94" s="63">
        <f ca="1">'01 Major Assumptions'!$D$162*(1+(1-'01 Major Assumptions'!$D$151)*IF(BM89=0,0,BM88/BM89))</f>
        <v>0.88816383302870594</v>
      </c>
      <c r="BN94" s="63">
        <f ca="1">'01 Major Assumptions'!$D$162*(1+(1-'01 Major Assumptions'!$D$151)*IF(BN89=0,0,BN88/BN89))</f>
        <v>0.8617095960719422</v>
      </c>
      <c r="BO94" s="63">
        <f ca="1">'01 Major Assumptions'!$D$162*(1+(1-'01 Major Assumptions'!$D$151)*IF(BO89=0,0,BO88/BO89))</f>
        <v>0.86091611743224383</v>
      </c>
    </row>
    <row r="95" spans="1:67">
      <c r="A95" s="11"/>
      <c r="B95" s="11"/>
      <c r="C95" s="11" t="s">
        <v>553</v>
      </c>
      <c r="D95" s="33"/>
      <c r="E95" s="33"/>
      <c r="F95" s="33"/>
      <c r="G95" s="6">
        <f>'01 Major Assumptions'!$D$159+G94*'01 Major Assumptions'!$D$160+'01 Major Assumptions'!$D$161</f>
        <v>0.10875</v>
      </c>
      <c r="H95" s="6">
        <f>'01 Major Assumptions'!$D$159+H94*'01 Major Assumptions'!$D$160+'01 Major Assumptions'!$D$161</f>
        <v>0.10875</v>
      </c>
      <c r="I95" s="6">
        <f>'01 Major Assumptions'!$D$159+I94*'01 Major Assumptions'!$D$160+'01 Major Assumptions'!$D$161</f>
        <v>0.10875</v>
      </c>
      <c r="J95" s="6">
        <f>'01 Major Assumptions'!$D$159+J94*'01 Major Assumptions'!$D$160+'01 Major Assumptions'!$D$161</f>
        <v>0.10875</v>
      </c>
      <c r="K95" s="6">
        <f>'01 Major Assumptions'!$D$159+K94*'01 Major Assumptions'!$D$160+'01 Major Assumptions'!$D$161</f>
        <v>0.10875</v>
      </c>
      <c r="L95" s="6">
        <f>'01 Major Assumptions'!$D$159+L94*'01 Major Assumptions'!$D$160+'01 Major Assumptions'!$D$161</f>
        <v>0.10875</v>
      </c>
      <c r="M95" s="6">
        <f>'01 Major Assumptions'!$D$159+M94*'01 Major Assumptions'!$D$160+'01 Major Assumptions'!$D$161</f>
        <v>0.10875</v>
      </c>
      <c r="N95" s="6">
        <f>'01 Major Assumptions'!$D$159+N94*'01 Major Assumptions'!$D$160+'01 Major Assumptions'!$D$161</f>
        <v>0.10875</v>
      </c>
      <c r="O95" s="6">
        <f>'01 Major Assumptions'!$D$159+O94*'01 Major Assumptions'!$D$160+'01 Major Assumptions'!$D$161</f>
        <v>0.10875</v>
      </c>
      <c r="P95" s="6">
        <f>'01 Major Assumptions'!$D$159+P94*'01 Major Assumptions'!$D$160+'01 Major Assumptions'!$D$161</f>
        <v>0.10875</v>
      </c>
      <c r="Q95" s="6">
        <f>'01 Major Assumptions'!$D$159+Q94*'01 Major Assumptions'!$D$160+'01 Major Assumptions'!$D$161</f>
        <v>0.11107018211233068</v>
      </c>
      <c r="R95" s="6">
        <f>'01 Major Assumptions'!$D$159+R94*'01 Major Assumptions'!$D$160+'01 Major Assumptions'!$D$161</f>
        <v>0.11571120649230159</v>
      </c>
      <c r="S95" s="6">
        <f>'01 Major Assumptions'!$D$159+S94*'01 Major Assumptions'!$D$160+'01 Major Assumptions'!$D$161</f>
        <v>0.1205480482031671</v>
      </c>
      <c r="T95" s="6">
        <f>'01 Major Assumptions'!$D$159+T94*'01 Major Assumptions'!$D$160+'01 Major Assumptions'!$D$161</f>
        <v>0.12544120733795144</v>
      </c>
      <c r="U95" s="6">
        <f>'01 Major Assumptions'!$D$159+U94*'01 Major Assumptions'!$D$160+'01 Major Assumptions'!$D$161</f>
        <v>0.13036512400539607</v>
      </c>
      <c r="V95" s="6">
        <f>'01 Major Assumptions'!$D$159+V94*'01 Major Assumptions'!$D$160+'01 Major Assumptions'!$D$161</f>
        <v>0.13531005165223925</v>
      </c>
      <c r="W95" s="6">
        <f>'01 Major Assumptions'!$D$159+W94*'01 Major Assumptions'!$D$160+'01 Major Assumptions'!$D$161</f>
        <v>0.14028307120683511</v>
      </c>
      <c r="X95" s="6">
        <f>'01 Major Assumptions'!$D$159+X94*'01 Major Assumptions'!$D$160+'01 Major Assumptions'!$D$161</f>
        <v>0.14528074453393705</v>
      </c>
      <c r="Y95" s="6">
        <f>'01 Major Assumptions'!$D$159+Y94*'01 Major Assumptions'!$D$160+'01 Major Assumptions'!$D$161</f>
        <v>0.1503054232587587</v>
      </c>
      <c r="Z95" s="6">
        <f>'01 Major Assumptions'!$D$159+Z94*'01 Major Assumptions'!$D$160+'01 Major Assumptions'!$D$161</f>
        <v>0.15535874138690017</v>
      </c>
      <c r="AA95" s="6">
        <f>'01 Major Assumptions'!$D$159+AA94*'01 Major Assumptions'!$D$160+'01 Major Assumptions'!$D$161</f>
        <v>0.16046682001669482</v>
      </c>
      <c r="AB95" s="6">
        <f>'01 Major Assumptions'!$D$159+AB94*'01 Major Assumptions'!$D$160+'01 Major Assumptions'!$D$161</f>
        <v>0.16435480111476269</v>
      </c>
      <c r="AC95" s="6">
        <f>'01 Major Assumptions'!$D$159+AC94*'01 Major Assumptions'!$D$160+'01 Major Assumptions'!$D$161</f>
        <v>0.16634736959447574</v>
      </c>
      <c r="AD95" s="6">
        <f>'01 Major Assumptions'!$D$159+AD94*'01 Major Assumptions'!$D$160+'01 Major Assumptions'!$D$161</f>
        <v>0.16750689485944184</v>
      </c>
      <c r="AE95" s="6">
        <f>'01 Major Assumptions'!$D$159+AE94*'01 Major Assumptions'!$D$160+'01 Major Assumptions'!$D$161</f>
        <v>0.1684906185905263</v>
      </c>
      <c r="AF95" s="6">
        <f>'01 Major Assumptions'!$D$159+AF94*'01 Major Assumptions'!$D$160+'01 Major Assumptions'!$D$161</f>
        <v>0.16924339990524467</v>
      </c>
      <c r="AG95" s="6">
        <f>'01 Major Assumptions'!$D$159+AG94*'01 Major Assumptions'!$D$160+'01 Major Assumptions'!$D$161</f>
        <v>0.16974752571529941</v>
      </c>
      <c r="AH95" s="6">
        <f>'01 Major Assumptions'!$D$159+AH94*'01 Major Assumptions'!$D$160+'01 Major Assumptions'!$D$161</f>
        <v>0.17001872832792811</v>
      </c>
      <c r="AI95" s="6">
        <f>'01 Major Assumptions'!$D$159+AI94*'01 Major Assumptions'!$D$160+'01 Major Assumptions'!$D$161</f>
        <v>0.17004845305783656</v>
      </c>
      <c r="AJ95" s="6">
        <f>'01 Major Assumptions'!$D$159+AJ94*'01 Major Assumptions'!$D$160+'01 Major Assumptions'!$D$161</f>
        <v>0.16983693137194356</v>
      </c>
      <c r="AK95" s="6">
        <f>'01 Major Assumptions'!$D$159+AK94*'01 Major Assumptions'!$D$160+'01 Major Assumptions'!$D$161</f>
        <v>0.16938782298102553</v>
      </c>
      <c r="AL95" s="6">
        <f>'01 Major Assumptions'!$D$159+AL94*'01 Major Assumptions'!$D$160+'01 Major Assumptions'!$D$161</f>
        <v>0.16871008043421606</v>
      </c>
      <c r="AM95" s="6">
        <f ca="1">'01 Major Assumptions'!$D$159+AM94*'01 Major Assumptions'!$D$160+'01 Major Assumptions'!$D$161</f>
        <v>0.1678172433318772</v>
      </c>
      <c r="AN95" s="6">
        <f ca="1">'01 Major Assumptions'!$D$159+AN94*'01 Major Assumptions'!$D$160+'01 Major Assumptions'!$D$161</f>
        <v>0.16638365284002188</v>
      </c>
      <c r="AO95" s="6">
        <f ca="1">'01 Major Assumptions'!$D$159+AO94*'01 Major Assumptions'!$D$160+'01 Major Assumptions'!$D$161</f>
        <v>0.16455480723311869</v>
      </c>
      <c r="AP95" s="6">
        <f ca="1">'01 Major Assumptions'!$D$159+AP94*'01 Major Assumptions'!$D$160+'01 Major Assumptions'!$D$161</f>
        <v>0.16278752684408379</v>
      </c>
      <c r="AQ95" s="6">
        <f ca="1">'01 Major Assumptions'!$D$159+AQ94*'01 Major Assumptions'!$D$160+'01 Major Assumptions'!$D$161</f>
        <v>0.1610569420461844</v>
      </c>
      <c r="AR95" s="6">
        <f ca="1">'01 Major Assumptions'!$D$159+AR94*'01 Major Assumptions'!$D$160+'01 Major Assumptions'!$D$161</f>
        <v>0.15936621650053831</v>
      </c>
      <c r="AS95" s="6">
        <f ca="1">'01 Major Assumptions'!$D$159+AS94*'01 Major Assumptions'!$D$160+'01 Major Assumptions'!$D$161</f>
        <v>0.15773664554919431</v>
      </c>
      <c r="AT95" s="6">
        <f ca="1">'01 Major Assumptions'!$D$159+AT94*'01 Major Assumptions'!$D$160+'01 Major Assumptions'!$D$161</f>
        <v>0.15616710519190266</v>
      </c>
      <c r="AU95" s="6">
        <f ca="1">'01 Major Assumptions'!$D$159+AU94*'01 Major Assumptions'!$D$160+'01 Major Assumptions'!$D$161</f>
        <v>0.15465534096825817</v>
      </c>
      <c r="AV95" s="6">
        <f ca="1">'01 Major Assumptions'!$D$159+AV94*'01 Major Assumptions'!$D$160+'01 Major Assumptions'!$D$161</f>
        <v>0.15319850147222921</v>
      </c>
      <c r="AW95" s="6">
        <f ca="1">'01 Major Assumptions'!$D$159+AW94*'01 Major Assumptions'!$D$160+'01 Major Assumptions'!$D$161</f>
        <v>0.15179373245904615</v>
      </c>
      <c r="AX95" s="6">
        <f ca="1">'01 Major Assumptions'!$D$159+AX94*'01 Major Assumptions'!$D$160+'01 Major Assumptions'!$D$161</f>
        <v>0.15043837365142318</v>
      </c>
      <c r="AY95" s="6">
        <f ca="1">'01 Major Assumptions'!$D$159+AY94*'01 Major Assumptions'!$D$160+'01 Major Assumptions'!$D$161</f>
        <v>0.14995393436194804</v>
      </c>
      <c r="AZ95" s="6">
        <f ca="1">'01 Major Assumptions'!$D$159+AZ94*'01 Major Assumptions'!$D$160+'01 Major Assumptions'!$D$161</f>
        <v>0.149465669818514</v>
      </c>
      <c r="BA95" s="6">
        <f ca="1">'01 Major Assumptions'!$D$159+BA94*'01 Major Assumptions'!$D$160+'01 Major Assumptions'!$D$161</f>
        <v>0.14816616125487816</v>
      </c>
      <c r="BB95" s="6">
        <f ca="1">'01 Major Assumptions'!$D$159+BB94*'01 Major Assumptions'!$D$160+'01 Major Assumptions'!$D$161</f>
        <v>0.14691138020165714</v>
      </c>
      <c r="BC95" s="6">
        <f ca="1">'01 Major Assumptions'!$D$159+BC94*'01 Major Assumptions'!$D$160+'01 Major Assumptions'!$D$161</f>
        <v>0.14568666873068978</v>
      </c>
      <c r="BD95" s="6">
        <f ca="1">'01 Major Assumptions'!$D$159+BD94*'01 Major Assumptions'!$D$160+'01 Major Assumptions'!$D$161</f>
        <v>0.14449181048334814</v>
      </c>
      <c r="BE95" s="6">
        <f ca="1">'01 Major Assumptions'!$D$159+BE94*'01 Major Assumptions'!$D$160+'01 Major Assumptions'!$D$161</f>
        <v>0.14333778680586909</v>
      </c>
      <c r="BF95" s="6">
        <f ca="1">'01 Major Assumptions'!$D$159+BF94*'01 Major Assumptions'!$D$160+'01 Major Assumptions'!$D$161</f>
        <v>0.14222260558768954</v>
      </c>
      <c r="BG95" s="6">
        <f ca="1">'01 Major Assumptions'!$D$159+BG94*'01 Major Assumptions'!$D$160+'01 Major Assumptions'!$D$161</f>
        <v>0.14114440191156824</v>
      </c>
      <c r="BH95" s="6">
        <f ca="1">'01 Major Assumptions'!$D$159+BH94*'01 Major Assumptions'!$D$160+'01 Major Assumptions'!$D$161</f>
        <v>0.14010142806361156</v>
      </c>
      <c r="BI95" s="6">
        <f ca="1">'01 Major Assumptions'!$D$159+BI94*'01 Major Assumptions'!$D$160+'01 Major Assumptions'!$D$161</f>
        <v>0.13528041674810998</v>
      </c>
      <c r="BJ95" s="6">
        <f ca="1">'01 Major Assumptions'!$D$159+BJ94*'01 Major Assumptions'!$D$160+'01 Major Assumptions'!$D$161</f>
        <v>0.12776193435441391</v>
      </c>
      <c r="BK95" s="6">
        <f ca="1">'01 Major Assumptions'!$D$159+BK94*'01 Major Assumptions'!$D$160+'01 Major Assumptions'!$D$161</f>
        <v>0.1214146364491674</v>
      </c>
      <c r="BL95" s="6">
        <f ca="1">'01 Major Assumptions'!$D$159+BL94*'01 Major Assumptions'!$D$160+'01 Major Assumptions'!$D$161</f>
        <v>0.11607459869693</v>
      </c>
      <c r="BM95" s="6">
        <f ca="1">'01 Major Assumptions'!$D$159+BM94*'01 Major Assumptions'!$D$160+'01 Major Assumptions'!$D$161</f>
        <v>0.11161228747715295</v>
      </c>
      <c r="BN95" s="6">
        <f ca="1">'01 Major Assumptions'!$D$159+BN94*'01 Major Assumptions'!$D$160+'01 Major Assumptions'!$D$161</f>
        <v>0.10962821970539567</v>
      </c>
      <c r="BO95" s="6">
        <f ca="1">'01 Major Assumptions'!$D$159+BO94*'01 Major Assumptions'!$D$160+'01 Major Assumptions'!$D$161</f>
        <v>0.1095687088074183</v>
      </c>
    </row>
    <row r="96" spans="1:67">
      <c r="A96" s="11"/>
      <c r="B96" s="22" t="s">
        <v>4</v>
      </c>
      <c r="C96" s="11"/>
      <c r="D96" s="33"/>
      <c r="E96" s="33"/>
      <c r="F96" s="33"/>
      <c r="G96" s="65">
        <f>G90*G93+G91*G95</f>
        <v>0.10875</v>
      </c>
      <c r="H96" s="65">
        <f t="shared" ref="H96:BI96" si="157">H90*H93+H91*H95</f>
        <v>0.10875</v>
      </c>
      <c r="I96" s="65">
        <f t="shared" si="157"/>
        <v>0.10875</v>
      </c>
      <c r="J96" s="65">
        <f t="shared" si="157"/>
        <v>0.10875</v>
      </c>
      <c r="K96" s="65">
        <f t="shared" si="157"/>
        <v>0.10875</v>
      </c>
      <c r="L96" s="65">
        <f t="shared" si="157"/>
        <v>0.10875</v>
      </c>
      <c r="M96" s="65">
        <f t="shared" si="157"/>
        <v>0.10875</v>
      </c>
      <c r="N96" s="65">
        <f t="shared" si="157"/>
        <v>0.10875</v>
      </c>
      <c r="O96" s="65">
        <f t="shared" si="157"/>
        <v>0.10875</v>
      </c>
      <c r="P96" s="65">
        <f t="shared" si="157"/>
        <v>0.10875</v>
      </c>
      <c r="Q96" s="65">
        <f t="shared" si="157"/>
        <v>0.10867385024702232</v>
      </c>
      <c r="R96" s="65">
        <f t="shared" si="157"/>
        <v>0.10853982301958905</v>
      </c>
      <c r="S96" s="65">
        <f t="shared" si="157"/>
        <v>0.10842122251493001</v>
      </c>
      <c r="T96" s="65">
        <f t="shared" si="157"/>
        <v>0.10831848734141221</v>
      </c>
      <c r="U96" s="65">
        <f t="shared" si="157"/>
        <v>0.10822908280089649</v>
      </c>
      <c r="V96" s="65">
        <f t="shared" si="157"/>
        <v>0.10815072125532066</v>
      </c>
      <c r="W96" s="65">
        <f t="shared" si="157"/>
        <v>0.10808138469458296</v>
      </c>
      <c r="X96" s="65">
        <f t="shared" si="157"/>
        <v>0.1080196417324589</v>
      </c>
      <c r="Y96" s="65">
        <f t="shared" si="157"/>
        <v>0.10796428709261564</v>
      </c>
      <c r="Z96" s="65">
        <f t="shared" si="157"/>
        <v>0.10791436482769745</v>
      </c>
      <c r="AA96" s="65">
        <f t="shared" si="157"/>
        <v>0.10786889372145178</v>
      </c>
      <c r="AB96" s="65">
        <f t="shared" si="157"/>
        <v>0.11513956976170855</v>
      </c>
      <c r="AC96" s="65">
        <f t="shared" si="157"/>
        <v>0.1152470982277661</v>
      </c>
      <c r="AD96" s="65">
        <f t="shared" si="157"/>
        <v>0.11530787468249647</v>
      </c>
      <c r="AE96" s="65">
        <f t="shared" si="157"/>
        <v>0.11535843859324942</v>
      </c>
      <c r="AF96" s="65">
        <f t="shared" si="157"/>
        <v>0.11539652929652375</v>
      </c>
      <c r="AG96" s="65">
        <f t="shared" si="157"/>
        <v>0.11542175176630123</v>
      </c>
      <c r="AH96" s="65">
        <f t="shared" si="157"/>
        <v>0.11543522689439259</v>
      </c>
      <c r="AI96" s="65">
        <f t="shared" si="157"/>
        <v>0.11543669985660232</v>
      </c>
      <c r="AJ96" s="65">
        <f t="shared" si="157"/>
        <v>0.11542620123190936</v>
      </c>
      <c r="AK96" s="65">
        <f t="shared" si="157"/>
        <v>0.11540377836724577</v>
      </c>
      <c r="AL96" s="65">
        <f t="shared" si="157"/>
        <v>0.11536959672744299</v>
      </c>
      <c r="AM96" s="65">
        <f t="shared" ca="1" si="157"/>
        <v>0.11532392434762592</v>
      </c>
      <c r="AN96" s="65">
        <f t="shared" ca="1" si="157"/>
        <v>0.11524901967606641</v>
      </c>
      <c r="AO96" s="65">
        <f t="shared" ca="1" si="157"/>
        <v>0.11515054419192591</v>
      </c>
      <c r="AP96" s="65">
        <f t="shared" ca="1" si="157"/>
        <v>0.11505212576142076</v>
      </c>
      <c r="AQ96" s="65">
        <f t="shared" ca="1" si="157"/>
        <v>0.11495248772613267</v>
      </c>
      <c r="AR96" s="65">
        <f t="shared" ca="1" si="157"/>
        <v>0.11485186713779399</v>
      </c>
      <c r="AS96" s="65">
        <f t="shared" ca="1" si="157"/>
        <v>0.11475166556925226</v>
      </c>
      <c r="AT96" s="65">
        <f t="shared" ca="1" si="157"/>
        <v>0.11465201812447334</v>
      </c>
      <c r="AU96" s="65">
        <f t="shared" ca="1" si="157"/>
        <v>0.11455298692767987</v>
      </c>
      <c r="AV96" s="65">
        <f t="shared" ca="1" si="157"/>
        <v>0.11445458555803759</v>
      </c>
      <c r="AW96" s="65">
        <f t="shared" ca="1" si="157"/>
        <v>0.11435681407294138</v>
      </c>
      <c r="AX96" s="65">
        <f t="shared" ca="1" si="157"/>
        <v>0.1142596724336806</v>
      </c>
      <c r="AY96" s="65">
        <f t="shared" ca="1" si="157"/>
        <v>0.11422425876592712</v>
      </c>
      <c r="AZ96" s="65">
        <f t="shared" ca="1" si="157"/>
        <v>0.11418818691248453</v>
      </c>
      <c r="BA96" s="65">
        <f t="shared" ca="1" si="157"/>
        <v>0.11409028395666053</v>
      </c>
      <c r="BB96" s="65">
        <f t="shared" ca="1" si="157"/>
        <v>0.11399304251922752</v>
      </c>
      <c r="BC96" s="65">
        <f t="shared" ca="1" si="157"/>
        <v>0.11389545522911124</v>
      </c>
      <c r="BD96" s="65">
        <f t="shared" ca="1" si="157"/>
        <v>0.11379759095966838</v>
      </c>
      <c r="BE96" s="65">
        <f t="shared" ca="1" si="157"/>
        <v>0.1137004772139153</v>
      </c>
      <c r="BF96" s="65">
        <f t="shared" ca="1" si="157"/>
        <v>0.11360411117126652</v>
      </c>
      <c r="BG96" s="65">
        <f t="shared" ca="1" si="157"/>
        <v>0.11350848995041071</v>
      </c>
      <c r="BH96" s="65">
        <f t="shared" ca="1" si="157"/>
        <v>0.11341361061137376</v>
      </c>
      <c r="BI96" s="65">
        <f t="shared" ca="1" si="157"/>
        <v>0.11294187228439953</v>
      </c>
      <c r="BJ96" s="65">
        <f t="shared" ref="BJ96" ca="1" si="158">BJ90*BJ93+BJ91*BJ95</f>
        <v>0.11207652137080808</v>
      </c>
      <c r="BK96" s="65">
        <f t="shared" ref="BK96" ca="1" si="159">BK90*BK93+BK91*BK95</f>
        <v>0.11118685985116986</v>
      </c>
      <c r="BL96" s="65">
        <f t="shared" ref="BL96" ca="1" si="160">BL90*BL93+BL91*BL95</f>
        <v>0.11028839608059088</v>
      </c>
      <c r="BM96" s="65">
        <f t="shared" ref="BM96" ca="1" si="161">BM90*BM93+BM91*BM95</f>
        <v>0.10940097535283839</v>
      </c>
      <c r="BN96" s="65">
        <f t="shared" ref="BN96" ca="1" si="162">BN90*BN93+BN91*BN95</f>
        <v>0.1087203751498573</v>
      </c>
      <c r="BO96" s="65">
        <f t="shared" ref="BO96" ca="1" si="163">BO90*BO93+BO91*BO95</f>
        <v>0.10872235090479952</v>
      </c>
    </row>
    <row r="97" spans="1:67">
      <c r="A97" s="11"/>
      <c r="B97" s="11"/>
      <c r="C97" s="11"/>
      <c r="D97" s="33"/>
      <c r="E97" s="33"/>
      <c r="F97" s="3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row>
    <row r="98" spans="1:67">
      <c r="A98" s="18" t="s">
        <v>554</v>
      </c>
      <c r="B98" s="18"/>
      <c r="C98" s="18"/>
      <c r="D98" s="39"/>
      <c r="E98" s="39"/>
      <c r="F98" s="39"/>
      <c r="G98" s="40"/>
      <c r="H98" s="40"/>
      <c r="I98" s="40"/>
      <c r="J98" s="40"/>
      <c r="K98" s="40"/>
      <c r="L98" s="40"/>
      <c r="M98" s="40"/>
      <c r="N98" s="40"/>
      <c r="O98" s="40"/>
      <c r="P98" s="40"/>
      <c r="Q98" s="40"/>
      <c r="R98" s="40"/>
      <c r="S98" s="40"/>
      <c r="T98" s="40"/>
      <c r="U98" s="40"/>
      <c r="V98" s="40"/>
      <c r="W98" s="40"/>
      <c r="X98" s="40"/>
      <c r="Y98" s="40"/>
      <c r="Z98" s="40"/>
      <c r="AA98" s="40"/>
      <c r="AB98" s="40"/>
      <c r="AC98" s="40"/>
      <c r="AD98" s="40"/>
      <c r="AE98" s="40"/>
      <c r="AF98" s="40"/>
      <c r="AG98" s="40"/>
      <c r="AH98" s="40"/>
      <c r="AI98" s="40"/>
      <c r="AJ98" s="40"/>
      <c r="AK98" s="40"/>
      <c r="AL98" s="40"/>
      <c r="AM98" s="40"/>
      <c r="AN98" s="40"/>
      <c r="AO98" s="40"/>
      <c r="AP98" s="40"/>
      <c r="AQ98" s="40"/>
      <c r="AR98" s="40"/>
      <c r="AS98" s="40"/>
      <c r="AT98" s="40"/>
      <c r="AU98" s="40"/>
      <c r="AV98" s="40"/>
      <c r="AW98" s="40"/>
      <c r="AX98" s="40"/>
      <c r="AY98" s="40"/>
      <c r="AZ98" s="40"/>
      <c r="BA98" s="40"/>
      <c r="BB98" s="40"/>
      <c r="BC98" s="40"/>
      <c r="BD98" s="40"/>
      <c r="BE98" s="40"/>
      <c r="BF98" s="40"/>
      <c r="BG98" s="40"/>
      <c r="BH98" s="40"/>
      <c r="BI98" s="40"/>
      <c r="BJ98" s="40"/>
      <c r="BK98" s="40"/>
      <c r="BL98" s="40"/>
      <c r="BM98" s="40"/>
      <c r="BN98" s="40"/>
      <c r="BO98" s="40"/>
    </row>
    <row r="99" spans="1:67">
      <c r="A99" s="11"/>
      <c r="B99" s="11"/>
      <c r="C99" s="11" t="s">
        <v>555</v>
      </c>
      <c r="D99" s="33"/>
      <c r="E99" s="33"/>
      <c r="F99" s="33"/>
      <c r="G99" s="90">
        <f>G22</f>
        <v>-354800</v>
      </c>
      <c r="H99" s="90">
        <f t="shared" ref="H99:BI99" si="164">H22</f>
        <v>-354800</v>
      </c>
      <c r="I99" s="90">
        <f t="shared" si="164"/>
        <v>-354800</v>
      </c>
      <c r="J99" s="90">
        <f t="shared" si="164"/>
        <v>-354800</v>
      </c>
      <c r="K99" s="90">
        <f t="shared" si="164"/>
        <v>-354800</v>
      </c>
      <c r="L99" s="90">
        <f t="shared" si="164"/>
        <v>-354800</v>
      </c>
      <c r="M99" s="90">
        <f t="shared" si="164"/>
        <v>-354800</v>
      </c>
      <c r="N99" s="90">
        <f t="shared" si="164"/>
        <v>-354800</v>
      </c>
      <c r="O99" s="90">
        <f t="shared" si="164"/>
        <v>-354800</v>
      </c>
      <c r="P99" s="90">
        <f t="shared" si="164"/>
        <v>-448550</v>
      </c>
      <c r="Q99" s="90">
        <f t="shared" si="164"/>
        <v>-448550</v>
      </c>
      <c r="R99" s="90">
        <f t="shared" si="164"/>
        <v>-704383.33333333337</v>
      </c>
      <c r="S99" s="90">
        <f t="shared" si="164"/>
        <v>-601246</v>
      </c>
      <c r="T99" s="90">
        <f t="shared" si="164"/>
        <v>-1184579.3333333333</v>
      </c>
      <c r="U99" s="90">
        <f t="shared" si="164"/>
        <v>-1184579.3333333333</v>
      </c>
      <c r="V99" s="90">
        <f t="shared" si="164"/>
        <v>-1290204.3333333335</v>
      </c>
      <c r="W99" s="90">
        <f t="shared" si="164"/>
        <v>-1290204.3333333335</v>
      </c>
      <c r="X99" s="90">
        <f t="shared" si="164"/>
        <v>-1279787.6666666667</v>
      </c>
      <c r="Y99" s="90">
        <f t="shared" si="164"/>
        <v>-1279787.6666666667</v>
      </c>
      <c r="Z99" s="90">
        <f t="shared" si="164"/>
        <v>-1355412.6666666667</v>
      </c>
      <c r="AA99" s="90">
        <f t="shared" si="164"/>
        <v>-1355412.6666666667</v>
      </c>
      <c r="AB99" s="90">
        <f t="shared" si="164"/>
        <v>-33183279.04799848</v>
      </c>
      <c r="AC99" s="90">
        <f t="shared" si="164"/>
        <v>-14224107.739055265</v>
      </c>
      <c r="AD99" s="90">
        <f t="shared" si="164"/>
        <v>-11883461.101893414</v>
      </c>
      <c r="AE99" s="90">
        <f t="shared" si="164"/>
        <v>-9471181.0958542358</v>
      </c>
      <c r="AF99" s="90">
        <f t="shared" si="164"/>
        <v>-6401080.9191445261</v>
      </c>
      <c r="AG99" s="90">
        <f t="shared" si="164"/>
        <v>-4009295.2534911539</v>
      </c>
      <c r="AH99" s="90">
        <f t="shared" si="164"/>
        <v>-1520263.6194417328</v>
      </c>
      <c r="AI99" s="90">
        <f t="shared" si="164"/>
        <v>917180.40834800806</v>
      </c>
      <c r="AJ99" s="90">
        <f t="shared" si="164"/>
        <v>3387141.8378667766</v>
      </c>
      <c r="AK99" s="90">
        <f t="shared" si="164"/>
        <v>5851475.1258781161</v>
      </c>
      <c r="AL99" s="90">
        <f t="shared" si="164"/>
        <v>8352393.4471434951</v>
      </c>
      <c r="AM99" s="90">
        <f t="shared" si="164"/>
        <v>10856883.688384838</v>
      </c>
      <c r="AN99" s="90">
        <f t="shared" si="164"/>
        <v>13361882.6422382</v>
      </c>
      <c r="AO99" s="90">
        <f t="shared" si="164"/>
        <v>13453672.238119666</v>
      </c>
      <c r="AP99" s="90">
        <f t="shared" si="164"/>
        <v>13618537.233007617</v>
      </c>
      <c r="AQ99" s="90">
        <f t="shared" si="164"/>
        <v>14304232.964556919</v>
      </c>
      <c r="AR99" s="90">
        <f t="shared" si="164"/>
        <v>14406554.287046215</v>
      </c>
      <c r="AS99" s="90">
        <f t="shared" si="164"/>
        <v>14471561.701426068</v>
      </c>
      <c r="AT99" s="90">
        <f t="shared" si="164"/>
        <v>14514547.595470317</v>
      </c>
      <c r="AU99" s="90">
        <f t="shared" si="164"/>
        <v>14551159.170453001</v>
      </c>
      <c r="AV99" s="90">
        <f t="shared" si="164"/>
        <v>14587770.745435679</v>
      </c>
      <c r="AW99" s="90">
        <f t="shared" si="164"/>
        <v>14624382.320418363</v>
      </c>
      <c r="AX99" s="90">
        <f t="shared" si="164"/>
        <v>14660993.895401053</v>
      </c>
      <c r="AY99" s="90">
        <f t="shared" si="164"/>
        <v>14697605.470383734</v>
      </c>
      <c r="AZ99" s="90">
        <f t="shared" ca="1" si="164"/>
        <v>14734217.045366423</v>
      </c>
      <c r="BA99" s="90">
        <f t="shared" ca="1" si="164"/>
        <v>14770828.620349107</v>
      </c>
      <c r="BB99" s="90">
        <f t="shared" ca="1" si="164"/>
        <v>14807440.195331786</v>
      </c>
      <c r="BC99" s="90">
        <f t="shared" ca="1" si="164"/>
        <v>15411437.590125959</v>
      </c>
      <c r="BD99" s="90">
        <f t="shared" ca="1" si="164"/>
        <v>15448002.479594575</v>
      </c>
      <c r="BE99" s="90">
        <f t="shared" ca="1" si="164"/>
        <v>15484567.369063197</v>
      </c>
      <c r="BF99" s="90">
        <f t="shared" ca="1" si="164"/>
        <v>15521132.258531824</v>
      </c>
      <c r="BG99" s="90">
        <f t="shared" ca="1" si="164"/>
        <v>15557697.14800044</v>
      </c>
      <c r="BH99" s="90">
        <f t="shared" ca="1" si="164"/>
        <v>15594262.037469069</v>
      </c>
      <c r="BI99" s="90">
        <f t="shared" ca="1" si="164"/>
        <v>192057939.57794985</v>
      </c>
      <c r="BJ99" s="90">
        <f t="shared" ref="BJ99:BO99" ca="1" si="165">BJ22</f>
        <v>204278758.68880963</v>
      </c>
      <c r="BK99" s="90">
        <f t="shared" ca="1" si="165"/>
        <v>228868306.35362518</v>
      </c>
      <c r="BL99" s="90">
        <f t="shared" ca="1" si="165"/>
        <v>245324472.67902416</v>
      </c>
      <c r="BM99" s="90">
        <f t="shared" ca="1" si="165"/>
        <v>257744914.91242033</v>
      </c>
      <c r="BN99" s="90">
        <f t="shared" ca="1" si="165"/>
        <v>235121936.65687171</v>
      </c>
      <c r="BO99" s="90">
        <f t="shared" ca="1" si="165"/>
        <v>215366378.20430723</v>
      </c>
    </row>
    <row r="100" spans="1:67">
      <c r="A100" s="11"/>
      <c r="B100" s="11"/>
      <c r="C100" s="11" t="s">
        <v>478</v>
      </c>
      <c r="D100" s="33"/>
      <c r="E100" s="33"/>
      <c r="F100" s="33"/>
      <c r="G100" s="90">
        <f>G23</f>
        <v>0</v>
      </c>
      <c r="H100" s="90">
        <f t="shared" ref="H100:BI100" si="166">H23</f>
        <v>0</v>
      </c>
      <c r="I100" s="90">
        <f t="shared" si="166"/>
        <v>0</v>
      </c>
      <c r="J100" s="90">
        <f t="shared" si="166"/>
        <v>0</v>
      </c>
      <c r="K100" s="90">
        <f t="shared" si="166"/>
        <v>0</v>
      </c>
      <c r="L100" s="90">
        <f t="shared" si="166"/>
        <v>0</v>
      </c>
      <c r="M100" s="90">
        <f t="shared" si="166"/>
        <v>0</v>
      </c>
      <c r="N100" s="90">
        <f t="shared" si="166"/>
        <v>0</v>
      </c>
      <c r="O100" s="90">
        <f t="shared" si="166"/>
        <v>0</v>
      </c>
      <c r="P100" s="90">
        <f t="shared" si="166"/>
        <v>0</v>
      </c>
      <c r="Q100" s="90">
        <f t="shared" si="166"/>
        <v>0</v>
      </c>
      <c r="R100" s="90">
        <f t="shared" si="166"/>
        <v>0</v>
      </c>
      <c r="S100" s="90">
        <f t="shared" si="166"/>
        <v>0</v>
      </c>
      <c r="T100" s="90">
        <f t="shared" si="166"/>
        <v>0</v>
      </c>
      <c r="U100" s="90">
        <f t="shared" si="166"/>
        <v>0</v>
      </c>
      <c r="V100" s="90">
        <f t="shared" si="166"/>
        <v>0</v>
      </c>
      <c r="W100" s="90">
        <f t="shared" si="166"/>
        <v>0</v>
      </c>
      <c r="X100" s="90">
        <f t="shared" si="166"/>
        <v>0</v>
      </c>
      <c r="Y100" s="90">
        <f t="shared" si="166"/>
        <v>0</v>
      </c>
      <c r="Z100" s="90">
        <f t="shared" si="166"/>
        <v>0</v>
      </c>
      <c r="AA100" s="90">
        <f t="shared" si="166"/>
        <v>0</v>
      </c>
      <c r="AB100" s="90">
        <f t="shared" si="166"/>
        <v>9564374.9999999981</v>
      </c>
      <c r="AC100" s="90">
        <f t="shared" si="166"/>
        <v>9574444.4444444422</v>
      </c>
      <c r="AD100" s="90">
        <f t="shared" si="166"/>
        <v>9584513.8888888881</v>
      </c>
      <c r="AE100" s="90">
        <f t="shared" si="166"/>
        <v>9594583.3333333321</v>
      </c>
      <c r="AF100" s="90">
        <f t="shared" si="166"/>
        <v>9604652.7777777761</v>
      </c>
      <c r="AG100" s="90">
        <f t="shared" si="166"/>
        <v>9614722.2222222202</v>
      </c>
      <c r="AH100" s="90">
        <f t="shared" si="166"/>
        <v>9624791.666666666</v>
      </c>
      <c r="AI100" s="90">
        <f t="shared" si="166"/>
        <v>9634861.1111111101</v>
      </c>
      <c r="AJ100" s="90">
        <f t="shared" si="166"/>
        <v>9644930.5555555541</v>
      </c>
      <c r="AK100" s="90">
        <f t="shared" si="166"/>
        <v>9654999.9999999981</v>
      </c>
      <c r="AL100" s="90">
        <f t="shared" si="166"/>
        <v>9665069.4444444422</v>
      </c>
      <c r="AM100" s="90">
        <f t="shared" si="166"/>
        <v>9675138.8888888881</v>
      </c>
      <c r="AN100" s="90">
        <f t="shared" si="166"/>
        <v>9685208.3333333321</v>
      </c>
      <c r="AO100" s="90">
        <f t="shared" si="166"/>
        <v>9695277.7777777761</v>
      </c>
      <c r="AP100" s="90">
        <f t="shared" si="166"/>
        <v>9705347.2222222202</v>
      </c>
      <c r="AQ100" s="90">
        <f t="shared" si="166"/>
        <v>9715416.666666666</v>
      </c>
      <c r="AR100" s="90">
        <f t="shared" si="166"/>
        <v>9725486.1111111101</v>
      </c>
      <c r="AS100" s="90">
        <f t="shared" si="166"/>
        <v>9735555.5555555541</v>
      </c>
      <c r="AT100" s="90">
        <f t="shared" si="166"/>
        <v>9745624.9999999981</v>
      </c>
      <c r="AU100" s="90">
        <f t="shared" si="166"/>
        <v>9755694.4444444422</v>
      </c>
      <c r="AV100" s="90">
        <f t="shared" si="166"/>
        <v>9765763.8888888881</v>
      </c>
      <c r="AW100" s="90">
        <f t="shared" si="166"/>
        <v>9775833.3333333321</v>
      </c>
      <c r="AX100" s="90">
        <f t="shared" si="166"/>
        <v>9785902.7777777761</v>
      </c>
      <c r="AY100" s="90">
        <f t="shared" si="166"/>
        <v>9795972.2222222202</v>
      </c>
      <c r="AZ100" s="90">
        <f t="shared" si="166"/>
        <v>9806041.666666666</v>
      </c>
      <c r="BA100" s="90">
        <f t="shared" si="166"/>
        <v>9816111.1111111101</v>
      </c>
      <c r="BB100" s="90">
        <f t="shared" si="166"/>
        <v>9826180.5555555541</v>
      </c>
      <c r="BC100" s="90">
        <f t="shared" si="166"/>
        <v>9836249.9999999981</v>
      </c>
      <c r="BD100" s="90">
        <f t="shared" si="166"/>
        <v>9846319.4444444422</v>
      </c>
      <c r="BE100" s="90">
        <f t="shared" si="166"/>
        <v>9856388.8888888881</v>
      </c>
      <c r="BF100" s="90">
        <f t="shared" si="166"/>
        <v>9866458.3333333321</v>
      </c>
      <c r="BG100" s="90">
        <f t="shared" si="166"/>
        <v>9876527.7777777761</v>
      </c>
      <c r="BH100" s="90">
        <f t="shared" si="166"/>
        <v>9886597.2222222202</v>
      </c>
      <c r="BI100" s="90">
        <f t="shared" si="166"/>
        <v>120089166.66666666</v>
      </c>
      <c r="BJ100" s="90">
        <f t="shared" ref="BJ100:BO100" si="167">BJ23</f>
        <v>121539166.66666666</v>
      </c>
      <c r="BK100" s="90">
        <f t="shared" si="167"/>
        <v>110689166.66666666</v>
      </c>
      <c r="BL100" s="90">
        <f t="shared" si="167"/>
        <v>108039166.66666666</v>
      </c>
      <c r="BM100" s="90">
        <f t="shared" si="167"/>
        <v>109489166.66666666</v>
      </c>
      <c r="BN100" s="90">
        <f t="shared" si="167"/>
        <v>110939166.66666666</v>
      </c>
      <c r="BO100" s="90">
        <f t="shared" si="167"/>
        <v>112389166.66666666</v>
      </c>
    </row>
    <row r="101" spans="1:67">
      <c r="A101" s="11"/>
      <c r="B101" s="11"/>
      <c r="C101" s="11" t="s">
        <v>556</v>
      </c>
      <c r="D101" s="33"/>
      <c r="E101" s="33"/>
      <c r="F101" s="33"/>
      <c r="G101" s="90">
        <f>'06 Debt &amp; WC'!G$24*(1-IF(G27=1,0,'01 Major Assumptions'!$D$151))</f>
        <v>0</v>
      </c>
      <c r="H101" s="90">
        <f>'06 Debt &amp; WC'!H$24*(1-IF(H27=1,0,'01 Major Assumptions'!$D$151))</f>
        <v>0</v>
      </c>
      <c r="I101" s="90">
        <f>'06 Debt &amp; WC'!I$24*(1-IF(I27=1,0,'01 Major Assumptions'!$D$151))</f>
        <v>0</v>
      </c>
      <c r="J101" s="90">
        <f>'06 Debt &amp; WC'!J$24*(1-IF(J27=1,0,'01 Major Assumptions'!$D$151))</f>
        <v>0</v>
      </c>
      <c r="K101" s="90">
        <f>'06 Debt &amp; WC'!K$24*(1-IF(K27=1,0,'01 Major Assumptions'!$D$151))</f>
        <v>0</v>
      </c>
      <c r="L101" s="90">
        <f>'06 Debt &amp; WC'!L$24*(1-IF(L27=1,0,'01 Major Assumptions'!$D$151))</f>
        <v>0</v>
      </c>
      <c r="M101" s="90">
        <f>'06 Debt &amp; WC'!M$24*(1-IF(M27=1,0,'01 Major Assumptions'!$D$151))</f>
        <v>0</v>
      </c>
      <c r="N101" s="90">
        <f>'06 Debt &amp; WC'!N$24*(1-IF(N27=1,0,'01 Major Assumptions'!$D$151))</f>
        <v>0</v>
      </c>
      <c r="O101" s="90">
        <f>'06 Debt &amp; WC'!O$24*(1-IF(O27=1,0,'01 Major Assumptions'!$D$151))</f>
        <v>0</v>
      </c>
      <c r="P101" s="90">
        <f>'06 Debt &amp; WC'!P$24*(1-IF(P27=1,0,'01 Major Assumptions'!$D$151))</f>
        <v>0</v>
      </c>
      <c r="Q101" s="90">
        <f>'06 Debt &amp; WC'!Q$24*(1-IF(Q27=1,0,'01 Major Assumptions'!$D$151))</f>
        <v>0</v>
      </c>
      <c r="R101" s="90">
        <f>'06 Debt &amp; WC'!R$24*(1-IF(R27=1,0,'01 Major Assumptions'!$D$151))</f>
        <v>0</v>
      </c>
      <c r="S101" s="90">
        <f>'06 Debt &amp; WC'!S$24*(1-IF(S27=1,0,'01 Major Assumptions'!$D$151))</f>
        <v>0</v>
      </c>
      <c r="T101" s="90">
        <f>'06 Debt &amp; WC'!T$24*(1-IF(T27=1,0,'01 Major Assumptions'!$D$151))</f>
        <v>0</v>
      </c>
      <c r="U101" s="90">
        <f>'06 Debt &amp; WC'!U$24*(1-IF(U27=1,0,'01 Major Assumptions'!$D$151))</f>
        <v>0</v>
      </c>
      <c r="V101" s="90">
        <f>'06 Debt &amp; WC'!V$24*(1-IF(V27=1,0,'01 Major Assumptions'!$D$151))</f>
        <v>0</v>
      </c>
      <c r="W101" s="90">
        <f>'06 Debt &amp; WC'!W$24*(1-IF(W27=1,0,'01 Major Assumptions'!$D$151))</f>
        <v>0</v>
      </c>
      <c r="X101" s="90">
        <f>'06 Debt &amp; WC'!X$24*(1-IF(X27=1,0,'01 Major Assumptions'!$D$151))</f>
        <v>0</v>
      </c>
      <c r="Y101" s="90">
        <f>'06 Debt &amp; WC'!Y$24*(1-IF(Y27=1,0,'01 Major Assumptions'!$D$151))</f>
        <v>0</v>
      </c>
      <c r="Z101" s="90">
        <f>'06 Debt &amp; WC'!Z$24*(1-IF(Z27=1,0,'01 Major Assumptions'!$D$151))</f>
        <v>0</v>
      </c>
      <c r="AA101" s="90">
        <f>'06 Debt &amp; WC'!AA$24*(1-IF(AA27=1,0,'01 Major Assumptions'!$D$151))</f>
        <v>0</v>
      </c>
      <c r="AB101" s="90">
        <f>'06 Debt &amp; WC'!AB$24*(1-IF(AB27=1,0,'01 Major Assumptions'!$D$151))</f>
        <v>4357770.2000038223</v>
      </c>
      <c r="AC101" s="90">
        <f>'06 Debt &amp; WC'!AC$24*(1-IF(AC27=1,0,'01 Major Assumptions'!$D$151))</f>
        <v>4357770.2000038223</v>
      </c>
      <c r="AD101" s="90">
        <f>'06 Debt &amp; WC'!AD$24*(1-IF(AD27=1,0,'01 Major Assumptions'!$D$151))</f>
        <v>4357770.2000038223</v>
      </c>
      <c r="AE101" s="90">
        <f>'06 Debt &amp; WC'!AE$24*(1-IF(AE27=1,0,'01 Major Assumptions'!$D$151))</f>
        <v>4357770.2000038223</v>
      </c>
      <c r="AF101" s="90">
        <f>'06 Debt &amp; WC'!AF$24*(1-IF(AF27=1,0,'01 Major Assumptions'!$D$151))</f>
        <v>4357770.2000038223</v>
      </c>
      <c r="AG101" s="90">
        <f>'06 Debt &amp; WC'!AG$24*(1-IF(AG27=1,0,'01 Major Assumptions'!$D$151))</f>
        <v>4357770.2000038223</v>
      </c>
      <c r="AH101" s="90">
        <f>'06 Debt &amp; WC'!AH$24*(1-IF(AH27=1,0,'01 Major Assumptions'!$D$151))</f>
        <v>4357770.2000038223</v>
      </c>
      <c r="AI101" s="90">
        <f>'06 Debt &amp; WC'!AI$24*(1-IF(AI27=1,0,'01 Major Assumptions'!$D$151))</f>
        <v>4357770.2000038223</v>
      </c>
      <c r="AJ101" s="90">
        <f>'06 Debt &amp; WC'!AJ$24*(1-IF(AJ27=1,0,'01 Major Assumptions'!$D$151))</f>
        <v>4357770.2000038223</v>
      </c>
      <c r="AK101" s="90">
        <f>'06 Debt &amp; WC'!AK$24*(1-IF(AK27=1,0,'01 Major Assumptions'!$D$151))</f>
        <v>4357770.2000038223</v>
      </c>
      <c r="AL101" s="90">
        <f>'06 Debt &amp; WC'!AL$24*(1-IF(AL27=1,0,'01 Major Assumptions'!$D$151))</f>
        <v>4357770.2000038223</v>
      </c>
      <c r="AM101" s="90">
        <f>'06 Debt &amp; WC'!AM$24*(1-IF(AM27=1,0,'01 Major Assumptions'!$D$151))</f>
        <v>4357770.2000038223</v>
      </c>
      <c r="AN101" s="90">
        <f>'06 Debt &amp; WC'!AN$24*(1-IF(AN27=1,0,'01 Major Assumptions'!$D$151))</f>
        <v>4357770.2000038223</v>
      </c>
      <c r="AO101" s="90">
        <f>'06 Debt &amp; WC'!AO$24*(1-IF(AO27=1,0,'01 Major Assumptions'!$D$151))</f>
        <v>4305891.9833371099</v>
      </c>
      <c r="AP101" s="90">
        <f>'06 Debt &amp; WC'!AP$24*(1-IF(AP27=1,0,'01 Major Assumptions'!$D$151))</f>
        <v>4254013.7666703975</v>
      </c>
      <c r="AQ101" s="90">
        <f>'06 Debt &amp; WC'!AQ$24*(1-IF(AQ27=1,0,'01 Major Assumptions'!$D$151))</f>
        <v>4202135.5500036851</v>
      </c>
      <c r="AR101" s="90">
        <f>'06 Debt &amp; WC'!AR$24*(1-IF(AR27=1,0,'01 Major Assumptions'!$D$151))</f>
        <v>4150257.3333369731</v>
      </c>
      <c r="AS101" s="90">
        <f>'06 Debt &amp; WC'!AS$24*(1-IF(AS27=1,0,'01 Major Assumptions'!$D$151))</f>
        <v>4098379.1166702602</v>
      </c>
      <c r="AT101" s="90">
        <f>'06 Debt &amp; WC'!AT$24*(1-IF(AT27=1,0,'01 Major Assumptions'!$D$151))</f>
        <v>4046500.9000035482</v>
      </c>
      <c r="AU101" s="90">
        <f>'06 Debt &amp; WC'!AU$24*(1-IF(AU27=1,0,'01 Major Assumptions'!$D$151))</f>
        <v>3994622.6833368358</v>
      </c>
      <c r="AV101" s="90">
        <f>'06 Debt &amp; WC'!AV$24*(1-IF(AV27=1,0,'01 Major Assumptions'!$D$151))</f>
        <v>3942744.4666701234</v>
      </c>
      <c r="AW101" s="90">
        <f>'06 Debt &amp; WC'!AW$24*(1-IF(AW27=1,0,'01 Major Assumptions'!$D$151))</f>
        <v>3890866.250003411</v>
      </c>
      <c r="AX101" s="90">
        <f>'06 Debt &amp; WC'!AX$24*(1-IF(AX27=1,0,'01 Major Assumptions'!$D$151))</f>
        <v>3838988.0333366985</v>
      </c>
      <c r="AY101" s="90">
        <f>'06 Debt &amp; WC'!AY$24*(1-IF(AY27=1,0,'01 Major Assumptions'!$D$151))</f>
        <v>3787109.8166699861</v>
      </c>
      <c r="AZ101" s="90">
        <f>'06 Debt &amp; WC'!AZ$24*(1-IF(AZ27=1,0,'01 Major Assumptions'!$D$151))</f>
        <v>3735231.6000032737</v>
      </c>
      <c r="BA101" s="90">
        <f>'06 Debt &amp; WC'!BA$24*(1-IF(BA27=1,0,'01 Major Assumptions'!$D$151))</f>
        <v>3683353.3833365613</v>
      </c>
      <c r="BB101" s="90">
        <f>'06 Debt &amp; WC'!BB$24*(1-IF(BB27=1,0,'01 Major Assumptions'!$D$151))</f>
        <v>3631475.1666698493</v>
      </c>
      <c r="BC101" s="90">
        <f>'06 Debt &amp; WC'!BC$24*(1-IF(BC27=1,0,'01 Major Assumptions'!$D$151))</f>
        <v>3579596.9500031364</v>
      </c>
      <c r="BD101" s="90">
        <f>'06 Debt &amp; WC'!BD$24*(1-IF(BD27=1,0,'01 Major Assumptions'!$D$151))</f>
        <v>3527718.7333364245</v>
      </c>
      <c r="BE101" s="90">
        <f>'06 Debt &amp; WC'!BE$24*(1-IF(BE27=1,0,'01 Major Assumptions'!$D$151))</f>
        <v>3475840.5166697116</v>
      </c>
      <c r="BF101" s="90">
        <f>'06 Debt &amp; WC'!BF$24*(1-IF(BF27=1,0,'01 Major Assumptions'!$D$151))</f>
        <v>3423962.3000029996</v>
      </c>
      <c r="BG101" s="90">
        <f>'06 Debt &amp; WC'!BG$24*(1-IF(BG27=1,0,'01 Major Assumptions'!$D$151))</f>
        <v>3372084.0833362876</v>
      </c>
      <c r="BH101" s="90">
        <f>'06 Debt &amp; WC'!BH$24*(1-IF(BH27=1,0,'01 Major Assumptions'!$D$151))</f>
        <v>3320205.8666695748</v>
      </c>
      <c r="BI101" s="90">
        <f>'06 Debt &amp; WC'!BI$24*(1-IF(BI27=1,0,'01 Major Assumptions'!$D$151))</f>
        <v>39219931.800034352</v>
      </c>
      <c r="BJ101" s="90">
        <f>'06 Debt &amp; WC'!BJ$24*(1-IF(BJ27=1,0,'01 Major Assumptions'!$D$151))</f>
        <v>31749468.6000278</v>
      </c>
      <c r="BK101" s="90">
        <f>'06 Debt &amp; WC'!BK$24*(1-IF(BK27=1,0,'01 Major Assumptions'!$D$151))</f>
        <v>24279005.400021244</v>
      </c>
      <c r="BL101" s="90">
        <f>'06 Debt &amp; WC'!BL$24*(1-IF(BL27=1,0,'01 Major Assumptions'!$D$151))</f>
        <v>16808542.200014696</v>
      </c>
      <c r="BM101" s="90">
        <f>'06 Debt &amp; WC'!BM$24*(1-IF(BM27=1,0,'01 Major Assumptions'!$D$151))</f>
        <v>9338079.0000081416</v>
      </c>
      <c r="BN101" s="90">
        <f>'06 Debt &amp; WC'!BN$24*(1-IF(BN27=1,0,'01 Major Assumptions'!$D$151))</f>
        <v>1494092.6400012712</v>
      </c>
      <c r="BO101" s="90">
        <f>'06 Debt &amp; WC'!BO$24*(1-IF(BO27=1,0,'01 Major Assumptions'!$D$151))</f>
        <v>1494092.6400012712</v>
      </c>
    </row>
    <row r="102" spans="1:67">
      <c r="A102" s="11"/>
      <c r="B102" s="11"/>
      <c r="C102" s="11" t="s">
        <v>11</v>
      </c>
      <c r="D102" s="33"/>
      <c r="E102" s="33"/>
      <c r="F102" s="33"/>
      <c r="G102" s="90">
        <f>-'03 CAPEX &amp; Depreciation'!G$117</f>
        <v>-23407000</v>
      </c>
      <c r="H102" s="90">
        <f>-'03 CAPEX &amp; Depreciation'!H$117</f>
        <v>-23407000</v>
      </c>
      <c r="I102" s="90">
        <f>-'03 CAPEX &amp; Depreciation'!I$117</f>
        <v>-23407000</v>
      </c>
      <c r="J102" s="90">
        <f>-'03 CAPEX &amp; Depreciation'!J$117</f>
        <v>-269537000</v>
      </c>
      <c r="K102" s="90">
        <f>-'03 CAPEX &amp; Depreciation'!K$117</f>
        <v>-54713470.588235296</v>
      </c>
      <c r="L102" s="90">
        <f>-'03 CAPEX &amp; Depreciation'!L$117</f>
        <v>-54713470.588235296</v>
      </c>
      <c r="M102" s="90">
        <f>-'03 CAPEX &amp; Depreciation'!M$117</f>
        <v>-54723470.588235296</v>
      </c>
      <c r="N102" s="90">
        <f>-'03 CAPEX &amp; Depreciation'!N$117</f>
        <v>-54723470.588235296</v>
      </c>
      <c r="O102" s="90">
        <f>-'03 CAPEX &amp; Depreciation'!O$117</f>
        <v>-54723470.588235296</v>
      </c>
      <c r="P102" s="90">
        <f>-'03 CAPEX &amp; Depreciation'!P$117</f>
        <v>-65490137.25490196</v>
      </c>
      <c r="Q102" s="90">
        <f>-'03 CAPEX &amp; Depreciation'!Q$117</f>
        <v>-86868491.421568632</v>
      </c>
      <c r="R102" s="90">
        <f>-'03 CAPEX &amp; Depreciation'!R$117</f>
        <v>-66123504.655330881</v>
      </c>
      <c r="S102" s="90">
        <f>-'03 CAPEX &amp; Depreciation'!S$117</f>
        <v>-67148340.305547267</v>
      </c>
      <c r="T102" s="90">
        <f>-'03 CAPEX &amp; Depreciation'!T$117</f>
        <v>-67512060.482202306</v>
      </c>
      <c r="U102" s="90">
        <f>-'03 CAPEX &amp; Depreciation'!U$117</f>
        <v>-67877750.809814245</v>
      </c>
      <c r="V102" s="90">
        <f>-'03 CAPEX &amp; Depreciation'!V$117</f>
        <v>-68245421.960034072</v>
      </c>
      <c r="W102" s="90">
        <f>-'03 CAPEX &amp; Depreciation'!W$117</f>
        <v>-68615084.662317589</v>
      </c>
      <c r="X102" s="90">
        <f>-'03 CAPEX &amp; Depreciation'!X$117</f>
        <v>-68986749.704238474</v>
      </c>
      <c r="Y102" s="90">
        <f>-'03 CAPEX &amp; Depreciation'!Y$117</f>
        <v>-69360427.931803092</v>
      </c>
      <c r="Z102" s="90">
        <f>-'03 CAPEX &amp; Depreciation'!Z$117</f>
        <v>-69736130.249767035</v>
      </c>
      <c r="AA102" s="90">
        <f>-'03 CAPEX &amp; Depreciation'!AA$117</f>
        <v>-70380547.621298045</v>
      </c>
      <c r="AB102" s="90">
        <f>-'03 CAPEX &amp; Depreciation'!AB$117</f>
        <v>0</v>
      </c>
      <c r="AC102" s="90">
        <f>-'03 CAPEX &amp; Depreciation'!AC$117</f>
        <v>0</v>
      </c>
      <c r="AD102" s="90">
        <f>-'03 CAPEX &amp; Depreciation'!AD$117</f>
        <v>0</v>
      </c>
      <c r="AE102" s="90">
        <f>-'03 CAPEX &amp; Depreciation'!AE$117</f>
        <v>0</v>
      </c>
      <c r="AF102" s="90">
        <f>-'03 CAPEX &amp; Depreciation'!AF$117</f>
        <v>0</v>
      </c>
      <c r="AG102" s="90">
        <f>-'03 CAPEX &amp; Depreciation'!AG$117</f>
        <v>0</v>
      </c>
      <c r="AH102" s="90">
        <f>-'03 CAPEX &amp; Depreciation'!AH$117</f>
        <v>0</v>
      </c>
      <c r="AI102" s="90">
        <f>-'03 CAPEX &amp; Depreciation'!AI$117</f>
        <v>0</v>
      </c>
      <c r="AJ102" s="90">
        <f>-'03 CAPEX &amp; Depreciation'!AJ$117</f>
        <v>0</v>
      </c>
      <c r="AK102" s="90">
        <f>-'03 CAPEX &amp; Depreciation'!AK$117</f>
        <v>0</v>
      </c>
      <c r="AL102" s="90">
        <f>-'03 CAPEX &amp; Depreciation'!AL$117</f>
        <v>0</v>
      </c>
      <c r="AM102" s="90">
        <f>-'03 CAPEX &amp; Depreciation'!AM$117</f>
        <v>0</v>
      </c>
      <c r="AN102" s="90">
        <f>-'03 CAPEX &amp; Depreciation'!AN$117</f>
        <v>0</v>
      </c>
      <c r="AO102" s="90">
        <f>-'03 CAPEX &amp; Depreciation'!AO$117</f>
        <v>0</v>
      </c>
      <c r="AP102" s="90">
        <f>-'03 CAPEX &amp; Depreciation'!AP$117</f>
        <v>0</v>
      </c>
      <c r="AQ102" s="90">
        <f>-'03 CAPEX &amp; Depreciation'!AQ$117</f>
        <v>0</v>
      </c>
      <c r="AR102" s="90">
        <f>-'03 CAPEX &amp; Depreciation'!AR$117</f>
        <v>0</v>
      </c>
      <c r="AS102" s="90">
        <f>-'03 CAPEX &amp; Depreciation'!AS$117</f>
        <v>0</v>
      </c>
      <c r="AT102" s="90">
        <f>-'03 CAPEX &amp; Depreciation'!AT$117</f>
        <v>0</v>
      </c>
      <c r="AU102" s="90">
        <f>-'03 CAPEX &amp; Depreciation'!AU$117</f>
        <v>0</v>
      </c>
      <c r="AV102" s="90">
        <f>-'03 CAPEX &amp; Depreciation'!AV$117</f>
        <v>0</v>
      </c>
      <c r="AW102" s="90">
        <f>-'03 CAPEX &amp; Depreciation'!AW$117</f>
        <v>0</v>
      </c>
      <c r="AX102" s="90">
        <f>-'03 CAPEX &amp; Depreciation'!AX$117</f>
        <v>0</v>
      </c>
      <c r="AY102" s="90">
        <f>-'03 CAPEX &amp; Depreciation'!AY$117</f>
        <v>0</v>
      </c>
      <c r="AZ102" s="90">
        <f>-'03 CAPEX &amp; Depreciation'!AZ$117</f>
        <v>0</v>
      </c>
      <c r="BA102" s="90">
        <f>-'03 CAPEX &amp; Depreciation'!BA$117</f>
        <v>0</v>
      </c>
      <c r="BB102" s="90">
        <f>-'03 CAPEX &amp; Depreciation'!BB$117</f>
        <v>0</v>
      </c>
      <c r="BC102" s="90">
        <f>-'03 CAPEX &amp; Depreciation'!BC$117</f>
        <v>0</v>
      </c>
      <c r="BD102" s="90">
        <f>-'03 CAPEX &amp; Depreciation'!BD$117</f>
        <v>0</v>
      </c>
      <c r="BE102" s="90">
        <f>-'03 CAPEX &amp; Depreciation'!BE$117</f>
        <v>0</v>
      </c>
      <c r="BF102" s="90">
        <f>-'03 CAPEX &amp; Depreciation'!BF$117</f>
        <v>0</v>
      </c>
      <c r="BG102" s="90">
        <f>-'03 CAPEX &amp; Depreciation'!BG$117</f>
        <v>0</v>
      </c>
      <c r="BH102" s="90">
        <f>-'03 CAPEX &amp; Depreciation'!BH$117</f>
        <v>0</v>
      </c>
      <c r="BI102" s="90">
        <f>-'03 CAPEX &amp; Depreciation'!BI$117</f>
        <v>0</v>
      </c>
      <c r="BJ102" s="90">
        <f>-'03 CAPEX &amp; Depreciation'!BJ$117</f>
        <v>0</v>
      </c>
      <c r="BK102" s="90">
        <f>-'03 CAPEX &amp; Depreciation'!BK$117</f>
        <v>0</v>
      </c>
      <c r="BL102" s="90">
        <f>-'03 CAPEX &amp; Depreciation'!BL$117</f>
        <v>0</v>
      </c>
      <c r="BM102" s="90">
        <f>-'03 CAPEX &amp; Depreciation'!BM$117</f>
        <v>0</v>
      </c>
      <c r="BN102" s="90">
        <f>-'03 CAPEX &amp; Depreciation'!BN$117</f>
        <v>0</v>
      </c>
      <c r="BO102" s="90">
        <f>-'03 CAPEX &amp; Depreciation'!BO$117</f>
        <v>0</v>
      </c>
    </row>
    <row r="103" spans="1:67">
      <c r="A103" s="11"/>
      <c r="B103" s="11"/>
      <c r="C103" s="11" t="s">
        <v>535</v>
      </c>
      <c r="D103" s="33"/>
      <c r="E103" s="33"/>
      <c r="F103" s="33"/>
      <c r="G103" s="90">
        <f>-'06 Debt &amp; WC'!G$54</f>
        <v>339579.4838709677</v>
      </c>
      <c r="H103" s="90">
        <f>-'06 Debt &amp; WC'!H$54</f>
        <v>35243.087557603722</v>
      </c>
      <c r="I103" s="90">
        <f>-'06 Debt &amp; WC'!I$54</f>
        <v>-35243.087557603722</v>
      </c>
      <c r="J103" s="90">
        <f>-'06 Debt &amp; WC'!J$54</f>
        <v>10964.516129032301</v>
      </c>
      <c r="K103" s="90">
        <f>-'06 Debt &amp; WC'!K$54</f>
        <v>-10964.516129032301</v>
      </c>
      <c r="L103" s="90">
        <f>-'06 Debt &amp; WC'!L$54</f>
        <v>10964.516129032301</v>
      </c>
      <c r="M103" s="90">
        <f>-'06 Debt &amp; WC'!M$54</f>
        <v>-10964.516129032301</v>
      </c>
      <c r="N103" s="90">
        <f>-'06 Debt &amp; WC'!N$54</f>
        <v>0</v>
      </c>
      <c r="O103" s="90">
        <f>-'06 Debt &amp; WC'!O$54</f>
        <v>10964.516129032301</v>
      </c>
      <c r="P103" s="90">
        <f>-'06 Debt &amp; WC'!P$54</f>
        <v>82573.790322580608</v>
      </c>
      <c r="Q103" s="90">
        <f>-'06 Debt &amp; WC'!Q$54</f>
        <v>13988.709677419392</v>
      </c>
      <c r="R103" s="90">
        <f>-'06 Debt &amp; WC'!R$54</f>
        <v>241266.93548387091</v>
      </c>
      <c r="S103" s="90">
        <f>-'06 Debt &amp; WC'!S$54</f>
        <v>-103192.82967741927</v>
      </c>
      <c r="T103" s="90">
        <f>-'06 Debt &amp; WC'!T$54</f>
        <v>660061.60177975509</v>
      </c>
      <c r="U103" s="90">
        <f>-'06 Debt &amp; WC'!U$54</f>
        <v>-78045.472747497261</v>
      </c>
      <c r="V103" s="90">
        <f>-'06 Debt &amp; WC'!V$54</f>
        <v>146515.72849462391</v>
      </c>
      <c r="W103" s="90">
        <f>-'06 Debt &amp; WC'!W$54</f>
        <v>-41129.236559139565</v>
      </c>
      <c r="X103" s="90">
        <f>-'06 Debt &amp; WC'!X$54</f>
        <v>30400.06989247282</v>
      </c>
      <c r="Y103" s="90">
        <f>-'06 Debt &amp; WC'!Y$54</f>
        <v>-40793.215053763473</v>
      </c>
      <c r="Z103" s="90">
        <f>-'06 Debt &amp; WC'!Z$54</f>
        <v>75454.233870967757</v>
      </c>
      <c r="AA103" s="90">
        <f>-'06 Debt &amp; WC'!AA$54</f>
        <v>43232.731182795716</v>
      </c>
      <c r="AB103" s="90">
        <f>-'06 Debt &amp; WC'!AB$54</f>
        <v>-23027100.037171833</v>
      </c>
      <c r="AC103" s="90">
        <f>-'06 Debt &amp; WC'!AC$54</f>
        <v>-14491186.720806874</v>
      </c>
      <c r="AD103" s="90">
        <f>-'06 Debt &amp; WC'!AD$54</f>
        <v>-4650049.2291548699</v>
      </c>
      <c r="AE103" s="90">
        <f>-'06 Debt &amp; WC'!AE$54</f>
        <v>-6175890.7446393594</v>
      </c>
      <c r="AF103" s="90">
        <f>-'06 Debt &amp; WC'!AF$54</f>
        <v>-9824262.2611647397</v>
      </c>
      <c r="AG103" s="90">
        <f>-'06 Debt &amp; WC'!AG$54</f>
        <v>-1483951.3605119362</v>
      </c>
      <c r="AH103" s="90">
        <f>-'06 Debt &amp; WC'!AH$54</f>
        <v>-6898070.6549516544</v>
      </c>
      <c r="AI103" s="90">
        <f>-'06 Debt &amp; WC'!AI$54</f>
        <v>-3771172.4022088721</v>
      </c>
      <c r="AJ103" s="90">
        <f>-'06 Debt &amp; WC'!AJ$54</f>
        <v>-7216027.5345907211</v>
      </c>
      <c r="AK103" s="90">
        <f>-'06 Debt &amp; WC'!AK$54</f>
        <v>-3418710.2806343734</v>
      </c>
      <c r="AL103" s="90">
        <f>-'06 Debt &amp; WC'!AL$54</f>
        <v>-5317368.9076125026</v>
      </c>
      <c r="AM103" s="90">
        <f>-'06 Debt &amp; WC'!AM$54</f>
        <v>-7744720.7169524431</v>
      </c>
      <c r="AN103" s="90">
        <f>-'06 Debt &amp; WC'!AN$54</f>
        <v>-2890017.0982726365</v>
      </c>
      <c r="AO103" s="90">
        <f>-'06 Debt &amp; WC'!AO$54</f>
        <v>-2607522.0232000649</v>
      </c>
      <c r="AP103" s="90">
        <f>-'06 Debt &amp; WC'!AP$54</f>
        <v>2529234.4384924024</v>
      </c>
      <c r="AQ103" s="90">
        <f>-'06 Debt &amp; WC'!AQ$54</f>
        <v>-2049212.9157963693</v>
      </c>
      <c r="AR103" s="90">
        <f>-'06 Debt &amp; WC'!AR$54</f>
        <v>-8558273.6443495899</v>
      </c>
      <c r="AS103" s="90">
        <f>-'06 Debt &amp; WC'!AS$54</f>
        <v>8550572.755720228</v>
      </c>
      <c r="AT103" s="90">
        <f>-'06 Debt &amp; WC'!AT$54</f>
        <v>-2665493.64167431</v>
      </c>
      <c r="AU103" s="90">
        <f>-'06 Debt &amp; WC'!AU$54</f>
        <v>2657792.7530450076</v>
      </c>
      <c r="AV103" s="90">
        <f>-'06 Debt &amp; WC'!AV$54</f>
        <v>-2665760.7323564589</v>
      </c>
      <c r="AW103" s="90">
        <f>-'06 Debt &amp; WC'!AW$54</f>
        <v>2658059.8437270969</v>
      </c>
      <c r="AX103" s="90">
        <f>-'06 Debt &amp; WC'!AX$54</f>
        <v>-3850.4443146586418</v>
      </c>
      <c r="AY103" s="90">
        <f>-'06 Debt &amp; WC'!AY$54</f>
        <v>-2666161.3683796227</v>
      </c>
      <c r="AZ103" s="90">
        <f>-'06 Debt &amp; WC'!AZ$54</f>
        <v>2658460.4797502756</v>
      </c>
      <c r="BA103" s="90">
        <f>-'06 Debt &amp; WC'!BA$54</f>
        <v>-2666428.4590617269</v>
      </c>
      <c r="BB103" s="90">
        <f>-'06 Debt &amp; WC'!BB$54</f>
        <v>2658727.5704324096</v>
      </c>
      <c r="BC103" s="90">
        <f>-'06 Debt &amp; WC'!BC$54</f>
        <v>-2091809.4387821704</v>
      </c>
      <c r="BD103" s="90">
        <f>-'06 Debt &amp; WC'!BD$54</f>
        <v>-8743798.3240689486</v>
      </c>
      <c r="BE103" s="90">
        <f>-'06 Debt &amp; WC'!BE$54</f>
        <v>8736009.8775109649</v>
      </c>
      <c r="BF103" s="90">
        <f>-'06 Debt &amp; WC'!BF$54</f>
        <v>-2723245.601731047</v>
      </c>
      <c r="BG103" s="90">
        <f>-'06 Debt &amp; WC'!BG$54</f>
        <v>2715457.1551730633</v>
      </c>
      <c r="BH103" s="90">
        <f>-'06 Debt &amp; WC'!BH$54</f>
        <v>-2723515.7043818384</v>
      </c>
      <c r="BI103" s="90">
        <f>-'06 Debt &amp; WC'!BI$54</f>
        <v>-2841899.9065119028</v>
      </c>
      <c r="BJ103" s="90">
        <f>-'06 Debt &amp; WC'!BJ$54</f>
        <v>-2492084.554700911</v>
      </c>
      <c r="BK103" s="90">
        <f>-'06 Debt &amp; WC'!BK$54</f>
        <v>-2304366.8512658477</v>
      </c>
      <c r="BL103" s="90">
        <f>-'06 Debt &amp; WC'!BL$54</f>
        <v>-2349413.8159185201</v>
      </c>
      <c r="BM103" s="90">
        <f>-'06 Debt &amp; WC'!BM$54</f>
        <v>-2142409.0206710696</v>
      </c>
      <c r="BN103" s="90">
        <f>-'06 Debt &amp; WC'!BN$54</f>
        <v>-2665775.4153720289</v>
      </c>
      <c r="BO103" s="90">
        <f>-'06 Debt &amp; WC'!BO$54</f>
        <v>-1628813.548480019</v>
      </c>
    </row>
    <row r="104" spans="1:67">
      <c r="A104" s="11"/>
      <c r="B104" s="22" t="s">
        <v>26</v>
      </c>
      <c r="C104" s="11"/>
      <c r="D104" s="33"/>
      <c r="E104" s="33"/>
      <c r="F104" s="33"/>
      <c r="G104" s="89">
        <f>SUM(G99:G103)</f>
        <v>-23422220.516129032</v>
      </c>
      <c r="H104" s="89">
        <f t="shared" ref="H104:BI104" si="168">SUM(H99:H103)</f>
        <v>-23726556.912442397</v>
      </c>
      <c r="I104" s="89">
        <f t="shared" si="168"/>
        <v>-23797043.087557603</v>
      </c>
      <c r="J104" s="89">
        <f t="shared" si="168"/>
        <v>-269880835.48387098</v>
      </c>
      <c r="K104" s="89">
        <f t="shared" si="168"/>
        <v>-55079235.104364328</v>
      </c>
      <c r="L104" s="89">
        <f t="shared" si="168"/>
        <v>-55057306.072106265</v>
      </c>
      <c r="M104" s="89">
        <f t="shared" si="168"/>
        <v>-55089235.104364328</v>
      </c>
      <c r="N104" s="89">
        <f t="shared" si="168"/>
        <v>-55078270.588235296</v>
      </c>
      <c r="O104" s="89">
        <f t="shared" si="168"/>
        <v>-55067306.072106265</v>
      </c>
      <c r="P104" s="89">
        <f t="shared" si="168"/>
        <v>-65856113.464579381</v>
      </c>
      <c r="Q104" s="89">
        <f t="shared" si="168"/>
        <v>-87303052.711891219</v>
      </c>
      <c r="R104" s="89">
        <f t="shared" si="168"/>
        <v>-66586621.053180344</v>
      </c>
      <c r="S104" s="89">
        <f t="shared" si="168"/>
        <v>-67852779.135224685</v>
      </c>
      <c r="T104" s="89">
        <f t="shared" si="168"/>
        <v>-68036578.213755876</v>
      </c>
      <c r="U104" s="89">
        <f t="shared" si="168"/>
        <v>-69140375.615895063</v>
      </c>
      <c r="V104" s="89">
        <f t="shared" si="168"/>
        <v>-69389110.564872772</v>
      </c>
      <c r="W104" s="89">
        <f t="shared" si="168"/>
        <v>-69946418.232210055</v>
      </c>
      <c r="X104" s="89">
        <f t="shared" si="168"/>
        <v>-70236137.30101268</v>
      </c>
      <c r="Y104" s="89">
        <f t="shared" si="168"/>
        <v>-70681008.813523531</v>
      </c>
      <c r="Z104" s="89">
        <f t="shared" si="168"/>
        <v>-71016088.682562739</v>
      </c>
      <c r="AA104" s="89">
        <f t="shared" si="168"/>
        <v>-71692727.556781918</v>
      </c>
      <c r="AB104" s="89">
        <f t="shared" si="168"/>
        <v>-42288233.885166496</v>
      </c>
      <c r="AC104" s="89">
        <f t="shared" si="168"/>
        <v>-14783079.815413874</v>
      </c>
      <c r="AD104" s="89">
        <f t="shared" si="168"/>
        <v>-2591226.2421555733</v>
      </c>
      <c r="AE104" s="89">
        <f t="shared" si="168"/>
        <v>-1694718.3071564408</v>
      </c>
      <c r="AF104" s="89">
        <f t="shared" si="168"/>
        <v>-2262920.2025276674</v>
      </c>
      <c r="AG104" s="89">
        <f t="shared" si="168"/>
        <v>8479245.8082229532</v>
      </c>
      <c r="AH104" s="89">
        <f t="shared" si="168"/>
        <v>5564227.5922771022</v>
      </c>
      <c r="AI104" s="89">
        <f t="shared" si="168"/>
        <v>11138639.317254066</v>
      </c>
      <c r="AJ104" s="89">
        <f t="shared" si="168"/>
        <v>10173815.058835432</v>
      </c>
      <c r="AK104" s="89">
        <f t="shared" si="168"/>
        <v>16445535.045247562</v>
      </c>
      <c r="AL104" s="89">
        <f t="shared" si="168"/>
        <v>17057864.183979254</v>
      </c>
      <c r="AM104" s="89">
        <f t="shared" si="168"/>
        <v>17145072.060325105</v>
      </c>
      <c r="AN104" s="89">
        <f t="shared" si="168"/>
        <v>24514844.077302717</v>
      </c>
      <c r="AO104" s="89">
        <f t="shared" si="168"/>
        <v>24847319.976034485</v>
      </c>
      <c r="AP104" s="89">
        <f t="shared" si="168"/>
        <v>30107132.660392638</v>
      </c>
      <c r="AQ104" s="89">
        <f t="shared" si="168"/>
        <v>26172572.265430901</v>
      </c>
      <c r="AR104" s="89">
        <f t="shared" si="168"/>
        <v>19724024.087144706</v>
      </c>
      <c r="AS104" s="89">
        <f t="shared" si="168"/>
        <v>36856069.129372112</v>
      </c>
      <c r="AT104" s="89">
        <f t="shared" si="168"/>
        <v>25641179.853799555</v>
      </c>
      <c r="AU104" s="89">
        <f t="shared" si="168"/>
        <v>30959269.051279288</v>
      </c>
      <c r="AV104" s="89">
        <f t="shared" si="168"/>
        <v>25630518.368638229</v>
      </c>
      <c r="AW104" s="89">
        <f t="shared" si="168"/>
        <v>30949141.747482203</v>
      </c>
      <c r="AX104" s="89">
        <f t="shared" si="168"/>
        <v>28282034.26220087</v>
      </c>
      <c r="AY104" s="89">
        <f t="shared" si="168"/>
        <v>25614526.140896317</v>
      </c>
      <c r="AZ104" s="89">
        <f t="shared" ca="1" si="168"/>
        <v>30933950.791786637</v>
      </c>
      <c r="BA104" s="89">
        <f t="shared" ca="1" si="168"/>
        <v>25603864.655735053</v>
      </c>
      <c r="BB104" s="89">
        <f t="shared" ca="1" si="168"/>
        <v>30923823.487989601</v>
      </c>
      <c r="BC104" s="89">
        <f t="shared" ca="1" si="168"/>
        <v>26735475.101346921</v>
      </c>
      <c r="BD104" s="89">
        <f t="shared" ca="1" si="168"/>
        <v>20078242.333306491</v>
      </c>
      <c r="BE104" s="89">
        <f t="shared" ca="1" si="168"/>
        <v>37552806.652132764</v>
      </c>
      <c r="BF104" s="89">
        <f t="shared" ca="1" si="168"/>
        <v>26088307.290137108</v>
      </c>
      <c r="BG104" s="89">
        <f t="shared" ca="1" si="168"/>
        <v>31521766.164287567</v>
      </c>
      <c r="BH104" s="89">
        <f t="shared" ca="1" si="168"/>
        <v>26077549.421979025</v>
      </c>
      <c r="BI104" s="89">
        <f t="shared" ca="1" si="168"/>
        <v>348525138.13813895</v>
      </c>
      <c r="BJ104" s="89">
        <f t="shared" ref="BJ104" ca="1" si="169">SUM(BJ99:BJ103)</f>
        <v>355075309.40080315</v>
      </c>
      <c r="BK104" s="89">
        <f t="shared" ref="BK104" ca="1" si="170">SUM(BK99:BK103)</f>
        <v>361532111.56904721</v>
      </c>
      <c r="BL104" s="89">
        <f t="shared" ref="BL104" ca="1" si="171">SUM(BL99:BL103)</f>
        <v>367822767.72978705</v>
      </c>
      <c r="BM104" s="89">
        <f t="shared" ref="BM104" ca="1" si="172">SUM(BM99:BM103)</f>
        <v>374429751.55842412</v>
      </c>
      <c r="BN104" s="89">
        <f t="shared" ref="BN104" ca="1" si="173">SUM(BN99:BN103)</f>
        <v>344889420.54816765</v>
      </c>
      <c r="BO104" s="89">
        <f t="shared" ref="BO104" ca="1" si="174">SUM(BO99:BO103)</f>
        <v>327620823.96249515</v>
      </c>
    </row>
    <row r="105" spans="1:67">
      <c r="A105" s="11"/>
      <c r="B105" s="11"/>
      <c r="C105" s="11" t="s">
        <v>557</v>
      </c>
      <c r="D105" s="33"/>
      <c r="E105" s="33"/>
      <c r="F105" s="33"/>
      <c r="G105" s="90">
        <f>IF(COLUMN(G105)=COLUMN($BO$105),G104/('01 Major Assumptions'!G$14/12)*(1+'01 Major Assumptions'!$D$164)/(G96-'01 Major Assumptions'!$D$164),0)</f>
        <v>0</v>
      </c>
      <c r="H105" s="90">
        <f>IF(COLUMN(H105)=COLUMN($BO$105),H104/('01 Major Assumptions'!H$14/12)*(1+'01 Major Assumptions'!$D$164)/(H96-'01 Major Assumptions'!$D$164),0)</f>
        <v>0</v>
      </c>
      <c r="I105" s="90">
        <f>IF(COLUMN(I105)=COLUMN($BO$105),I104/('01 Major Assumptions'!I$14/12)*(1+'01 Major Assumptions'!$D$164)/(I96-'01 Major Assumptions'!$D$164),0)</f>
        <v>0</v>
      </c>
      <c r="J105" s="90">
        <f>IF(COLUMN(J105)=COLUMN($BO$105),J104/('01 Major Assumptions'!J$14/12)*(1+'01 Major Assumptions'!$D$164)/(J96-'01 Major Assumptions'!$D$164),0)</f>
        <v>0</v>
      </c>
      <c r="K105" s="90">
        <f>IF(COLUMN(K105)=COLUMN($BO$105),K104/('01 Major Assumptions'!K$14/12)*(1+'01 Major Assumptions'!$D$164)/(K96-'01 Major Assumptions'!$D$164),0)</f>
        <v>0</v>
      </c>
      <c r="L105" s="90">
        <f>IF(COLUMN(L105)=COLUMN($BO$105),L104/('01 Major Assumptions'!L$14/12)*(1+'01 Major Assumptions'!$D$164)/(L96-'01 Major Assumptions'!$D$164),0)</f>
        <v>0</v>
      </c>
      <c r="M105" s="90">
        <f>IF(COLUMN(M105)=COLUMN($BO$105),M104/('01 Major Assumptions'!M$14/12)*(1+'01 Major Assumptions'!$D$164)/(M96-'01 Major Assumptions'!$D$164),0)</f>
        <v>0</v>
      </c>
      <c r="N105" s="90">
        <f>IF(COLUMN(N105)=COLUMN($BO$105),N104/('01 Major Assumptions'!N$14/12)*(1+'01 Major Assumptions'!$D$164)/(N96-'01 Major Assumptions'!$D$164),0)</f>
        <v>0</v>
      </c>
      <c r="O105" s="90">
        <f>IF(COLUMN(O105)=COLUMN($BO$105),O104/('01 Major Assumptions'!O$14/12)*(1+'01 Major Assumptions'!$D$164)/(O96-'01 Major Assumptions'!$D$164),0)</f>
        <v>0</v>
      </c>
      <c r="P105" s="90">
        <f>IF(COLUMN(P105)=COLUMN($BO$105),P104/('01 Major Assumptions'!P$14/12)*(1+'01 Major Assumptions'!$D$164)/(P96-'01 Major Assumptions'!$D$164),0)</f>
        <v>0</v>
      </c>
      <c r="Q105" s="90">
        <f>IF(COLUMN(Q105)=COLUMN($BO$105),Q104/('01 Major Assumptions'!Q$14/12)*(1+'01 Major Assumptions'!$D$164)/(Q96-'01 Major Assumptions'!$D$164),0)</f>
        <v>0</v>
      </c>
      <c r="R105" s="90">
        <f>IF(COLUMN(R105)=COLUMN($BO$105),R104/('01 Major Assumptions'!R$14/12)*(1+'01 Major Assumptions'!$D$164)/(R96-'01 Major Assumptions'!$D$164),0)</f>
        <v>0</v>
      </c>
      <c r="S105" s="90">
        <f>IF(COLUMN(S105)=COLUMN($BO$105),S104/('01 Major Assumptions'!S$14/12)*(1+'01 Major Assumptions'!$D$164)/(S96-'01 Major Assumptions'!$D$164),0)</f>
        <v>0</v>
      </c>
      <c r="T105" s="90">
        <f>IF(COLUMN(T105)=COLUMN($BO$105),T104/('01 Major Assumptions'!T$14/12)*(1+'01 Major Assumptions'!$D$164)/(T96-'01 Major Assumptions'!$D$164),0)</f>
        <v>0</v>
      </c>
      <c r="U105" s="90">
        <f>IF(COLUMN(U105)=COLUMN($BO$105),U104/('01 Major Assumptions'!U$14/12)*(1+'01 Major Assumptions'!$D$164)/(U96-'01 Major Assumptions'!$D$164),0)</f>
        <v>0</v>
      </c>
      <c r="V105" s="90">
        <f>IF(COLUMN(V105)=COLUMN($BO$105),V104/('01 Major Assumptions'!V$14/12)*(1+'01 Major Assumptions'!$D$164)/(V96-'01 Major Assumptions'!$D$164),0)</f>
        <v>0</v>
      </c>
      <c r="W105" s="90">
        <f>IF(COLUMN(W105)=COLUMN($BO$105),W104/('01 Major Assumptions'!W$14/12)*(1+'01 Major Assumptions'!$D$164)/(W96-'01 Major Assumptions'!$D$164),0)</f>
        <v>0</v>
      </c>
      <c r="X105" s="90">
        <f>IF(COLUMN(X105)=COLUMN($BO$105),X104/('01 Major Assumptions'!X$14/12)*(1+'01 Major Assumptions'!$D$164)/(X96-'01 Major Assumptions'!$D$164),0)</f>
        <v>0</v>
      </c>
      <c r="Y105" s="90">
        <f>IF(COLUMN(Y105)=COLUMN($BO$105),Y104/('01 Major Assumptions'!Y$14/12)*(1+'01 Major Assumptions'!$D$164)/(Y96-'01 Major Assumptions'!$D$164),0)</f>
        <v>0</v>
      </c>
      <c r="Z105" s="90">
        <f>IF(COLUMN(Z105)=COLUMN($BO$105),Z104/('01 Major Assumptions'!Z$14/12)*(1+'01 Major Assumptions'!$D$164)/(Z96-'01 Major Assumptions'!$D$164),0)</f>
        <v>0</v>
      </c>
      <c r="AA105" s="90">
        <f>IF(COLUMN(AA105)=COLUMN($BO$105),AA104/('01 Major Assumptions'!AA$14/12)*(1+'01 Major Assumptions'!$D$164)/(AA96-'01 Major Assumptions'!$D$164),0)</f>
        <v>0</v>
      </c>
      <c r="AB105" s="90">
        <f>IF(COLUMN(AB105)=COLUMN($BO$105),AB104/('01 Major Assumptions'!AB$14/12)*(1+'01 Major Assumptions'!$D$164)/(AB96-'01 Major Assumptions'!$D$164),0)</f>
        <v>0</v>
      </c>
      <c r="AC105" s="90">
        <f>IF(COLUMN(AC105)=COLUMN($BO$105),AC104/('01 Major Assumptions'!AC$14/12)*(1+'01 Major Assumptions'!$D$164)/(AC96-'01 Major Assumptions'!$D$164),0)</f>
        <v>0</v>
      </c>
      <c r="AD105" s="90">
        <f>IF(COLUMN(AD105)=COLUMN($BO$105),AD104/('01 Major Assumptions'!AD$14/12)*(1+'01 Major Assumptions'!$D$164)/(AD96-'01 Major Assumptions'!$D$164),0)</f>
        <v>0</v>
      </c>
      <c r="AE105" s="90">
        <f>IF(COLUMN(AE105)=COLUMN($BO$105),AE104/('01 Major Assumptions'!AE$14/12)*(1+'01 Major Assumptions'!$D$164)/(AE96-'01 Major Assumptions'!$D$164),0)</f>
        <v>0</v>
      </c>
      <c r="AF105" s="90">
        <f>IF(COLUMN(AF105)=COLUMN($BO$105),AF104/('01 Major Assumptions'!AF$14/12)*(1+'01 Major Assumptions'!$D$164)/(AF96-'01 Major Assumptions'!$D$164),0)</f>
        <v>0</v>
      </c>
      <c r="AG105" s="90">
        <f>IF(COLUMN(AG105)=COLUMN($BO$105),AG104/('01 Major Assumptions'!AG$14/12)*(1+'01 Major Assumptions'!$D$164)/(AG96-'01 Major Assumptions'!$D$164),0)</f>
        <v>0</v>
      </c>
      <c r="AH105" s="90">
        <f>IF(COLUMN(AH105)=COLUMN($BO$105),AH104/('01 Major Assumptions'!AH$14/12)*(1+'01 Major Assumptions'!$D$164)/(AH96-'01 Major Assumptions'!$D$164),0)</f>
        <v>0</v>
      </c>
      <c r="AI105" s="90">
        <f>IF(COLUMN(AI105)=COLUMN($BO$105),AI104/('01 Major Assumptions'!AI$14/12)*(1+'01 Major Assumptions'!$D$164)/(AI96-'01 Major Assumptions'!$D$164),0)</f>
        <v>0</v>
      </c>
      <c r="AJ105" s="90">
        <f>IF(COLUMN(AJ105)=COLUMN($BO$105),AJ104/('01 Major Assumptions'!AJ$14/12)*(1+'01 Major Assumptions'!$D$164)/(AJ96-'01 Major Assumptions'!$D$164),0)</f>
        <v>0</v>
      </c>
      <c r="AK105" s="90">
        <f>IF(COLUMN(AK105)=COLUMN($BO$105),AK104/('01 Major Assumptions'!AK$14/12)*(1+'01 Major Assumptions'!$D$164)/(AK96-'01 Major Assumptions'!$D$164),0)</f>
        <v>0</v>
      </c>
      <c r="AL105" s="90">
        <f>IF(COLUMN(AL105)=COLUMN($BO$105),AL104/('01 Major Assumptions'!AL$14/12)*(1+'01 Major Assumptions'!$D$164)/(AL96-'01 Major Assumptions'!$D$164),0)</f>
        <v>0</v>
      </c>
      <c r="AM105" s="90">
        <f>IF(COLUMN(AM105)=COLUMN($BO$105),AM104/('01 Major Assumptions'!AM$14/12)*(1+'01 Major Assumptions'!$D$164)/(AM96-'01 Major Assumptions'!$D$164),0)</f>
        <v>0</v>
      </c>
      <c r="AN105" s="90">
        <f>IF(COLUMN(AN105)=COLUMN($BO$105),AN104/('01 Major Assumptions'!AN$14/12)*(1+'01 Major Assumptions'!$D$164)/(AN96-'01 Major Assumptions'!$D$164),0)</f>
        <v>0</v>
      </c>
      <c r="AO105" s="90">
        <f>IF(COLUMN(AO105)=COLUMN($BO$105),AO104/('01 Major Assumptions'!AO$14/12)*(1+'01 Major Assumptions'!$D$164)/(AO96-'01 Major Assumptions'!$D$164),0)</f>
        <v>0</v>
      </c>
      <c r="AP105" s="90">
        <f>IF(COLUMN(AP105)=COLUMN($BO$105),AP104/('01 Major Assumptions'!AP$14/12)*(1+'01 Major Assumptions'!$D$164)/(AP96-'01 Major Assumptions'!$D$164),0)</f>
        <v>0</v>
      </c>
      <c r="AQ105" s="90">
        <f>IF(COLUMN(AQ105)=COLUMN($BO$105),AQ104/('01 Major Assumptions'!AQ$14/12)*(1+'01 Major Assumptions'!$D$164)/(AQ96-'01 Major Assumptions'!$D$164),0)</f>
        <v>0</v>
      </c>
      <c r="AR105" s="90">
        <f>IF(COLUMN(AR105)=COLUMN($BO$105),AR104/('01 Major Assumptions'!AR$14/12)*(1+'01 Major Assumptions'!$D$164)/(AR96-'01 Major Assumptions'!$D$164),0)</f>
        <v>0</v>
      </c>
      <c r="AS105" s="90">
        <f>IF(COLUMN(AS105)=COLUMN($BO$105),AS104/('01 Major Assumptions'!AS$14/12)*(1+'01 Major Assumptions'!$D$164)/(AS96-'01 Major Assumptions'!$D$164),0)</f>
        <v>0</v>
      </c>
      <c r="AT105" s="90">
        <f>IF(COLUMN(AT105)=COLUMN($BO$105),AT104/('01 Major Assumptions'!AT$14/12)*(1+'01 Major Assumptions'!$D$164)/(AT96-'01 Major Assumptions'!$D$164),0)</f>
        <v>0</v>
      </c>
      <c r="AU105" s="90">
        <f>IF(COLUMN(AU105)=COLUMN($BO$105),AU104/('01 Major Assumptions'!AU$14/12)*(1+'01 Major Assumptions'!$D$164)/(AU96-'01 Major Assumptions'!$D$164),0)</f>
        <v>0</v>
      </c>
      <c r="AV105" s="90">
        <f>IF(COLUMN(AV105)=COLUMN($BO$105),AV104/('01 Major Assumptions'!AV$14/12)*(1+'01 Major Assumptions'!$D$164)/(AV96-'01 Major Assumptions'!$D$164),0)</f>
        <v>0</v>
      </c>
      <c r="AW105" s="90">
        <f>IF(COLUMN(AW105)=COLUMN($BO$105),AW104/('01 Major Assumptions'!AW$14/12)*(1+'01 Major Assumptions'!$D$164)/(AW96-'01 Major Assumptions'!$D$164),0)</f>
        <v>0</v>
      </c>
      <c r="AX105" s="90">
        <f>IF(COLUMN(AX105)=COLUMN($BO$105),AX104/('01 Major Assumptions'!AX$14/12)*(1+'01 Major Assumptions'!$D$164)/(AX96-'01 Major Assumptions'!$D$164),0)</f>
        <v>0</v>
      </c>
      <c r="AY105" s="90">
        <f>IF(COLUMN(AY105)=COLUMN($BO$105),AY104/('01 Major Assumptions'!AY$14/12)*(1+'01 Major Assumptions'!$D$164)/(AY96-'01 Major Assumptions'!$D$164),0)</f>
        <v>0</v>
      </c>
      <c r="AZ105" s="90">
        <f>IF(COLUMN(AZ105)=COLUMN($BO$105),AZ104/('01 Major Assumptions'!AZ$14/12)*(1+'01 Major Assumptions'!$D$164)/(AZ96-'01 Major Assumptions'!$D$164),0)</f>
        <v>0</v>
      </c>
      <c r="BA105" s="90">
        <f>IF(COLUMN(BA105)=COLUMN($BO$105),BA104/('01 Major Assumptions'!BA$14/12)*(1+'01 Major Assumptions'!$D$164)/(BA96-'01 Major Assumptions'!$D$164),0)</f>
        <v>0</v>
      </c>
      <c r="BB105" s="90">
        <f>IF(COLUMN(BB105)=COLUMN($BO$105),BB104/('01 Major Assumptions'!BB$14/12)*(1+'01 Major Assumptions'!$D$164)/(BB96-'01 Major Assumptions'!$D$164),0)</f>
        <v>0</v>
      </c>
      <c r="BC105" s="90">
        <f>IF(COLUMN(BC105)=COLUMN($BO$105),BC104/('01 Major Assumptions'!BC$14/12)*(1+'01 Major Assumptions'!$D$164)/(BC96-'01 Major Assumptions'!$D$164),0)</f>
        <v>0</v>
      </c>
      <c r="BD105" s="90">
        <f>IF(COLUMN(BD105)=COLUMN($BO$105),BD104/('01 Major Assumptions'!BD$14/12)*(1+'01 Major Assumptions'!$D$164)/(BD96-'01 Major Assumptions'!$D$164),0)</f>
        <v>0</v>
      </c>
      <c r="BE105" s="90">
        <f>IF(COLUMN(BE105)=COLUMN($BO$105),BE104/('01 Major Assumptions'!BE$14/12)*(1+'01 Major Assumptions'!$D$164)/(BE96-'01 Major Assumptions'!$D$164),0)</f>
        <v>0</v>
      </c>
      <c r="BF105" s="90">
        <f>IF(COLUMN(BF105)=COLUMN($BO$105),BF104/('01 Major Assumptions'!BF$14/12)*(1+'01 Major Assumptions'!$D$164)/(BF96-'01 Major Assumptions'!$D$164),0)</f>
        <v>0</v>
      </c>
      <c r="BG105" s="90">
        <f>IF(COLUMN(BG105)=COLUMN($BO$105),BG104/('01 Major Assumptions'!BG$14/12)*(1+'01 Major Assumptions'!$D$164)/(BG96-'01 Major Assumptions'!$D$164),0)</f>
        <v>0</v>
      </c>
      <c r="BH105" s="90">
        <f>IF(COLUMN(BH105)=COLUMN($BO$105),BH104/('01 Major Assumptions'!BH$14/12)*(1+'01 Major Assumptions'!$D$164)/(BH96-'01 Major Assumptions'!$D$164),0)</f>
        <v>0</v>
      </c>
      <c r="BI105" s="90">
        <f>IF(COLUMN(BI105)=COLUMN($BO$105),BI104/('01 Major Assumptions'!BI$14/12)*(1+'01 Major Assumptions'!$D$164)/(BI96-'01 Major Assumptions'!$D$164),0)</f>
        <v>0</v>
      </c>
      <c r="BJ105" s="90">
        <f>IF(COLUMN(BJ105)=COLUMN($BO$105),BJ104/('01 Major Assumptions'!BJ$14/12)*(1+'01 Major Assumptions'!$D$164)/(BJ96-'01 Major Assumptions'!$D$164),0)</f>
        <v>0</v>
      </c>
      <c r="BK105" s="90">
        <f>IF(COLUMN(BK105)=COLUMN($BO$105),BK104/('01 Major Assumptions'!BK$14/12)*(1+'01 Major Assumptions'!$D$164)/(BK96-'01 Major Assumptions'!$D$164),0)</f>
        <v>0</v>
      </c>
      <c r="BL105" s="90">
        <f>IF(COLUMN(BL105)=COLUMN($BO$105),BL104/('01 Major Assumptions'!BL$14/12)*(1+'01 Major Assumptions'!$D$164)/(BL96-'01 Major Assumptions'!$D$164),0)</f>
        <v>0</v>
      </c>
      <c r="BM105" s="90">
        <f>IF(COLUMN(BM105)=COLUMN($BO$105),BM104/('01 Major Assumptions'!BM$14/12)*(1+'01 Major Assumptions'!$D$164)/(BM96-'01 Major Assumptions'!$D$164),0)</f>
        <v>0</v>
      </c>
      <c r="BN105" s="90">
        <f>IF(COLUMN(BN105)=COLUMN($BO$105),BN104/('01 Major Assumptions'!BN$14/12)*(1+'01 Major Assumptions'!$D$164)/(BN96-'01 Major Assumptions'!$D$164),0)</f>
        <v>0</v>
      </c>
      <c r="BO105" s="90">
        <f ca="1">IF(COLUMN(BO105)=COLUMN($BO$105),BO104/('01 Major Assumptions'!BO$14/12)*(1+'01 Major Assumptions'!$D$164)/(BO96-'01 Major Assumptions'!$D$164),0)</f>
        <v>3766505700.4668217</v>
      </c>
    </row>
    <row r="106" spans="1:67">
      <c r="A106" s="11"/>
      <c r="B106" s="22" t="s">
        <v>558</v>
      </c>
      <c r="C106" s="11"/>
      <c r="D106" s="33"/>
      <c r="E106" s="33"/>
      <c r="F106" s="33"/>
      <c r="G106" s="89">
        <f>G104+G105</f>
        <v>-23422220.516129032</v>
      </c>
      <c r="H106" s="89">
        <f t="shared" ref="H106:BI106" si="175">H104+H105</f>
        <v>-23726556.912442397</v>
      </c>
      <c r="I106" s="89">
        <f t="shared" si="175"/>
        <v>-23797043.087557603</v>
      </c>
      <c r="J106" s="89">
        <f t="shared" si="175"/>
        <v>-269880835.48387098</v>
      </c>
      <c r="K106" s="89">
        <f t="shared" si="175"/>
        <v>-55079235.104364328</v>
      </c>
      <c r="L106" s="89">
        <f t="shared" si="175"/>
        <v>-55057306.072106265</v>
      </c>
      <c r="M106" s="89">
        <f t="shared" si="175"/>
        <v>-55089235.104364328</v>
      </c>
      <c r="N106" s="89">
        <f t="shared" si="175"/>
        <v>-55078270.588235296</v>
      </c>
      <c r="O106" s="89">
        <f t="shared" si="175"/>
        <v>-55067306.072106265</v>
      </c>
      <c r="P106" s="89">
        <f t="shared" si="175"/>
        <v>-65856113.464579381</v>
      </c>
      <c r="Q106" s="89">
        <f t="shared" si="175"/>
        <v>-87303052.711891219</v>
      </c>
      <c r="R106" s="89">
        <f t="shared" si="175"/>
        <v>-66586621.053180344</v>
      </c>
      <c r="S106" s="89">
        <f t="shared" si="175"/>
        <v>-67852779.135224685</v>
      </c>
      <c r="T106" s="89">
        <f t="shared" si="175"/>
        <v>-68036578.213755876</v>
      </c>
      <c r="U106" s="89">
        <f t="shared" si="175"/>
        <v>-69140375.615895063</v>
      </c>
      <c r="V106" s="89">
        <f t="shared" si="175"/>
        <v>-69389110.564872772</v>
      </c>
      <c r="W106" s="89">
        <f t="shared" si="175"/>
        <v>-69946418.232210055</v>
      </c>
      <c r="X106" s="89">
        <f t="shared" si="175"/>
        <v>-70236137.30101268</v>
      </c>
      <c r="Y106" s="89">
        <f t="shared" si="175"/>
        <v>-70681008.813523531</v>
      </c>
      <c r="Z106" s="89">
        <f t="shared" si="175"/>
        <v>-71016088.682562739</v>
      </c>
      <c r="AA106" s="89">
        <f t="shared" si="175"/>
        <v>-71692727.556781918</v>
      </c>
      <c r="AB106" s="89">
        <f t="shared" si="175"/>
        <v>-42288233.885166496</v>
      </c>
      <c r="AC106" s="89">
        <f t="shared" si="175"/>
        <v>-14783079.815413874</v>
      </c>
      <c r="AD106" s="89">
        <f t="shared" si="175"/>
        <v>-2591226.2421555733</v>
      </c>
      <c r="AE106" s="89">
        <f t="shared" si="175"/>
        <v>-1694718.3071564408</v>
      </c>
      <c r="AF106" s="89">
        <f t="shared" si="175"/>
        <v>-2262920.2025276674</v>
      </c>
      <c r="AG106" s="89">
        <f t="shared" si="175"/>
        <v>8479245.8082229532</v>
      </c>
      <c r="AH106" s="89">
        <f t="shared" si="175"/>
        <v>5564227.5922771022</v>
      </c>
      <c r="AI106" s="89">
        <f t="shared" si="175"/>
        <v>11138639.317254066</v>
      </c>
      <c r="AJ106" s="89">
        <f t="shared" si="175"/>
        <v>10173815.058835432</v>
      </c>
      <c r="AK106" s="89">
        <f t="shared" si="175"/>
        <v>16445535.045247562</v>
      </c>
      <c r="AL106" s="89">
        <f t="shared" si="175"/>
        <v>17057864.183979254</v>
      </c>
      <c r="AM106" s="89">
        <f t="shared" si="175"/>
        <v>17145072.060325105</v>
      </c>
      <c r="AN106" s="89">
        <f t="shared" si="175"/>
        <v>24514844.077302717</v>
      </c>
      <c r="AO106" s="89">
        <f t="shared" si="175"/>
        <v>24847319.976034485</v>
      </c>
      <c r="AP106" s="89">
        <f t="shared" si="175"/>
        <v>30107132.660392638</v>
      </c>
      <c r="AQ106" s="89">
        <f t="shared" si="175"/>
        <v>26172572.265430901</v>
      </c>
      <c r="AR106" s="89">
        <f t="shared" si="175"/>
        <v>19724024.087144706</v>
      </c>
      <c r="AS106" s="89">
        <f t="shared" si="175"/>
        <v>36856069.129372112</v>
      </c>
      <c r="AT106" s="89">
        <f t="shared" si="175"/>
        <v>25641179.853799555</v>
      </c>
      <c r="AU106" s="89">
        <f t="shared" si="175"/>
        <v>30959269.051279288</v>
      </c>
      <c r="AV106" s="89">
        <f t="shared" si="175"/>
        <v>25630518.368638229</v>
      </c>
      <c r="AW106" s="89">
        <f t="shared" si="175"/>
        <v>30949141.747482203</v>
      </c>
      <c r="AX106" s="89">
        <f t="shared" si="175"/>
        <v>28282034.26220087</v>
      </c>
      <c r="AY106" s="89">
        <f t="shared" si="175"/>
        <v>25614526.140896317</v>
      </c>
      <c r="AZ106" s="89">
        <f t="shared" ca="1" si="175"/>
        <v>30933950.791786637</v>
      </c>
      <c r="BA106" s="89">
        <f t="shared" ca="1" si="175"/>
        <v>25603864.655735053</v>
      </c>
      <c r="BB106" s="89">
        <f t="shared" ca="1" si="175"/>
        <v>30923823.487989601</v>
      </c>
      <c r="BC106" s="89">
        <f t="shared" ca="1" si="175"/>
        <v>26735475.101346921</v>
      </c>
      <c r="BD106" s="89">
        <f t="shared" ca="1" si="175"/>
        <v>20078242.333306491</v>
      </c>
      <c r="BE106" s="89">
        <f t="shared" ca="1" si="175"/>
        <v>37552806.652132764</v>
      </c>
      <c r="BF106" s="89">
        <f t="shared" ca="1" si="175"/>
        <v>26088307.290137108</v>
      </c>
      <c r="BG106" s="89">
        <f t="shared" ca="1" si="175"/>
        <v>31521766.164287567</v>
      </c>
      <c r="BH106" s="89">
        <f t="shared" ca="1" si="175"/>
        <v>26077549.421979025</v>
      </c>
      <c r="BI106" s="89">
        <f t="shared" ca="1" si="175"/>
        <v>348525138.13813895</v>
      </c>
      <c r="BJ106" s="89">
        <f t="shared" ref="BJ106" ca="1" si="176">BJ104+BJ105</f>
        <v>355075309.40080315</v>
      </c>
      <c r="BK106" s="89">
        <f t="shared" ref="BK106" ca="1" si="177">BK104+BK105</f>
        <v>361532111.56904721</v>
      </c>
      <c r="BL106" s="89">
        <f t="shared" ref="BL106" ca="1" si="178">BL104+BL105</f>
        <v>367822767.72978705</v>
      </c>
      <c r="BM106" s="89">
        <f t="shared" ref="BM106" ca="1" si="179">BM104+BM105</f>
        <v>374429751.55842412</v>
      </c>
      <c r="BN106" s="89">
        <f t="shared" ref="BN106" ca="1" si="180">BN104+BN105</f>
        <v>344889420.54816765</v>
      </c>
      <c r="BO106" s="89">
        <f t="shared" ref="BO106" ca="1" si="181">BO104+BO105</f>
        <v>4094126524.429317</v>
      </c>
    </row>
    <row r="107" spans="1:67">
      <c r="A107" s="11"/>
      <c r="B107" s="11"/>
      <c r="C107" s="11" t="s">
        <v>559</v>
      </c>
      <c r="D107" s="33"/>
      <c r="E107" s="33"/>
      <c r="F107" s="33"/>
      <c r="G107" s="90">
        <f>G106</f>
        <v>-23422220.516129032</v>
      </c>
      <c r="H107" s="90">
        <f>G107+H106</f>
        <v>-47148777.428571433</v>
      </c>
      <c r="I107" s="90">
        <f t="shared" ref="I107:BI107" si="182">H107+I106</f>
        <v>-70945820.516129032</v>
      </c>
      <c r="J107" s="90">
        <f t="shared" si="182"/>
        <v>-340826656</v>
      </c>
      <c r="K107" s="90">
        <f t="shared" si="182"/>
        <v>-395905891.10436434</v>
      </c>
      <c r="L107" s="90">
        <f t="shared" si="182"/>
        <v>-450963197.17647058</v>
      </c>
      <c r="M107" s="90">
        <f t="shared" si="182"/>
        <v>-506052432.28083491</v>
      </c>
      <c r="N107" s="90">
        <f t="shared" si="182"/>
        <v>-561130702.86907017</v>
      </c>
      <c r="O107" s="90">
        <f t="shared" si="182"/>
        <v>-616198008.94117641</v>
      </c>
      <c r="P107" s="90">
        <f t="shared" si="182"/>
        <v>-682054122.40575576</v>
      </c>
      <c r="Q107" s="90">
        <f t="shared" si="182"/>
        <v>-769357175.11764693</v>
      </c>
      <c r="R107" s="90">
        <f t="shared" si="182"/>
        <v>-835943796.17082727</v>
      </c>
      <c r="S107" s="90">
        <f t="shared" si="182"/>
        <v>-903796575.30605197</v>
      </c>
      <c r="T107" s="90">
        <f t="shared" si="182"/>
        <v>-971833153.51980782</v>
      </c>
      <c r="U107" s="90">
        <f t="shared" si="182"/>
        <v>-1040973529.1357028</v>
      </c>
      <c r="V107" s="90">
        <f t="shared" si="182"/>
        <v>-1110362639.7005756</v>
      </c>
      <c r="W107" s="90">
        <f t="shared" si="182"/>
        <v>-1180309057.9327857</v>
      </c>
      <c r="X107" s="90">
        <f t="shared" si="182"/>
        <v>-1250545195.2337985</v>
      </c>
      <c r="Y107" s="90">
        <f t="shared" si="182"/>
        <v>-1321226204.047322</v>
      </c>
      <c r="Z107" s="90">
        <f t="shared" si="182"/>
        <v>-1392242292.7298849</v>
      </c>
      <c r="AA107" s="90">
        <f t="shared" si="182"/>
        <v>-1463935020.2866669</v>
      </c>
      <c r="AB107" s="90">
        <f t="shared" si="182"/>
        <v>-1506223254.1718333</v>
      </c>
      <c r="AC107" s="90">
        <f t="shared" si="182"/>
        <v>-1521006333.9872472</v>
      </c>
      <c r="AD107" s="90">
        <f t="shared" si="182"/>
        <v>-1523597560.2294028</v>
      </c>
      <c r="AE107" s="90">
        <f t="shared" si="182"/>
        <v>-1525292278.5365591</v>
      </c>
      <c r="AF107" s="90">
        <f t="shared" si="182"/>
        <v>-1527555198.7390869</v>
      </c>
      <c r="AG107" s="90">
        <f t="shared" si="182"/>
        <v>-1519075952.9308639</v>
      </c>
      <c r="AH107" s="90">
        <f t="shared" si="182"/>
        <v>-1513511725.3385868</v>
      </c>
      <c r="AI107" s="90">
        <f t="shared" si="182"/>
        <v>-1502373086.0213327</v>
      </c>
      <c r="AJ107" s="90">
        <f t="shared" si="182"/>
        <v>-1492199270.9624972</v>
      </c>
      <c r="AK107" s="90">
        <f t="shared" si="182"/>
        <v>-1475753735.9172497</v>
      </c>
      <c r="AL107" s="90">
        <f t="shared" si="182"/>
        <v>-1458695871.7332704</v>
      </c>
      <c r="AM107" s="90">
        <f t="shared" si="182"/>
        <v>-1441550799.6729453</v>
      </c>
      <c r="AN107" s="90">
        <f t="shared" si="182"/>
        <v>-1417035955.5956426</v>
      </c>
      <c r="AO107" s="90">
        <f t="shared" si="182"/>
        <v>-1392188635.6196082</v>
      </c>
      <c r="AP107" s="90">
        <f t="shared" si="182"/>
        <v>-1362081502.9592156</v>
      </c>
      <c r="AQ107" s="90">
        <f t="shared" si="182"/>
        <v>-1335908930.6937847</v>
      </c>
      <c r="AR107" s="90">
        <f t="shared" si="182"/>
        <v>-1316184906.6066401</v>
      </c>
      <c r="AS107" s="90">
        <f t="shared" si="182"/>
        <v>-1279328837.477268</v>
      </c>
      <c r="AT107" s="90">
        <f t="shared" si="182"/>
        <v>-1253687657.6234684</v>
      </c>
      <c r="AU107" s="90">
        <f t="shared" si="182"/>
        <v>-1222728388.5721891</v>
      </c>
      <c r="AV107" s="90">
        <f t="shared" si="182"/>
        <v>-1197097870.2035508</v>
      </c>
      <c r="AW107" s="90">
        <f t="shared" si="182"/>
        <v>-1166148728.4560685</v>
      </c>
      <c r="AX107" s="90">
        <f t="shared" si="182"/>
        <v>-1137866694.1938677</v>
      </c>
      <c r="AY107" s="90">
        <f t="shared" si="182"/>
        <v>-1112252168.0529714</v>
      </c>
      <c r="AZ107" s="90">
        <f t="shared" ca="1" si="182"/>
        <v>-1081318217.2611847</v>
      </c>
      <c r="BA107" s="90">
        <f t="shared" ca="1" si="182"/>
        <v>-1055714352.6054497</v>
      </c>
      <c r="BB107" s="90">
        <f t="shared" ca="1" si="182"/>
        <v>-1024790529.1174601</v>
      </c>
      <c r="BC107" s="90">
        <f t="shared" ca="1" si="182"/>
        <v>-998055054.01611316</v>
      </c>
      <c r="BD107" s="90">
        <f t="shared" ca="1" si="182"/>
        <v>-977976811.68280673</v>
      </c>
      <c r="BE107" s="90">
        <f t="shared" ca="1" si="182"/>
        <v>-940424005.03067398</v>
      </c>
      <c r="BF107" s="90">
        <f t="shared" ca="1" si="182"/>
        <v>-914335697.74053693</v>
      </c>
      <c r="BG107" s="90">
        <f t="shared" ca="1" si="182"/>
        <v>-882813931.57624936</v>
      </c>
      <c r="BH107" s="90">
        <f t="shared" ca="1" si="182"/>
        <v>-856736382.15427029</v>
      </c>
      <c r="BI107" s="90">
        <f t="shared" ca="1" si="182"/>
        <v>-508211244.01613134</v>
      </c>
      <c r="BJ107" s="90">
        <f t="shared" ref="BJ107" ca="1" si="183">BI107+BJ106</f>
        <v>-153135934.61532819</v>
      </c>
      <c r="BK107" s="90">
        <f t="shared" ref="BK107" ca="1" si="184">BJ107+BK106</f>
        <v>208396176.95371902</v>
      </c>
      <c r="BL107" s="90">
        <f t="shared" ref="BL107" ca="1" si="185">BK107+BL106</f>
        <v>576218944.68350601</v>
      </c>
      <c r="BM107" s="90">
        <f t="shared" ref="BM107" ca="1" si="186">BL107+BM106</f>
        <v>950648696.24193013</v>
      </c>
      <c r="BN107" s="90">
        <f t="shared" ref="BN107" ca="1" si="187">BM107+BN106</f>
        <v>1295538116.7900977</v>
      </c>
      <c r="BO107" s="90">
        <f t="shared" ref="BO107" ca="1" si="188">BN107+BO106</f>
        <v>5389664641.2194147</v>
      </c>
    </row>
    <row r="108" spans="1:67">
      <c r="A108" s="11"/>
      <c r="B108" s="11"/>
      <c r="C108" s="11" t="s">
        <v>560</v>
      </c>
      <c r="D108" s="33"/>
      <c r="E108" s="33"/>
      <c r="F108" s="33"/>
      <c r="G108" s="63">
        <f>'01 Major Assumptions'!G$14/12</f>
        <v>8.3333333333333329E-2</v>
      </c>
      <c r="H108" s="63">
        <f>'01 Major Assumptions'!H$14/12</f>
        <v>8.3333333333333329E-2</v>
      </c>
      <c r="I108" s="63">
        <f>'01 Major Assumptions'!I$14/12</f>
        <v>8.3333333333333329E-2</v>
      </c>
      <c r="J108" s="63">
        <f>'01 Major Assumptions'!J$14/12</f>
        <v>8.3333333333333329E-2</v>
      </c>
      <c r="K108" s="63">
        <f>'01 Major Assumptions'!K$14/12</f>
        <v>8.3333333333333329E-2</v>
      </c>
      <c r="L108" s="63">
        <f>'01 Major Assumptions'!L$14/12</f>
        <v>8.3333333333333329E-2</v>
      </c>
      <c r="M108" s="63">
        <f>'01 Major Assumptions'!M$14/12</f>
        <v>8.3333333333333329E-2</v>
      </c>
      <c r="N108" s="63">
        <f>'01 Major Assumptions'!N$14/12</f>
        <v>8.3333333333333329E-2</v>
      </c>
      <c r="O108" s="63">
        <f>'01 Major Assumptions'!O$14/12</f>
        <v>8.3333333333333329E-2</v>
      </c>
      <c r="P108" s="63">
        <f>'01 Major Assumptions'!P$14/12</f>
        <v>8.3333333333333329E-2</v>
      </c>
      <c r="Q108" s="63">
        <f>'01 Major Assumptions'!Q$14/12</f>
        <v>8.3333333333333329E-2</v>
      </c>
      <c r="R108" s="63">
        <f>'01 Major Assumptions'!R$14/12</f>
        <v>8.3333333333333329E-2</v>
      </c>
      <c r="S108" s="63">
        <f>'01 Major Assumptions'!S$14/12</f>
        <v>8.3333333333333329E-2</v>
      </c>
      <c r="T108" s="63">
        <f>'01 Major Assumptions'!T$14/12</f>
        <v>8.3333333333333329E-2</v>
      </c>
      <c r="U108" s="63">
        <f>'01 Major Assumptions'!U$14/12</f>
        <v>8.3333333333333329E-2</v>
      </c>
      <c r="V108" s="63">
        <f>'01 Major Assumptions'!V$14/12</f>
        <v>8.3333333333333329E-2</v>
      </c>
      <c r="W108" s="63">
        <f>'01 Major Assumptions'!W$14/12</f>
        <v>8.3333333333333329E-2</v>
      </c>
      <c r="X108" s="63">
        <f>'01 Major Assumptions'!X$14/12</f>
        <v>8.3333333333333329E-2</v>
      </c>
      <c r="Y108" s="63">
        <f>'01 Major Assumptions'!Y$14/12</f>
        <v>8.3333333333333329E-2</v>
      </c>
      <c r="Z108" s="63">
        <f>'01 Major Assumptions'!Z$14/12</f>
        <v>8.3333333333333329E-2</v>
      </c>
      <c r="AA108" s="63">
        <f>'01 Major Assumptions'!AA$14/12</f>
        <v>8.3333333333333329E-2</v>
      </c>
      <c r="AB108" s="63">
        <f>'01 Major Assumptions'!AB$14/12</f>
        <v>8.3333333333333329E-2</v>
      </c>
      <c r="AC108" s="63">
        <f>'01 Major Assumptions'!AC$14/12</f>
        <v>8.3333333333333329E-2</v>
      </c>
      <c r="AD108" s="63">
        <f>'01 Major Assumptions'!AD$14/12</f>
        <v>8.3333333333333329E-2</v>
      </c>
      <c r="AE108" s="63">
        <f>'01 Major Assumptions'!AE$14/12</f>
        <v>8.3333333333333329E-2</v>
      </c>
      <c r="AF108" s="63">
        <f>'01 Major Assumptions'!AF$14/12</f>
        <v>8.3333333333333329E-2</v>
      </c>
      <c r="AG108" s="63">
        <f>'01 Major Assumptions'!AG$14/12</f>
        <v>8.3333333333333329E-2</v>
      </c>
      <c r="AH108" s="63">
        <f>'01 Major Assumptions'!AH$14/12</f>
        <v>8.3333333333333329E-2</v>
      </c>
      <c r="AI108" s="63">
        <f>'01 Major Assumptions'!AI$14/12</f>
        <v>8.3333333333333329E-2</v>
      </c>
      <c r="AJ108" s="63">
        <f>'01 Major Assumptions'!AJ$14/12</f>
        <v>8.3333333333333329E-2</v>
      </c>
      <c r="AK108" s="63">
        <f>'01 Major Assumptions'!AK$14/12</f>
        <v>8.3333333333333329E-2</v>
      </c>
      <c r="AL108" s="63">
        <f>'01 Major Assumptions'!AL$14/12</f>
        <v>8.3333333333333329E-2</v>
      </c>
      <c r="AM108" s="63">
        <f>'01 Major Assumptions'!AM$14/12</f>
        <v>8.3333333333333329E-2</v>
      </c>
      <c r="AN108" s="63">
        <f>'01 Major Assumptions'!AN$14/12</f>
        <v>8.3333333333333329E-2</v>
      </c>
      <c r="AO108" s="63">
        <f>'01 Major Assumptions'!AO$14/12</f>
        <v>8.3333333333333329E-2</v>
      </c>
      <c r="AP108" s="63">
        <f>'01 Major Assumptions'!AP$14/12</f>
        <v>8.3333333333333329E-2</v>
      </c>
      <c r="AQ108" s="63">
        <f>'01 Major Assumptions'!AQ$14/12</f>
        <v>8.3333333333333329E-2</v>
      </c>
      <c r="AR108" s="63">
        <f>'01 Major Assumptions'!AR$14/12</f>
        <v>8.3333333333333329E-2</v>
      </c>
      <c r="AS108" s="63">
        <f>'01 Major Assumptions'!AS$14/12</f>
        <v>8.3333333333333329E-2</v>
      </c>
      <c r="AT108" s="63">
        <f>'01 Major Assumptions'!AT$14/12</f>
        <v>8.3333333333333329E-2</v>
      </c>
      <c r="AU108" s="63">
        <f>'01 Major Assumptions'!AU$14/12</f>
        <v>8.3333333333333329E-2</v>
      </c>
      <c r="AV108" s="63">
        <f>'01 Major Assumptions'!AV$14/12</f>
        <v>8.3333333333333329E-2</v>
      </c>
      <c r="AW108" s="63">
        <f>'01 Major Assumptions'!AW$14/12</f>
        <v>8.3333333333333329E-2</v>
      </c>
      <c r="AX108" s="63">
        <f>'01 Major Assumptions'!AX$14/12</f>
        <v>8.3333333333333329E-2</v>
      </c>
      <c r="AY108" s="63">
        <f>'01 Major Assumptions'!AY$14/12</f>
        <v>8.3333333333333329E-2</v>
      </c>
      <c r="AZ108" s="63">
        <f>'01 Major Assumptions'!AZ$14/12</f>
        <v>8.3333333333333329E-2</v>
      </c>
      <c r="BA108" s="63">
        <f>'01 Major Assumptions'!BA$14/12</f>
        <v>8.3333333333333329E-2</v>
      </c>
      <c r="BB108" s="63">
        <f>'01 Major Assumptions'!BB$14/12</f>
        <v>8.3333333333333329E-2</v>
      </c>
      <c r="BC108" s="63">
        <f>'01 Major Assumptions'!BC$14/12</f>
        <v>8.3333333333333329E-2</v>
      </c>
      <c r="BD108" s="63">
        <f>'01 Major Assumptions'!BD$14/12</f>
        <v>8.3333333333333329E-2</v>
      </c>
      <c r="BE108" s="63">
        <f>'01 Major Assumptions'!BE$14/12</f>
        <v>8.3333333333333329E-2</v>
      </c>
      <c r="BF108" s="63">
        <f>'01 Major Assumptions'!BF$14/12</f>
        <v>8.3333333333333329E-2</v>
      </c>
      <c r="BG108" s="63">
        <f>'01 Major Assumptions'!BG$14/12</f>
        <v>8.3333333333333329E-2</v>
      </c>
      <c r="BH108" s="63">
        <f>'01 Major Assumptions'!BH$14/12</f>
        <v>8.3333333333333329E-2</v>
      </c>
      <c r="BI108" s="90">
        <f>'01 Major Assumptions'!BI$14/12</f>
        <v>1</v>
      </c>
      <c r="BJ108" s="90">
        <f>'01 Major Assumptions'!BJ$14/12</f>
        <v>1</v>
      </c>
      <c r="BK108" s="90">
        <f>'01 Major Assumptions'!BK$14/12</f>
        <v>1</v>
      </c>
      <c r="BL108" s="90">
        <f>'01 Major Assumptions'!BL$14/12</f>
        <v>1</v>
      </c>
      <c r="BM108" s="90">
        <f>'01 Major Assumptions'!BM$14/12</f>
        <v>1</v>
      </c>
      <c r="BN108" s="90">
        <f>'01 Major Assumptions'!BN$14/12</f>
        <v>1</v>
      </c>
      <c r="BO108" s="90">
        <f>'01 Major Assumptions'!BO$14/12</f>
        <v>1</v>
      </c>
    </row>
    <row r="109" spans="1:67">
      <c r="A109" s="11"/>
      <c r="B109" s="11"/>
      <c r="C109" s="11" t="s">
        <v>561</v>
      </c>
      <c r="D109" s="33"/>
      <c r="E109" s="33"/>
      <c r="F109" s="33"/>
      <c r="G109" s="63">
        <f>1/(1+G96)^G108</f>
        <v>0.99143412673217113</v>
      </c>
      <c r="H109" s="63">
        <f>G109/(1+H96)^H108</f>
        <v>0.9829416276491828</v>
      </c>
      <c r="I109" s="63">
        <f t="shared" ref="I109:BI109" si="189">H109/(1+I96)^I108</f>
        <v>0.97452187423706649</v>
      </c>
      <c r="J109" s="63">
        <f t="shared" si="189"/>
        <v>0.96617424336562474</v>
      </c>
      <c r="K109" s="63">
        <f t="shared" si="189"/>
        <v>0.95789811724231444</v>
      </c>
      <c r="L109" s="63">
        <f t="shared" si="189"/>
        <v>0.94969288336652491</v>
      </c>
      <c r="M109" s="63">
        <f t="shared" si="189"/>
        <v>0.94155793448424829</v>
      </c>
      <c r="N109" s="63">
        <f t="shared" si="189"/>
        <v>0.9334926685431375</v>
      </c>
      <c r="O109" s="63">
        <f t="shared" si="189"/>
        <v>0.92549648864794964</v>
      </c>
      <c r="P109" s="63">
        <f t="shared" si="189"/>
        <v>0.91756880301637067</v>
      </c>
      <c r="Q109" s="63">
        <f t="shared" si="189"/>
        <v>0.90971423175181376</v>
      </c>
      <c r="R109" s="63">
        <f t="shared" si="189"/>
        <v>0.90193598391078778</v>
      </c>
      <c r="S109" s="63">
        <f t="shared" si="189"/>
        <v>0.89423221479368042</v>
      </c>
      <c r="T109" s="63">
        <f t="shared" si="189"/>
        <v>0.88660109467333559</v>
      </c>
      <c r="U109" s="63">
        <f t="shared" si="189"/>
        <v>0.87904100567333998</v>
      </c>
      <c r="V109" s="63">
        <f t="shared" si="189"/>
        <v>0.8715505175963415</v>
      </c>
      <c r="W109" s="63">
        <f t="shared" si="189"/>
        <v>0.86412836330982212</v>
      </c>
      <c r="X109" s="63">
        <f t="shared" si="189"/>
        <v>0.85677339477442649</v>
      </c>
      <c r="Y109" s="63">
        <f t="shared" si="189"/>
        <v>0.84948456418202178</v>
      </c>
      <c r="Z109" s="63">
        <f t="shared" si="189"/>
        <v>0.84226090446753676</v>
      </c>
      <c r="AA109" s="63">
        <f t="shared" si="189"/>
        <v>0.83510152796479165</v>
      </c>
      <c r="AB109" s="63">
        <f t="shared" si="189"/>
        <v>0.82755177796859858</v>
      </c>
      <c r="AC109" s="63">
        <f t="shared" si="189"/>
        <v>0.82006369228784803</v>
      </c>
      <c r="AD109" s="63">
        <f t="shared" si="189"/>
        <v>0.81263967202798526</v>
      </c>
      <c r="AE109" s="63">
        <f t="shared" si="189"/>
        <v>0.80527981897278134</v>
      </c>
      <c r="AF109" s="63">
        <f t="shared" si="189"/>
        <v>0.79798435110666177</v>
      </c>
      <c r="AG109" s="63">
        <f t="shared" si="189"/>
        <v>0.79075348675781298</v>
      </c>
      <c r="AH109" s="63">
        <f t="shared" si="189"/>
        <v>0.78358735538858415</v>
      </c>
      <c r="AI109" s="63">
        <f t="shared" si="189"/>
        <v>0.77648608098393757</v>
      </c>
      <c r="AJ109" s="63">
        <f t="shared" si="189"/>
        <v>0.76944976552085931</v>
      </c>
      <c r="AK109" s="63">
        <f t="shared" si="189"/>
        <v>0.76247848864607293</v>
      </c>
      <c r="AL109" s="63">
        <f t="shared" si="189"/>
        <v>0.75557230167649514</v>
      </c>
      <c r="AM109" s="63">
        <f t="shared" ca="1" si="189"/>
        <v>0.74873122282119242</v>
      </c>
      <c r="AN109" s="63">
        <f t="shared" ca="1" si="189"/>
        <v>0.74195623682863721</v>
      </c>
      <c r="AO109" s="63">
        <f t="shared" ca="1" si="189"/>
        <v>0.73524796548839211</v>
      </c>
      <c r="AP109" s="63">
        <f t="shared" ca="1" si="189"/>
        <v>0.72860570469723707</v>
      </c>
      <c r="AQ109" s="63">
        <f t="shared" ca="1" si="189"/>
        <v>0.7220288271322568</v>
      </c>
      <c r="AR109" s="63">
        <f t="shared" ca="1" si="189"/>
        <v>0.71551669811657537</v>
      </c>
      <c r="AS109" s="63">
        <f t="shared" ca="1" si="189"/>
        <v>0.70906861442749591</v>
      </c>
      <c r="AT109" s="63">
        <f t="shared" ca="1" si="189"/>
        <v>0.70268387410457911</v>
      </c>
      <c r="AU109" s="63">
        <f t="shared" ca="1" si="189"/>
        <v>0.69636178045873065</v>
      </c>
      <c r="AV109" s="63">
        <f t="shared" ca="1" si="189"/>
        <v>0.69010164460937196</v>
      </c>
      <c r="AW109" s="63">
        <f t="shared" ca="1" si="189"/>
        <v>0.68390278609388211</v>
      </c>
      <c r="AX109" s="63">
        <f t="shared" ca="1" si="189"/>
        <v>0.67776453276028736</v>
      </c>
      <c r="AY109" s="63">
        <f t="shared" ca="1" si="189"/>
        <v>0.67168315126939138</v>
      </c>
      <c r="AZ109" s="63">
        <f t="shared" ca="1" si="189"/>
        <v>0.66565813208232705</v>
      </c>
      <c r="BA109" s="63">
        <f t="shared" ca="1" si="189"/>
        <v>0.659691988260245</v>
      </c>
      <c r="BB109" s="63">
        <f t="shared" ca="1" si="189"/>
        <v>0.65378407319830445</v>
      </c>
      <c r="BC109" s="63">
        <f t="shared" ca="1" si="189"/>
        <v>0.64793379703824483</v>
      </c>
      <c r="BD109" s="63">
        <f t="shared" ca="1" si="189"/>
        <v>0.64214057268890645</v>
      </c>
      <c r="BE109" s="63">
        <f t="shared" ca="1" si="189"/>
        <v>0.63640377026114558</v>
      </c>
      <c r="BF109" s="63">
        <f t="shared" ca="1" si="189"/>
        <v>0.63072276779967373</v>
      </c>
      <c r="BG109" s="63">
        <f t="shared" ca="1" si="189"/>
        <v>0.62509695117417308</v>
      </c>
      <c r="BH109" s="63">
        <f t="shared" ca="1" si="189"/>
        <v>0.61952571397188783</v>
      </c>
      <c r="BI109" s="63">
        <f t="shared" ca="1" si="189"/>
        <v>0.5566559488864079</v>
      </c>
      <c r="BJ109" s="63">
        <f t="shared" ref="BJ109" ca="1" si="190">BI109/(1+BJ96)^BJ108</f>
        <v>0.50055543677897496</v>
      </c>
      <c r="BK109" s="63">
        <f t="shared" ref="BK109" ca="1" si="191">BJ109/(1+BK96)^BK108</f>
        <v>0.45046918287534321</v>
      </c>
      <c r="BL109" s="63">
        <f t="shared" ref="BL109" ca="1" si="192">BK109/(1+BL96)^BL108</f>
        <v>0.40572267931965816</v>
      </c>
      <c r="BM109" s="63">
        <f t="shared" ref="BM109" ca="1" si="193">BL109/(1+BM96)^BM108</f>
        <v>0.3657132888229348</v>
      </c>
      <c r="BN109" s="63">
        <f t="shared" ref="BN109" ca="1" si="194">BM109/(1+BN96)^BN108</f>
        <v>0.32985168940681198</v>
      </c>
      <c r="BO109" s="63">
        <f t="shared" ref="BO109" ca="1" si="195">BN109/(1+BO96)^BO108</f>
        <v>0.29750612417764338</v>
      </c>
    </row>
    <row r="110" spans="1:67">
      <c r="A110" s="11"/>
      <c r="B110" s="11"/>
      <c r="C110" s="11" t="s">
        <v>562</v>
      </c>
      <c r="D110" s="33"/>
      <c r="E110" s="33"/>
      <c r="F110" s="33"/>
      <c r="G110" s="90">
        <f>G106*G109</f>
        <v>-23221588.743536729</v>
      </c>
      <c r="H110" s="90">
        <f t="shared" ref="H110:BI110" si="196">H106*H109</f>
        <v>-23321820.4700271</v>
      </c>
      <c r="I110" s="90">
        <f t="shared" si="196"/>
        <v>-23190739.030986864</v>
      </c>
      <c r="J110" s="90">
        <f t="shared" si="196"/>
        <v>-260751912.02251169</v>
      </c>
      <c r="K110" s="90">
        <f t="shared" si="196"/>
        <v>-52760295.605617382</v>
      </c>
      <c r="L110" s="90">
        <f t="shared" si="196"/>
        <v>-52287531.754011877</v>
      </c>
      <c r="M110" s="90">
        <f t="shared" si="196"/>
        <v>-51869706.417182416</v>
      </c>
      <c r="N110" s="90">
        <f t="shared" si="196"/>
        <v>-51415161.790152773</v>
      </c>
      <c r="O110" s="90">
        <f t="shared" si="196"/>
        <v>-50964598.409036264</v>
      </c>
      <c r="P110" s="90">
        <f t="shared" si="196"/>
        <v>-60427515.203004397</v>
      </c>
      <c r="Q110" s="90">
        <f t="shared" si="196"/>
        <v>-79420829.527386218</v>
      </c>
      <c r="R110" s="90">
        <f t="shared" si="196"/>
        <v>-60056869.574894987</v>
      </c>
      <c r="S110" s="90">
        <f t="shared" si="196"/>
        <v>-60676140.965998396</v>
      </c>
      <c r="T110" s="90">
        <f t="shared" si="196"/>
        <v>-60321304.722143978</v>
      </c>
      <c r="U110" s="90">
        <f t="shared" si="196"/>
        <v>-60777225.314028867</v>
      </c>
      <c r="V110" s="90">
        <f t="shared" si="196"/>
        <v>-60476115.228364632</v>
      </c>
      <c r="W110" s="90">
        <f t="shared" si="196"/>
        <v>-60442683.906383976</v>
      </c>
      <c r="X110" s="90">
        <f t="shared" si="196"/>
        <v>-60176453.791231357</v>
      </c>
      <c r="Y110" s="90">
        <f t="shared" si="196"/>
        <v>-60042425.967901677</v>
      </c>
      <c r="Z110" s="90">
        <f t="shared" si="196"/>
        <v>-59814075.085522093</v>
      </c>
      <c r="AA110" s="90">
        <f t="shared" si="196"/>
        <v>-59870706.326632105</v>
      </c>
      <c r="AB110" s="90">
        <f t="shared" si="196"/>
        <v>-34995703.138821468</v>
      </c>
      <c r="AC110" s="90">
        <f t="shared" si="196"/>
        <v>-12123067.01681426</v>
      </c>
      <c r="AD110" s="90">
        <f t="shared" si="196"/>
        <v>-2105733.2435756139</v>
      </c>
      <c r="AE110" s="90">
        <f t="shared" si="196"/>
        <v>-1364722.451596797</v>
      </c>
      <c r="AF110" s="90">
        <f t="shared" si="196"/>
        <v>-1805774.9094201962</v>
      </c>
      <c r="AG110" s="90">
        <f t="shared" si="196"/>
        <v>6704993.1879288703</v>
      </c>
      <c r="AH110" s="90">
        <f t="shared" si="196"/>
        <v>4360058.3838126035</v>
      </c>
      <c r="AI110" s="90">
        <f t="shared" si="196"/>
        <v>8648998.3909482118</v>
      </c>
      <c r="AJ110" s="90">
        <f t="shared" si="196"/>
        <v>7828239.611473511</v>
      </c>
      <c r="AK110" s="90">
        <f t="shared" si="196"/>
        <v>12539366.706276387</v>
      </c>
      <c r="AL110" s="90">
        <f t="shared" si="196"/>
        <v>12888449.703174254</v>
      </c>
      <c r="AM110" s="90">
        <f t="shared" ca="1" si="196"/>
        <v>12837050.769084677</v>
      </c>
      <c r="AN110" s="90">
        <f t="shared" ca="1" si="196"/>
        <v>18188941.45803633</v>
      </c>
      <c r="AO110" s="90">
        <f t="shared" ca="1" si="196"/>
        <v>18268941.460218437</v>
      </c>
      <c r="AP110" s="90">
        <f t="shared" ca="1" si="196"/>
        <v>21936228.608438581</v>
      </c>
      <c r="AQ110" s="90">
        <f t="shared" ca="1" si="196"/>
        <v>18897351.655843306</v>
      </c>
      <c r="AR110" s="90">
        <f t="shared" ca="1" si="196"/>
        <v>14112868.588405579</v>
      </c>
      <c r="AS110" s="90">
        <f t="shared" ca="1" si="196"/>
        <v>26133481.87080789</v>
      </c>
      <c r="AT110" s="90">
        <f t="shared" ca="1" si="196"/>
        <v>18017643.596280158</v>
      </c>
      <c r="AU110" s="90">
        <f t="shared" ca="1" si="196"/>
        <v>21558851.718249723</v>
      </c>
      <c r="AV110" s="90">
        <f t="shared" ca="1" si="196"/>
        <v>17687662.878387958</v>
      </c>
      <c r="AW110" s="90">
        <f t="shared" ca="1" si="196"/>
        <v>21166204.268317558</v>
      </c>
      <c r="AX110" s="90">
        <f t="shared" ca="1" si="196"/>
        <v>19168559.737231012</v>
      </c>
      <c r="AY110" s="90">
        <f t="shared" ca="1" si="196"/>
        <v>17204845.636589441</v>
      </c>
      <c r="AZ110" s="90">
        <f t="shared" ca="1" si="196"/>
        <v>20591435.901987314</v>
      </c>
      <c r="BA110" s="90">
        <f t="shared" ca="1" si="196"/>
        <v>16890664.381888069</v>
      </c>
      <c r="BB110" s="90">
        <f t="shared" ca="1" si="196"/>
        <v>20217503.278843239</v>
      </c>
      <c r="BC110" s="90">
        <f t="shared" ca="1" si="196"/>
        <v>17322817.898037165</v>
      </c>
      <c r="BD110" s="90">
        <f t="shared" ca="1" si="196"/>
        <v>12893054.030496076</v>
      </c>
      <c r="BE110" s="90">
        <f t="shared" ca="1" si="196"/>
        <v>23898747.73730512</v>
      </c>
      <c r="BF110" s="90">
        <f t="shared" ca="1" si="196"/>
        <v>16454489.381243683</v>
      </c>
      <c r="BG110" s="90">
        <f t="shared" ca="1" si="196"/>
        <v>19704159.924921367</v>
      </c>
      <c r="BH110" s="90">
        <f t="shared" ca="1" si="196"/>
        <v>16155712.424288746</v>
      </c>
      <c r="BI110" s="90">
        <f t="shared" ca="1" si="196"/>
        <v>194008591.48105213</v>
      </c>
      <c r="BJ110" s="90">
        <f t="shared" ref="BJ110" ca="1" si="197">BJ106*BJ109</f>
        <v>177734876.58654869</v>
      </c>
      <c r="BK110" s="90">
        <f t="shared" ref="BK110" ca="1" si="198">BK106*BK109</f>
        <v>162859074.88170612</v>
      </c>
      <c r="BL110" s="90">
        <f t="shared" ref="BL110" ca="1" si="199">BL106*BL109</f>
        <v>149234038.83810151</v>
      </c>
      <c r="BM110" s="90">
        <f t="shared" ref="BM110" ca="1" si="200">BM106*BM109</f>
        <v>136933935.87558568</v>
      </c>
      <c r="BN110" s="90">
        <f t="shared" ref="BN110" ca="1" si="201">BN106*BN109</f>
        <v>113762358.02634954</v>
      </c>
      <c r="BO110" s="90">
        <f t="shared" ref="BO110" ca="1" si="202">BO106*BO109</f>
        <v>1218027714.1758518</v>
      </c>
    </row>
    <row r="111" spans="1:67">
      <c r="A111" s="11"/>
      <c r="B111" s="11"/>
      <c r="C111" s="11" t="s">
        <v>24</v>
      </c>
      <c r="D111" s="33"/>
      <c r="E111" s="33"/>
      <c r="F111" s="33"/>
      <c r="G111" s="90">
        <f>-'06 Debt &amp; WC'!G$12+'07 Equity &amp; Dividend'!G$32+IF(COLUMN(G111)=COLUMN($BO$111),G63,0)</f>
        <v>-23922220.516129032</v>
      </c>
      <c r="H111" s="90">
        <f>-'06 Debt &amp; WC'!H$12+'07 Equity &amp; Dividend'!H$32+IF(COLUMN(H111)=COLUMN($BO$111),H63,0)</f>
        <v>-23726556.912442397</v>
      </c>
      <c r="I111" s="90">
        <f>-'06 Debt &amp; WC'!I$12+'07 Equity &amp; Dividend'!I$32+IF(COLUMN(I111)=COLUMN($BO$111),I63,0)</f>
        <v>-23797043.087557603</v>
      </c>
      <c r="J111" s="90">
        <f>-'06 Debt &amp; WC'!J$12+'07 Equity &amp; Dividend'!J$32+IF(COLUMN(J111)=COLUMN($BO$111),J63,0)</f>
        <v>-269880835.48387098</v>
      </c>
      <c r="K111" s="90">
        <f>-'06 Debt &amp; WC'!K$12+'07 Equity &amp; Dividend'!K$32+IF(COLUMN(K111)=COLUMN($BO$111),K63,0)</f>
        <v>-55079235.104364328</v>
      </c>
      <c r="L111" s="90">
        <f>-'06 Debt &amp; WC'!L$12+'07 Equity &amp; Dividend'!L$32+IF(COLUMN(L111)=COLUMN($BO$111),L63,0)</f>
        <v>-55057306.072106265</v>
      </c>
      <c r="M111" s="90">
        <f>-'06 Debt &amp; WC'!M$12+'07 Equity &amp; Dividend'!M$32+IF(COLUMN(M111)=COLUMN($BO$111),M63,0)</f>
        <v>-55089235.104364328</v>
      </c>
      <c r="N111" s="90">
        <f>-'06 Debt &amp; WC'!N$12+'07 Equity &amp; Dividend'!N$32+IF(COLUMN(N111)=COLUMN($BO$111),N63,0)</f>
        <v>-55078270.588235296</v>
      </c>
      <c r="O111" s="90">
        <f>-'06 Debt &amp; WC'!O$12+'07 Equity &amp; Dividend'!O$32+IF(COLUMN(O111)=COLUMN($BO$111),O63,0)</f>
        <v>-55067306.072106265</v>
      </c>
      <c r="P111" s="90">
        <f>-'06 Debt &amp; WC'!P$12+'07 Equity &amp; Dividend'!P$32+IF(COLUMN(P111)=COLUMN($BO$111),P63,0)</f>
        <v>-65856113.464579381</v>
      </c>
      <c r="Q111" s="90">
        <f>-'06 Debt &amp; WC'!Q$12+'07 Equity &amp; Dividend'!Q$32+IF(COLUMN(Q111)=COLUMN($BO$111),Q63,0)</f>
        <v>-24439071.094244286</v>
      </c>
      <c r="R111" s="90">
        <f>-'06 Debt &amp; WC'!R$12+'07 Equity &amp; Dividend'!R$32+IF(COLUMN(R111)=COLUMN($BO$111),R63,0)</f>
        <v>-463116.39784946293</v>
      </c>
      <c r="S111" s="90">
        <f>-'06 Debt &amp; WC'!S$12+'07 Equity &amp; Dividend'!S$32+IF(COLUMN(S111)=COLUMN($BO$111),S63,0)</f>
        <v>-704438.82967741787</v>
      </c>
      <c r="T111" s="90">
        <f>-'06 Debt &amp; WC'!T$12+'07 Equity &amp; Dividend'!T$32+IF(COLUMN(T111)=COLUMN($BO$111),T63,0)</f>
        <v>-524517.73155358434</v>
      </c>
      <c r="U111" s="90">
        <f>-'06 Debt &amp; WC'!U$12+'07 Equity &amp; Dividend'!U$32+IF(COLUMN(U111)=COLUMN($BO$111),U63,0)</f>
        <v>-1262624.8060808331</v>
      </c>
      <c r="V111" s="90">
        <f>-'06 Debt &amp; WC'!V$12+'07 Equity &amp; Dividend'!V$32+IF(COLUMN(V111)=COLUMN($BO$111),V63,0)</f>
        <v>-1143688.604838714</v>
      </c>
      <c r="W111" s="90">
        <f>-'06 Debt &amp; WC'!W$12+'07 Equity &amp; Dividend'!W$32+IF(COLUMN(W111)=COLUMN($BO$111),W63,0)</f>
        <v>-1331333.5698924661</v>
      </c>
      <c r="X111" s="90">
        <f>-'06 Debt &amp; WC'!X$12+'07 Equity &amp; Dividend'!X$32+IF(COLUMN(X111)=COLUMN($BO$111),X63,0)</f>
        <v>-1249387.5967741907</v>
      </c>
      <c r="Y111" s="90">
        <f>-'06 Debt &amp; WC'!Y$12+'07 Equity &amp; Dividend'!Y$32+IF(COLUMN(Y111)=COLUMN($BO$111),Y63,0)</f>
        <v>-1320580.8817204237</v>
      </c>
      <c r="Z111" s="90">
        <f>-'06 Debt &amp; WC'!Z$12+'07 Equity &amp; Dividend'!Z$32+IF(COLUMN(Z111)=COLUMN($BO$111),Z63,0)</f>
        <v>-1279958.4327957034</v>
      </c>
      <c r="AA111" s="90">
        <f>-'06 Debt &amp; WC'!AA$12+'07 Equity &amp; Dividend'!AA$32+IF(COLUMN(AA111)=COLUMN($BO$111),AA63,0)</f>
        <v>-1115859.9348286539</v>
      </c>
      <c r="AB111" s="90">
        <f>-'06 Debt &amp; WC'!AB$12+'07 Equity &amp; Dividend'!AB$32+IF(COLUMN(AB111)=COLUMN($BO$111),AB63,0)</f>
        <v>0</v>
      </c>
      <c r="AC111" s="90">
        <f>-'06 Debt &amp; WC'!AC$12+'07 Equity &amp; Dividend'!AC$32+IF(COLUMN(AC111)=COLUMN($BO$111),AC63,0)</f>
        <v>0</v>
      </c>
      <c r="AD111" s="90">
        <f>-'06 Debt &amp; WC'!AD$12+'07 Equity &amp; Dividend'!AD$32+IF(COLUMN(AD111)=COLUMN($BO$111),AD63,0)</f>
        <v>0</v>
      </c>
      <c r="AE111" s="90">
        <f>-'06 Debt &amp; WC'!AE$12+'07 Equity &amp; Dividend'!AE$32+IF(COLUMN(AE111)=COLUMN($BO$111),AE63,0)</f>
        <v>0</v>
      </c>
      <c r="AF111" s="90">
        <f>-'06 Debt &amp; WC'!AF$12+'07 Equity &amp; Dividend'!AF$32+IF(COLUMN(AF111)=COLUMN($BO$111),AF63,0)</f>
        <v>0</v>
      </c>
      <c r="AG111" s="90">
        <f>-'06 Debt &amp; WC'!AG$12+'07 Equity &amp; Dividend'!AG$32+IF(COLUMN(AG111)=COLUMN($BO$111),AG63,0)</f>
        <v>0</v>
      </c>
      <c r="AH111" s="90">
        <f>-'06 Debt &amp; WC'!AH$12+'07 Equity &amp; Dividend'!AH$32+IF(COLUMN(AH111)=COLUMN($BO$111),AH63,0)</f>
        <v>0</v>
      </c>
      <c r="AI111" s="90">
        <f>-'06 Debt &amp; WC'!AI$12+'07 Equity &amp; Dividend'!AI$32+IF(COLUMN(AI111)=COLUMN($BO$111),AI63,0)</f>
        <v>0</v>
      </c>
      <c r="AJ111" s="90">
        <f>-'06 Debt &amp; WC'!AJ$12+'07 Equity &amp; Dividend'!AJ$32+IF(COLUMN(AJ111)=COLUMN($BO$111),AJ63,0)</f>
        <v>0</v>
      </c>
      <c r="AK111" s="90">
        <f>-'06 Debt &amp; WC'!AK$12+'07 Equity &amp; Dividend'!AK$32+IF(COLUMN(AK111)=COLUMN($BO$111),AK63,0)</f>
        <v>0</v>
      </c>
      <c r="AL111" s="90">
        <f>-'06 Debt &amp; WC'!AL$12+'07 Equity &amp; Dividend'!AL$32+IF(COLUMN(AL111)=COLUMN($BO$111),AL63,0)</f>
        <v>0</v>
      </c>
      <c r="AM111" s="90">
        <f>-'06 Debt &amp; WC'!AM$12+'07 Equity &amp; Dividend'!AM$32+IF(COLUMN(AM111)=COLUMN($BO$111),AM63,0)</f>
        <v>0</v>
      </c>
      <c r="AN111" s="90">
        <f>-'06 Debt &amp; WC'!AN$12+'07 Equity &amp; Dividend'!AN$32+IF(COLUMN(AN111)=COLUMN($BO$111),AN63,0)</f>
        <v>0</v>
      </c>
      <c r="AO111" s="90">
        <f>-'06 Debt &amp; WC'!AO$12+'07 Equity &amp; Dividend'!AO$32+IF(COLUMN(AO111)=COLUMN($BO$111),AO63,0)</f>
        <v>0</v>
      </c>
      <c r="AP111" s="90">
        <f>-'06 Debt &amp; WC'!AP$12+'07 Equity &amp; Dividend'!AP$32+IF(COLUMN(AP111)=COLUMN($BO$111),AP63,0)</f>
        <v>0</v>
      </c>
      <c r="AQ111" s="90">
        <f>-'06 Debt &amp; WC'!AQ$12+'07 Equity &amp; Dividend'!AQ$32+IF(COLUMN(AQ111)=COLUMN($BO$111),AQ63,0)</f>
        <v>0</v>
      </c>
      <c r="AR111" s="90">
        <f>-'06 Debt &amp; WC'!AR$12+'07 Equity &amp; Dividend'!AR$32+IF(COLUMN(AR111)=COLUMN($BO$111),AR63,0)</f>
        <v>0</v>
      </c>
      <c r="AS111" s="90">
        <f>-'06 Debt &amp; WC'!AS$12+'07 Equity &amp; Dividend'!AS$32+IF(COLUMN(AS111)=COLUMN($BO$111),AS63,0)</f>
        <v>0</v>
      </c>
      <c r="AT111" s="90">
        <f>-'06 Debt &amp; WC'!AT$12+'07 Equity &amp; Dividend'!AT$32+IF(COLUMN(AT111)=COLUMN($BO$111),AT63,0)</f>
        <v>0</v>
      </c>
      <c r="AU111" s="90">
        <f>-'06 Debt &amp; WC'!AU$12+'07 Equity &amp; Dividend'!AU$32+IF(COLUMN(AU111)=COLUMN($BO$111),AU63,0)</f>
        <v>0</v>
      </c>
      <c r="AV111" s="90">
        <f>-'06 Debt &amp; WC'!AV$12+'07 Equity &amp; Dividend'!AV$32+IF(COLUMN(AV111)=COLUMN($BO$111),AV63,0)</f>
        <v>0</v>
      </c>
      <c r="AW111" s="90">
        <f>-'06 Debt &amp; WC'!AW$12+'07 Equity &amp; Dividend'!AW$32+IF(COLUMN(AW111)=COLUMN($BO$111),AW63,0)</f>
        <v>0</v>
      </c>
      <c r="AX111" s="90">
        <f>-'06 Debt &amp; WC'!AX$12+'07 Equity &amp; Dividend'!AX$32+IF(COLUMN(AX111)=COLUMN($BO$111),AX63,0)</f>
        <v>0</v>
      </c>
      <c r="AY111" s="90">
        <f ca="1">-'06 Debt &amp; WC'!AY$12+'07 Equity &amp; Dividend'!AY$32+IF(COLUMN(AY111)=COLUMN($BO$111),AY63,0)</f>
        <v>0</v>
      </c>
      <c r="AZ111" s="90">
        <f>-'06 Debt &amp; WC'!AZ$12+'07 Equity &amp; Dividend'!AZ$32+IF(COLUMN(AZ111)=COLUMN($BO$111),AZ63,0)</f>
        <v>0</v>
      </c>
      <c r="BA111" s="90">
        <f>-'06 Debt &amp; WC'!BA$12+'07 Equity &amp; Dividend'!BA$32+IF(COLUMN(BA111)=COLUMN($BO$111),BA63,0)</f>
        <v>0</v>
      </c>
      <c r="BB111" s="90">
        <f>-'06 Debt &amp; WC'!BB$12+'07 Equity &amp; Dividend'!BB$32+IF(COLUMN(BB111)=COLUMN($BO$111),BB63,0)</f>
        <v>0</v>
      </c>
      <c r="BC111" s="90">
        <f>-'06 Debt &amp; WC'!BC$12+'07 Equity &amp; Dividend'!BC$32+IF(COLUMN(BC111)=COLUMN($BO$111),BC63,0)</f>
        <v>0</v>
      </c>
      <c r="BD111" s="90">
        <f>-'06 Debt &amp; WC'!BD$12+'07 Equity &amp; Dividend'!BD$32+IF(COLUMN(BD111)=COLUMN($BO$111),BD63,0)</f>
        <v>0</v>
      </c>
      <c r="BE111" s="90">
        <f>-'06 Debt &amp; WC'!BE$12+'07 Equity &amp; Dividend'!BE$32+IF(COLUMN(BE111)=COLUMN($BO$111),BE63,0)</f>
        <v>0</v>
      </c>
      <c r="BF111" s="90">
        <f>-'06 Debt &amp; WC'!BF$12+'07 Equity &amp; Dividend'!BF$32+IF(COLUMN(BF111)=COLUMN($BO$111),BF63,0)</f>
        <v>0</v>
      </c>
      <c r="BG111" s="90">
        <f>-'06 Debt &amp; WC'!BG$12+'07 Equity &amp; Dividend'!BG$32+IF(COLUMN(BG111)=COLUMN($BO$111),BG63,0)</f>
        <v>0</v>
      </c>
      <c r="BH111" s="90">
        <f>-'06 Debt &amp; WC'!BH$12+'07 Equity &amp; Dividend'!BH$32+IF(COLUMN(BH111)=COLUMN($BO$111),BH63,0)</f>
        <v>0</v>
      </c>
      <c r="BI111" s="90">
        <f ca="1">-'06 Debt &amp; WC'!BI$12+'07 Equity &amp; Dividend'!BI$32+IF(COLUMN(BI111)=COLUMN($BO$111),BI63,0)</f>
        <v>32570538.632764772</v>
      </c>
      <c r="BJ111" s="90">
        <f ca="1">-'06 Debt &amp; WC'!BJ$12+'07 Equity &amp; Dividend'!BJ$32+IF(COLUMN(BJ111)=COLUMN($BO$111),BJ63,0)</f>
        <v>96028969.788974926</v>
      </c>
      <c r="BK111" s="90">
        <f ca="1">-'06 Debt &amp; WC'!BK$12+'07 Equity &amp; Dividend'!BK$32+IF(COLUMN(BK111)=COLUMN($BO$111),BK63,0)</f>
        <v>102139379.34440483</v>
      </c>
      <c r="BL111" s="90">
        <f ca="1">-'06 Debt &amp; WC'!BL$12+'07 Equity &amp; Dividend'!BL$32+IF(COLUMN(BL111)=COLUMN($BO$111),BL63,0)</f>
        <v>114434153.17681257</v>
      </c>
      <c r="BM111" s="90">
        <f ca="1">-'06 Debt &amp; WC'!BM$12+'07 Equity &amp; Dividend'!BM$32+IF(COLUMN(BM111)=COLUMN($BO$111),BM63,0)</f>
        <v>122662236.33951207</v>
      </c>
      <c r="BN111" s="90">
        <f ca="1">-'06 Debt &amp; WC'!BN$12+'07 Equity &amp; Dividend'!BN$32+IF(COLUMN(BN111)=COLUMN($BO$111),BN63,0)</f>
        <v>128872457.45621018</v>
      </c>
      <c r="BO111" s="90">
        <f ca="1">-'06 Debt &amp; WC'!BO$12+'07 Equity &amp; Dividend'!BO$32+IF(COLUMN(BO111)=COLUMN($BO$111),BO63,0)</f>
        <v>1833399476.9233849</v>
      </c>
    </row>
    <row r="112" spans="1:67">
      <c r="A112" s="11"/>
      <c r="B112" s="11"/>
      <c r="C112" s="11"/>
      <c r="D112" s="33"/>
      <c r="E112" s="33"/>
      <c r="F112" s="33"/>
      <c r="G112" s="33"/>
      <c r="H112" s="33"/>
      <c r="I112" s="33"/>
      <c r="J112" s="33"/>
      <c r="K112" s="33"/>
      <c r="L112" s="33"/>
      <c r="M112" s="33"/>
      <c r="N112" s="33"/>
      <c r="O112" s="33"/>
      <c r="P112" s="33"/>
      <c r="Q112" s="33"/>
      <c r="R112" s="33"/>
      <c r="S112" s="33"/>
      <c r="T112" s="33"/>
      <c r="U112" s="33"/>
      <c r="V112" s="33"/>
      <c r="W112" s="33"/>
      <c r="X112" s="33"/>
      <c r="Y112" s="33"/>
      <c r="Z112" s="33"/>
      <c r="AA112" s="33"/>
      <c r="AB112" s="33"/>
      <c r="AC112" s="33"/>
      <c r="AD112" s="33"/>
      <c r="AE112" s="33"/>
      <c r="AF112" s="33"/>
      <c r="AG112" s="33"/>
      <c r="AH112" s="33"/>
      <c r="AI112" s="33"/>
      <c r="AJ112" s="33"/>
      <c r="AK112" s="33"/>
      <c r="AL112" s="33"/>
      <c r="AM112" s="33"/>
      <c r="AN112" s="33"/>
      <c r="AO112" s="33"/>
      <c r="AP112" s="33"/>
      <c r="AQ112" s="33"/>
      <c r="AR112" s="33"/>
      <c r="AS112" s="33"/>
      <c r="AT112" s="33"/>
      <c r="AU112" s="33"/>
      <c r="AV112" s="33"/>
      <c r="AW112" s="33"/>
      <c r="AX112" s="33"/>
      <c r="AY112" s="33"/>
      <c r="AZ112" s="33"/>
      <c r="BA112" s="33"/>
      <c r="BB112" s="33"/>
      <c r="BC112" s="33"/>
      <c r="BD112" s="33"/>
      <c r="BE112" s="33"/>
      <c r="BF112" s="33"/>
      <c r="BG112" s="33"/>
      <c r="BH112" s="33"/>
      <c r="BI112" s="33"/>
      <c r="BJ112" s="33"/>
      <c r="BK112" s="33"/>
      <c r="BL112" s="33"/>
      <c r="BM112" s="33"/>
      <c r="BN112" s="33"/>
      <c r="BO112" s="33"/>
    </row>
    <row r="113" spans="1:67">
      <c r="A113" s="11"/>
      <c r="B113" s="22" t="s">
        <v>563</v>
      </c>
      <c r="C113" s="22"/>
      <c r="D113" s="33"/>
      <c r="E113" s="89">
        <f ca="1">SUM(G110:BO110)</f>
        <v>1230157212.4369273</v>
      </c>
      <c r="F113" s="22" t="s">
        <v>13</v>
      </c>
      <c r="G113" s="33"/>
      <c r="H113" s="33"/>
      <c r="I113" s="33"/>
      <c r="J113" s="33"/>
      <c r="K113" s="33"/>
      <c r="L113" s="33"/>
      <c r="M113" s="33"/>
      <c r="N113" s="33"/>
      <c r="O113" s="33"/>
      <c r="P113" s="33"/>
      <c r="Q113" s="33"/>
      <c r="R113" s="33"/>
      <c r="S113" s="33"/>
      <c r="T113" s="33"/>
      <c r="U113" s="33"/>
      <c r="V113" s="33"/>
      <c r="W113" s="33"/>
      <c r="X113" s="33"/>
      <c r="Y113" s="33"/>
      <c r="Z113" s="33"/>
      <c r="AA113" s="33"/>
      <c r="AB113" s="33"/>
      <c r="AC113" s="33"/>
      <c r="AD113" s="33"/>
      <c r="AE113" s="33"/>
      <c r="AF113" s="33"/>
      <c r="AG113" s="33"/>
      <c r="AH113" s="33"/>
      <c r="AI113" s="33"/>
      <c r="AJ113" s="33"/>
      <c r="AK113" s="33"/>
      <c r="AL113" s="33"/>
      <c r="AM113" s="33"/>
      <c r="AN113" s="33"/>
      <c r="AO113" s="33"/>
      <c r="AP113" s="33"/>
      <c r="AQ113" s="33"/>
      <c r="AR113" s="33"/>
      <c r="AS113" s="33"/>
      <c r="AT113" s="33"/>
      <c r="AU113" s="33"/>
      <c r="AV113" s="33"/>
      <c r="AW113" s="33"/>
      <c r="AX113" s="33"/>
      <c r="AY113" s="33"/>
      <c r="AZ113" s="33"/>
      <c r="BA113" s="33"/>
      <c r="BB113" s="33"/>
      <c r="BC113" s="33"/>
      <c r="BD113" s="33"/>
      <c r="BE113" s="33"/>
      <c r="BF113" s="33"/>
      <c r="BG113" s="33"/>
      <c r="BH113" s="33"/>
      <c r="BI113" s="33"/>
      <c r="BJ113" s="33"/>
      <c r="BK113" s="33"/>
      <c r="BL113" s="33"/>
      <c r="BM113" s="33"/>
      <c r="BN113" s="33"/>
      <c r="BO113" s="33"/>
    </row>
    <row r="114" spans="1:67">
      <c r="A114" s="11"/>
      <c r="B114" s="22" t="s">
        <v>564</v>
      </c>
      <c r="C114" s="22"/>
      <c r="D114" s="33"/>
      <c r="E114" s="89">
        <f>0</f>
        <v>0</v>
      </c>
      <c r="F114" s="22" t="s">
        <v>13</v>
      </c>
      <c r="G114" s="33"/>
      <c r="H114" s="33"/>
      <c r="I114" s="33"/>
      <c r="J114" s="33"/>
      <c r="K114" s="33"/>
      <c r="L114" s="33"/>
      <c r="M114" s="33"/>
      <c r="N114" s="33"/>
      <c r="O114" s="33"/>
      <c r="P114" s="33"/>
      <c r="Q114" s="33"/>
      <c r="R114" s="33"/>
      <c r="S114" s="33"/>
      <c r="T114" s="33"/>
      <c r="U114" s="33"/>
      <c r="V114" s="33"/>
      <c r="W114" s="33"/>
      <c r="X114" s="33"/>
      <c r="Y114" s="33"/>
      <c r="Z114" s="33"/>
      <c r="AA114" s="33"/>
      <c r="AB114" s="33"/>
      <c r="AC114" s="33"/>
      <c r="AD114" s="33"/>
      <c r="AE114" s="33"/>
      <c r="AF114" s="33"/>
      <c r="AG114" s="33"/>
      <c r="AH114" s="33"/>
      <c r="AI114" s="33"/>
      <c r="AJ114" s="33"/>
      <c r="AK114" s="33"/>
      <c r="AL114" s="33"/>
      <c r="AM114" s="33"/>
      <c r="AN114" s="33"/>
      <c r="AO114" s="33"/>
      <c r="AP114" s="33"/>
      <c r="AQ114" s="33"/>
      <c r="AR114" s="33"/>
      <c r="AS114" s="33"/>
      <c r="AT114" s="33"/>
      <c r="AU114" s="33"/>
      <c r="AV114" s="33"/>
      <c r="AW114" s="33"/>
      <c r="AX114" s="33"/>
      <c r="AY114" s="33"/>
      <c r="AZ114" s="33"/>
      <c r="BA114" s="33"/>
      <c r="BB114" s="33"/>
      <c r="BC114" s="33"/>
      <c r="BD114" s="33"/>
      <c r="BE114" s="33"/>
      <c r="BF114" s="33"/>
      <c r="BG114" s="33"/>
      <c r="BH114" s="33"/>
      <c r="BI114" s="33"/>
      <c r="BJ114" s="33"/>
      <c r="BK114" s="33"/>
      <c r="BL114" s="33"/>
      <c r="BM114" s="33"/>
      <c r="BN114" s="33"/>
      <c r="BO114" s="33"/>
    </row>
    <row r="115" spans="1:67">
      <c r="A115" s="11"/>
      <c r="B115" s="22" t="s">
        <v>565</v>
      </c>
      <c r="C115" s="22"/>
      <c r="D115" s="33"/>
      <c r="E115" s="89">
        <f ca="1">E113-E114</f>
        <v>1230157212.4369273</v>
      </c>
      <c r="F115" s="22" t="s">
        <v>13</v>
      </c>
      <c r="G115" s="33"/>
      <c r="H115" s="33"/>
      <c r="I115" s="33"/>
      <c r="J115" s="33"/>
      <c r="K115" s="33"/>
      <c r="L115" s="33"/>
      <c r="M115" s="33"/>
      <c r="N115" s="33"/>
      <c r="O115" s="33"/>
      <c r="P115" s="33"/>
      <c r="Q115" s="33"/>
      <c r="R115" s="33"/>
      <c r="S115" s="33"/>
      <c r="T115" s="33"/>
      <c r="U115" s="33"/>
      <c r="V115" s="33"/>
      <c r="W115" s="33"/>
      <c r="X115" s="33"/>
      <c r="Y115" s="33"/>
      <c r="Z115" s="33"/>
      <c r="AA115" s="33"/>
      <c r="AB115" s="33"/>
      <c r="AC115" s="33"/>
      <c r="AD115" s="33"/>
      <c r="AE115" s="33"/>
      <c r="AF115" s="33"/>
      <c r="AG115" s="33"/>
      <c r="AH115" s="33"/>
      <c r="AI115" s="33"/>
      <c r="AJ115" s="33"/>
      <c r="AK115" s="33"/>
      <c r="AL115" s="33"/>
      <c r="AM115" s="33"/>
      <c r="AN115" s="33"/>
      <c r="AO115" s="33"/>
      <c r="AP115" s="33"/>
      <c r="AQ115" s="33"/>
      <c r="AR115" s="33"/>
      <c r="AS115" s="33"/>
      <c r="AT115" s="33"/>
      <c r="AU115" s="33"/>
      <c r="AV115" s="33"/>
      <c r="AW115" s="33"/>
      <c r="AX115" s="33"/>
      <c r="AY115" s="33"/>
      <c r="AZ115" s="33"/>
      <c r="BA115" s="33"/>
      <c r="BB115" s="33"/>
      <c r="BC115" s="33"/>
      <c r="BD115" s="33"/>
      <c r="BE115" s="33"/>
      <c r="BF115" s="33"/>
      <c r="BG115" s="33"/>
      <c r="BH115" s="33"/>
      <c r="BI115" s="33"/>
      <c r="BJ115" s="33"/>
      <c r="BK115" s="33"/>
      <c r="BL115" s="33"/>
      <c r="BM115" s="33"/>
      <c r="BN115" s="33"/>
      <c r="BO115" s="33"/>
    </row>
    <row r="116" spans="1:67">
      <c r="A116" s="11"/>
      <c r="B116" s="22" t="s">
        <v>566</v>
      </c>
      <c r="C116" s="22"/>
      <c r="D116" s="33"/>
      <c r="E116" s="65">
        <f ca="1">XIRR(G106:BO106,'01 Major Assumptions'!G$11:'01 Major Assumptions'!BO$11)</f>
        <v>0.21215175986289977</v>
      </c>
      <c r="F116" s="22" t="s">
        <v>7</v>
      </c>
      <c r="G116" s="33"/>
      <c r="H116" s="33"/>
      <c r="I116" s="33"/>
      <c r="J116" s="33"/>
      <c r="K116" s="33"/>
      <c r="L116" s="33"/>
      <c r="M116" s="33"/>
      <c r="N116" s="33"/>
      <c r="O116" s="33"/>
      <c r="P116" s="33"/>
      <c r="Q116" s="33"/>
      <c r="R116" s="33"/>
      <c r="S116" s="33"/>
      <c r="T116" s="33"/>
      <c r="U116" s="33"/>
      <c r="V116" s="33"/>
      <c r="W116" s="33"/>
      <c r="X116" s="33"/>
      <c r="Y116" s="33"/>
      <c r="Z116" s="33"/>
      <c r="AA116" s="33"/>
      <c r="AB116" s="33"/>
      <c r="AC116" s="33"/>
      <c r="AD116" s="33"/>
      <c r="AE116" s="33"/>
      <c r="AF116" s="33"/>
      <c r="AG116" s="33"/>
      <c r="AH116" s="33"/>
      <c r="AI116" s="33"/>
      <c r="AJ116" s="33"/>
      <c r="AK116" s="33"/>
      <c r="AL116" s="33"/>
      <c r="AM116" s="33"/>
      <c r="AN116" s="33"/>
      <c r="AO116" s="33"/>
      <c r="AP116" s="33"/>
      <c r="AQ116" s="33"/>
      <c r="AR116" s="33"/>
      <c r="AS116" s="33"/>
      <c r="AT116" s="33"/>
      <c r="AU116" s="33"/>
      <c r="AV116" s="33"/>
      <c r="AW116" s="33"/>
      <c r="AX116" s="33"/>
      <c r="AY116" s="33"/>
      <c r="AZ116" s="33"/>
      <c r="BA116" s="33"/>
      <c r="BB116" s="33"/>
      <c r="BC116" s="33"/>
      <c r="BD116" s="33"/>
      <c r="BE116" s="33"/>
      <c r="BF116" s="33"/>
      <c r="BG116" s="33"/>
      <c r="BH116" s="33"/>
      <c r="BI116" s="33"/>
      <c r="BJ116" s="33"/>
      <c r="BK116" s="33"/>
      <c r="BL116" s="33"/>
      <c r="BM116" s="33"/>
      <c r="BN116" s="33"/>
      <c r="BO116" s="33"/>
    </row>
    <row r="117" spans="1:67">
      <c r="A117" s="11"/>
      <c r="B117" s="22" t="s">
        <v>567</v>
      </c>
      <c r="C117" s="22"/>
      <c r="D117" s="33"/>
      <c r="E117" s="65">
        <f ca="1">XIRR(G111:BO111,'01 Major Assumptions'!G$11:'01 Major Assumptions'!BO$11)</f>
        <v>0.12812919020652769</v>
      </c>
      <c r="F117" s="22" t="s">
        <v>7</v>
      </c>
      <c r="G117" s="33"/>
      <c r="H117" s="33"/>
      <c r="I117" s="33"/>
      <c r="J117" s="33"/>
      <c r="K117" s="33"/>
      <c r="L117" s="33"/>
      <c r="M117" s="33"/>
      <c r="N117" s="33"/>
      <c r="O117" s="33"/>
      <c r="P117" s="33"/>
      <c r="Q117" s="33"/>
      <c r="R117" s="33"/>
      <c r="S117" s="33"/>
      <c r="T117" s="33"/>
      <c r="U117" s="33"/>
      <c r="V117" s="33"/>
      <c r="W117" s="33"/>
      <c r="X117" s="33"/>
      <c r="Y117" s="33"/>
      <c r="Z117" s="33"/>
      <c r="AA117" s="33"/>
      <c r="AB117" s="33"/>
      <c r="AC117" s="33"/>
      <c r="AD117" s="33"/>
      <c r="AE117" s="33"/>
      <c r="AF117" s="33"/>
      <c r="AG117" s="33"/>
      <c r="AH117" s="33"/>
      <c r="AI117" s="33"/>
      <c r="AJ117" s="33"/>
      <c r="AK117" s="33"/>
      <c r="AL117" s="33"/>
      <c r="AM117" s="33"/>
      <c r="AN117" s="33"/>
      <c r="AO117" s="33"/>
      <c r="AP117" s="33"/>
      <c r="AQ117" s="33"/>
      <c r="AR117" s="33"/>
      <c r="AS117" s="33"/>
      <c r="AT117" s="33"/>
      <c r="AU117" s="33"/>
      <c r="AV117" s="33"/>
      <c r="AW117" s="33"/>
      <c r="AX117" s="33"/>
      <c r="AY117" s="33"/>
      <c r="AZ117" s="33"/>
      <c r="BA117" s="33"/>
      <c r="BB117" s="33"/>
      <c r="BC117" s="33"/>
      <c r="BD117" s="33"/>
      <c r="BE117" s="33"/>
      <c r="BF117" s="33"/>
      <c r="BG117" s="33"/>
      <c r="BH117" s="33"/>
      <c r="BI117" s="33"/>
      <c r="BJ117" s="33"/>
      <c r="BK117" s="33"/>
      <c r="BL117" s="33"/>
      <c r="BM117" s="33"/>
      <c r="BN117" s="33"/>
      <c r="BO117" s="33"/>
    </row>
    <row r="118" spans="1:67">
      <c r="A118" s="11"/>
      <c r="B118" s="22" t="s">
        <v>568</v>
      </c>
      <c r="C118" s="22"/>
      <c r="D118" s="33"/>
      <c r="E118" s="62" cm="1">
        <f t="array" aca="1" ref="E118" ca="1">SUMPRODUCT((G107:BO107&lt;0)*('01 Major Assumptions'!G$14:'01 Major Assumptions'!BO$14))/12</f>
        <v>6.5</v>
      </c>
      <c r="F118" s="22" t="s">
        <v>45</v>
      </c>
      <c r="G118" s="33"/>
      <c r="H118" s="33"/>
      <c r="I118" s="33"/>
      <c r="J118" s="33"/>
      <c r="K118" s="33"/>
      <c r="L118" s="33"/>
      <c r="M118" s="33"/>
      <c r="N118" s="33"/>
      <c r="O118" s="33"/>
      <c r="P118" s="33"/>
      <c r="Q118" s="33"/>
      <c r="R118" s="33"/>
      <c r="S118" s="33"/>
      <c r="T118" s="33"/>
      <c r="U118" s="33"/>
      <c r="V118" s="33"/>
      <c r="W118" s="33"/>
      <c r="X118" s="33"/>
      <c r="Y118" s="33"/>
      <c r="Z118" s="33"/>
      <c r="AA118" s="33"/>
      <c r="AB118" s="33"/>
      <c r="AC118" s="33"/>
      <c r="AD118" s="33"/>
      <c r="AE118" s="33"/>
      <c r="AF118" s="33"/>
      <c r="AG118" s="33"/>
      <c r="AH118" s="33"/>
      <c r="AI118" s="33"/>
      <c r="AJ118" s="33"/>
      <c r="AK118" s="33"/>
      <c r="AL118" s="33"/>
      <c r="AM118" s="33"/>
      <c r="AN118" s="33"/>
      <c r="AO118" s="33"/>
      <c r="AP118" s="33"/>
      <c r="AQ118" s="33"/>
      <c r="AR118" s="33"/>
      <c r="AS118" s="33"/>
      <c r="AT118" s="33"/>
      <c r="AU118" s="33"/>
      <c r="AV118" s="33"/>
      <c r="AW118" s="33"/>
      <c r="AX118" s="33"/>
      <c r="AY118" s="33"/>
      <c r="AZ118" s="33"/>
      <c r="BA118" s="33"/>
      <c r="BB118" s="33"/>
      <c r="BC118" s="33"/>
      <c r="BD118" s="33"/>
      <c r="BE118" s="33"/>
      <c r="BF118" s="33"/>
      <c r="BG118" s="33"/>
      <c r="BH118" s="33"/>
      <c r="BI118" s="33"/>
      <c r="BJ118" s="33"/>
      <c r="BK118" s="33"/>
      <c r="BL118" s="33"/>
      <c r="BM118" s="33"/>
      <c r="BN118" s="33"/>
      <c r="BO118" s="33"/>
    </row>
    <row r="119" spans="1:67">
      <c r="A119" s="11"/>
      <c r="B119" s="11"/>
      <c r="C119" s="11"/>
      <c r="D119" s="33"/>
      <c r="E119" s="33"/>
      <c r="F119" s="33"/>
      <c r="G119" s="33"/>
      <c r="H119" s="33"/>
      <c r="I119" s="33"/>
      <c r="J119" s="33"/>
      <c r="K119" s="33"/>
      <c r="L119" s="33"/>
      <c r="M119" s="33"/>
      <c r="N119" s="33"/>
      <c r="O119" s="33"/>
      <c r="P119" s="33"/>
      <c r="Q119" s="33"/>
      <c r="R119" s="33"/>
      <c r="S119" s="33"/>
      <c r="T119" s="33"/>
      <c r="U119" s="33"/>
      <c r="V119" s="33"/>
      <c r="W119" s="33"/>
      <c r="X119" s="33"/>
      <c r="Y119" s="33"/>
      <c r="Z119" s="33"/>
      <c r="AA119" s="33"/>
      <c r="AB119" s="33"/>
      <c r="AC119" s="33"/>
      <c r="AD119" s="33"/>
      <c r="AE119" s="33"/>
      <c r="AF119" s="33"/>
      <c r="AG119" s="33"/>
      <c r="AH119" s="33"/>
      <c r="AI119" s="33"/>
      <c r="AJ119" s="33"/>
      <c r="AK119" s="33"/>
      <c r="AL119" s="33"/>
      <c r="AM119" s="33"/>
      <c r="AN119" s="33"/>
      <c r="AO119" s="33"/>
      <c r="AP119" s="33"/>
      <c r="AQ119" s="33"/>
      <c r="AR119" s="33"/>
      <c r="AS119" s="33"/>
      <c r="AT119" s="33"/>
      <c r="AU119" s="33"/>
      <c r="AV119" s="33"/>
      <c r="AW119" s="33"/>
      <c r="AX119" s="33"/>
      <c r="AY119" s="33"/>
      <c r="AZ119" s="33"/>
      <c r="BA119" s="33"/>
      <c r="BB119" s="33"/>
      <c r="BC119" s="33"/>
      <c r="BD119" s="33"/>
      <c r="BE119" s="33"/>
      <c r="BF119" s="33"/>
      <c r="BG119" s="33"/>
      <c r="BH119" s="33"/>
      <c r="BI119" s="33"/>
      <c r="BJ119" s="33"/>
      <c r="BK119" s="33"/>
      <c r="BL119" s="33"/>
      <c r="BM119" s="33"/>
      <c r="BN119" s="33"/>
      <c r="BO119" s="33"/>
    </row>
    <row r="120" spans="1:67">
      <c r="A120" s="18" t="s">
        <v>569</v>
      </c>
      <c r="B120" s="18"/>
      <c r="C120" s="18"/>
      <c r="D120" s="39"/>
      <c r="E120" s="39"/>
      <c r="F120" s="39"/>
      <c r="G120" s="39"/>
      <c r="H120" s="39"/>
      <c r="I120" s="39"/>
      <c r="J120" s="39"/>
      <c r="K120" s="39"/>
      <c r="L120" s="39"/>
      <c r="M120" s="39"/>
      <c r="N120" s="39"/>
      <c r="O120" s="39"/>
      <c r="P120" s="39"/>
      <c r="Q120" s="39"/>
      <c r="R120" s="39"/>
      <c r="S120" s="39"/>
      <c r="T120" s="39"/>
      <c r="U120" s="39"/>
      <c r="V120" s="39"/>
      <c r="W120" s="39"/>
      <c r="X120" s="39"/>
      <c r="Y120" s="39"/>
      <c r="Z120" s="39"/>
      <c r="AA120" s="39"/>
      <c r="AB120" s="39"/>
      <c r="AC120" s="39"/>
      <c r="AD120" s="39"/>
      <c r="AE120" s="39"/>
      <c r="AF120" s="39"/>
      <c r="AG120" s="39"/>
      <c r="AH120" s="39"/>
      <c r="AI120" s="39"/>
      <c r="AJ120" s="39"/>
      <c r="AK120" s="39"/>
      <c r="AL120" s="39"/>
      <c r="AM120" s="39"/>
      <c r="AN120" s="39"/>
      <c r="AO120" s="39"/>
      <c r="AP120" s="39"/>
      <c r="AQ120" s="39"/>
      <c r="AR120" s="39"/>
      <c r="AS120" s="39"/>
      <c r="AT120" s="39"/>
      <c r="AU120" s="39"/>
      <c r="AV120" s="39"/>
      <c r="AW120" s="39"/>
      <c r="AX120" s="39"/>
      <c r="AY120" s="39"/>
      <c r="AZ120" s="39"/>
      <c r="BA120" s="39"/>
      <c r="BB120" s="39"/>
      <c r="BC120" s="39"/>
      <c r="BD120" s="39"/>
      <c r="BE120" s="39"/>
      <c r="BF120" s="39"/>
      <c r="BG120" s="39"/>
      <c r="BH120" s="39"/>
      <c r="BI120" s="39"/>
      <c r="BJ120" s="39"/>
      <c r="BK120" s="39"/>
      <c r="BL120" s="39"/>
      <c r="BM120" s="39"/>
      <c r="BN120" s="39"/>
      <c r="BO120" s="39"/>
    </row>
    <row r="121" spans="1:67">
      <c r="A121" s="11"/>
      <c r="B121" s="11" t="s">
        <v>472</v>
      </c>
      <c r="C121" s="11"/>
      <c r="D121" s="33"/>
      <c r="E121" s="6"/>
      <c r="F121" s="6"/>
      <c r="G121" s="6">
        <f>IFERROR(G8/G$9,0)</f>
        <v>0</v>
      </c>
      <c r="H121" s="6">
        <f t="shared" ref="H121:BI121" si="203">IFERROR(H8/H$9,0)</f>
        <v>0</v>
      </c>
      <c r="I121" s="6">
        <f t="shared" si="203"/>
        <v>0</v>
      </c>
      <c r="J121" s="6">
        <f t="shared" si="203"/>
        <v>0</v>
      </c>
      <c r="K121" s="6">
        <f t="shared" si="203"/>
        <v>0</v>
      </c>
      <c r="L121" s="6">
        <f t="shared" si="203"/>
        <v>0</v>
      </c>
      <c r="M121" s="6">
        <f t="shared" si="203"/>
        <v>0</v>
      </c>
      <c r="N121" s="6">
        <f t="shared" si="203"/>
        <v>0</v>
      </c>
      <c r="O121" s="6">
        <f t="shared" si="203"/>
        <v>0</v>
      </c>
      <c r="P121" s="6">
        <f t="shared" si="203"/>
        <v>0</v>
      </c>
      <c r="Q121" s="6">
        <f t="shared" si="203"/>
        <v>0</v>
      </c>
      <c r="R121" s="6">
        <f t="shared" si="203"/>
        <v>0</v>
      </c>
      <c r="S121" s="6">
        <f t="shared" si="203"/>
        <v>0</v>
      </c>
      <c r="T121" s="6">
        <f t="shared" si="203"/>
        <v>0</v>
      </c>
      <c r="U121" s="6">
        <f t="shared" si="203"/>
        <v>0</v>
      </c>
      <c r="V121" s="6">
        <f t="shared" si="203"/>
        <v>0</v>
      </c>
      <c r="W121" s="6">
        <f t="shared" si="203"/>
        <v>0</v>
      </c>
      <c r="X121" s="6">
        <f t="shared" si="203"/>
        <v>0</v>
      </c>
      <c r="Y121" s="6">
        <f t="shared" si="203"/>
        <v>0</v>
      </c>
      <c r="Z121" s="6">
        <f t="shared" si="203"/>
        <v>0</v>
      </c>
      <c r="AA121" s="6">
        <f t="shared" si="203"/>
        <v>0</v>
      </c>
      <c r="AB121" s="6">
        <f t="shared" si="203"/>
        <v>1</v>
      </c>
      <c r="AC121" s="6">
        <f t="shared" si="203"/>
        <v>1</v>
      </c>
      <c r="AD121" s="6">
        <f t="shared" si="203"/>
        <v>1</v>
      </c>
      <c r="AE121" s="6">
        <f t="shared" si="203"/>
        <v>1</v>
      </c>
      <c r="AF121" s="6">
        <f t="shared" si="203"/>
        <v>1</v>
      </c>
      <c r="AG121" s="6">
        <f t="shared" si="203"/>
        <v>1</v>
      </c>
      <c r="AH121" s="6">
        <f t="shared" si="203"/>
        <v>1</v>
      </c>
      <c r="AI121" s="6">
        <f t="shared" si="203"/>
        <v>1</v>
      </c>
      <c r="AJ121" s="6">
        <f t="shared" si="203"/>
        <v>1</v>
      </c>
      <c r="AK121" s="6">
        <f t="shared" si="203"/>
        <v>1</v>
      </c>
      <c r="AL121" s="6">
        <f t="shared" si="203"/>
        <v>1</v>
      </c>
      <c r="AM121" s="6">
        <f t="shared" si="203"/>
        <v>1</v>
      </c>
      <c r="AN121" s="6">
        <f t="shared" si="203"/>
        <v>1</v>
      </c>
      <c r="AO121" s="6">
        <f t="shared" si="203"/>
        <v>1</v>
      </c>
      <c r="AP121" s="6">
        <f t="shared" si="203"/>
        <v>1</v>
      </c>
      <c r="AQ121" s="6">
        <f t="shared" si="203"/>
        <v>1</v>
      </c>
      <c r="AR121" s="6">
        <f t="shared" si="203"/>
        <v>1</v>
      </c>
      <c r="AS121" s="6">
        <f t="shared" si="203"/>
        <v>1</v>
      </c>
      <c r="AT121" s="6">
        <f t="shared" si="203"/>
        <v>1</v>
      </c>
      <c r="AU121" s="6">
        <f t="shared" si="203"/>
        <v>1</v>
      </c>
      <c r="AV121" s="6">
        <f t="shared" si="203"/>
        <v>1</v>
      </c>
      <c r="AW121" s="6">
        <f t="shared" si="203"/>
        <v>1</v>
      </c>
      <c r="AX121" s="6">
        <f t="shared" si="203"/>
        <v>1</v>
      </c>
      <c r="AY121" s="6">
        <f t="shared" si="203"/>
        <v>1</v>
      </c>
      <c r="AZ121" s="6">
        <f t="shared" si="203"/>
        <v>1</v>
      </c>
      <c r="BA121" s="6">
        <f t="shared" si="203"/>
        <v>1</v>
      </c>
      <c r="BB121" s="6">
        <f t="shared" si="203"/>
        <v>1</v>
      </c>
      <c r="BC121" s="6">
        <f t="shared" si="203"/>
        <v>1</v>
      </c>
      <c r="BD121" s="6">
        <f t="shared" si="203"/>
        <v>1</v>
      </c>
      <c r="BE121" s="6">
        <f t="shared" si="203"/>
        <v>1</v>
      </c>
      <c r="BF121" s="6">
        <f t="shared" si="203"/>
        <v>1</v>
      </c>
      <c r="BG121" s="6">
        <f t="shared" si="203"/>
        <v>1</v>
      </c>
      <c r="BH121" s="6">
        <f t="shared" si="203"/>
        <v>1</v>
      </c>
      <c r="BI121" s="6">
        <f t="shared" si="203"/>
        <v>1</v>
      </c>
      <c r="BJ121" s="6">
        <f t="shared" ref="BJ121:BO121" si="204">IFERROR(BJ8/BJ$9,0)</f>
        <v>1</v>
      </c>
      <c r="BK121" s="6">
        <f t="shared" si="204"/>
        <v>1</v>
      </c>
      <c r="BL121" s="6">
        <f t="shared" si="204"/>
        <v>1</v>
      </c>
      <c r="BM121" s="6">
        <f t="shared" si="204"/>
        <v>1</v>
      </c>
      <c r="BN121" s="6">
        <f t="shared" si="204"/>
        <v>1</v>
      </c>
      <c r="BO121" s="6">
        <f t="shared" si="204"/>
        <v>1</v>
      </c>
    </row>
    <row r="122" spans="1:67">
      <c r="A122" s="11"/>
      <c r="B122" s="11"/>
      <c r="C122" s="11" t="s">
        <v>473</v>
      </c>
      <c r="D122" s="33"/>
      <c r="E122" s="6"/>
      <c r="F122" s="6"/>
      <c r="G122" s="6">
        <f>IFERROR(G9/G$9,0)</f>
        <v>0</v>
      </c>
      <c r="H122" s="6">
        <f t="shared" ref="H122:BI122" si="205">IFERROR(H9/H$9,0)</f>
        <v>0</v>
      </c>
      <c r="I122" s="6">
        <f t="shared" si="205"/>
        <v>0</v>
      </c>
      <c r="J122" s="6">
        <f t="shared" si="205"/>
        <v>0</v>
      </c>
      <c r="K122" s="6">
        <f t="shared" si="205"/>
        <v>0</v>
      </c>
      <c r="L122" s="6">
        <f t="shared" si="205"/>
        <v>0</v>
      </c>
      <c r="M122" s="6">
        <f t="shared" si="205"/>
        <v>0</v>
      </c>
      <c r="N122" s="6">
        <f t="shared" si="205"/>
        <v>0</v>
      </c>
      <c r="O122" s="6">
        <f t="shared" si="205"/>
        <v>0</v>
      </c>
      <c r="P122" s="6">
        <f t="shared" si="205"/>
        <v>0</v>
      </c>
      <c r="Q122" s="6">
        <f t="shared" si="205"/>
        <v>0</v>
      </c>
      <c r="R122" s="6">
        <f t="shared" si="205"/>
        <v>0</v>
      </c>
      <c r="S122" s="6">
        <f t="shared" si="205"/>
        <v>0</v>
      </c>
      <c r="T122" s="6">
        <f t="shared" si="205"/>
        <v>0</v>
      </c>
      <c r="U122" s="6">
        <f t="shared" si="205"/>
        <v>0</v>
      </c>
      <c r="V122" s="6">
        <f t="shared" si="205"/>
        <v>0</v>
      </c>
      <c r="W122" s="6">
        <f t="shared" si="205"/>
        <v>0</v>
      </c>
      <c r="X122" s="6">
        <f t="shared" si="205"/>
        <v>0</v>
      </c>
      <c r="Y122" s="6">
        <f t="shared" si="205"/>
        <v>0</v>
      </c>
      <c r="Z122" s="6">
        <f t="shared" si="205"/>
        <v>0</v>
      </c>
      <c r="AA122" s="6">
        <f t="shared" si="205"/>
        <v>0</v>
      </c>
      <c r="AB122" s="6">
        <f t="shared" si="205"/>
        <v>1</v>
      </c>
      <c r="AC122" s="6">
        <f t="shared" si="205"/>
        <v>1</v>
      </c>
      <c r="AD122" s="6">
        <f t="shared" si="205"/>
        <v>1</v>
      </c>
      <c r="AE122" s="6">
        <f t="shared" si="205"/>
        <v>1</v>
      </c>
      <c r="AF122" s="6">
        <f t="shared" si="205"/>
        <v>1</v>
      </c>
      <c r="AG122" s="6">
        <f t="shared" si="205"/>
        <v>1</v>
      </c>
      <c r="AH122" s="6">
        <f t="shared" si="205"/>
        <v>1</v>
      </c>
      <c r="AI122" s="6">
        <f t="shared" si="205"/>
        <v>1</v>
      </c>
      <c r="AJ122" s="6">
        <f t="shared" si="205"/>
        <v>1</v>
      </c>
      <c r="AK122" s="6">
        <f t="shared" si="205"/>
        <v>1</v>
      </c>
      <c r="AL122" s="6">
        <f t="shared" si="205"/>
        <v>1</v>
      </c>
      <c r="AM122" s="6">
        <f t="shared" si="205"/>
        <v>1</v>
      </c>
      <c r="AN122" s="6">
        <f t="shared" si="205"/>
        <v>1</v>
      </c>
      <c r="AO122" s="6">
        <f t="shared" si="205"/>
        <v>1</v>
      </c>
      <c r="AP122" s="6">
        <f t="shared" si="205"/>
        <v>1</v>
      </c>
      <c r="AQ122" s="6">
        <f t="shared" si="205"/>
        <v>1</v>
      </c>
      <c r="AR122" s="6">
        <f t="shared" si="205"/>
        <v>1</v>
      </c>
      <c r="AS122" s="6">
        <f t="shared" si="205"/>
        <v>1</v>
      </c>
      <c r="AT122" s="6">
        <f t="shared" si="205"/>
        <v>1</v>
      </c>
      <c r="AU122" s="6">
        <f t="shared" si="205"/>
        <v>1</v>
      </c>
      <c r="AV122" s="6">
        <f t="shared" si="205"/>
        <v>1</v>
      </c>
      <c r="AW122" s="6">
        <f t="shared" si="205"/>
        <v>1</v>
      </c>
      <c r="AX122" s="6">
        <f t="shared" si="205"/>
        <v>1</v>
      </c>
      <c r="AY122" s="6">
        <f t="shared" si="205"/>
        <v>1</v>
      </c>
      <c r="AZ122" s="6">
        <f t="shared" si="205"/>
        <v>1</v>
      </c>
      <c r="BA122" s="6">
        <f t="shared" si="205"/>
        <v>1</v>
      </c>
      <c r="BB122" s="6">
        <f t="shared" si="205"/>
        <v>1</v>
      </c>
      <c r="BC122" s="6">
        <f t="shared" si="205"/>
        <v>1</v>
      </c>
      <c r="BD122" s="6">
        <f t="shared" si="205"/>
        <v>1</v>
      </c>
      <c r="BE122" s="6">
        <f t="shared" si="205"/>
        <v>1</v>
      </c>
      <c r="BF122" s="6">
        <f t="shared" si="205"/>
        <v>1</v>
      </c>
      <c r="BG122" s="6">
        <f t="shared" si="205"/>
        <v>1</v>
      </c>
      <c r="BH122" s="6">
        <f t="shared" si="205"/>
        <v>1</v>
      </c>
      <c r="BI122" s="6">
        <f t="shared" si="205"/>
        <v>1</v>
      </c>
      <c r="BJ122" s="6">
        <f t="shared" ref="BJ122:BO122" si="206">IFERROR(BJ9/BJ$9,0)</f>
        <v>1</v>
      </c>
      <c r="BK122" s="6">
        <f t="shared" si="206"/>
        <v>1</v>
      </c>
      <c r="BL122" s="6">
        <f t="shared" si="206"/>
        <v>1</v>
      </c>
      <c r="BM122" s="6">
        <f t="shared" si="206"/>
        <v>1</v>
      </c>
      <c r="BN122" s="6">
        <f t="shared" si="206"/>
        <v>1</v>
      </c>
      <c r="BO122" s="6">
        <f t="shared" si="206"/>
        <v>1</v>
      </c>
    </row>
    <row r="123" spans="1:67">
      <c r="A123" s="11"/>
      <c r="B123" s="11" t="s">
        <v>20</v>
      </c>
      <c r="C123" s="11"/>
      <c r="D123" s="33"/>
      <c r="E123" s="6"/>
      <c r="F123" s="6"/>
      <c r="G123" s="6">
        <f>IFERROR(G11/G$9,0)</f>
        <v>0</v>
      </c>
      <c r="H123" s="6">
        <f t="shared" ref="H123:BI123" si="207">IFERROR(H11/H$9,0)</f>
        <v>0</v>
      </c>
      <c r="I123" s="6">
        <f t="shared" si="207"/>
        <v>0</v>
      </c>
      <c r="J123" s="6">
        <f t="shared" si="207"/>
        <v>0</v>
      </c>
      <c r="K123" s="6">
        <f t="shared" si="207"/>
        <v>0</v>
      </c>
      <c r="L123" s="6">
        <f t="shared" si="207"/>
        <v>0</v>
      </c>
      <c r="M123" s="6">
        <f t="shared" si="207"/>
        <v>0</v>
      </c>
      <c r="N123" s="6">
        <f t="shared" si="207"/>
        <v>0</v>
      </c>
      <c r="O123" s="6">
        <f t="shared" si="207"/>
        <v>0</v>
      </c>
      <c r="P123" s="6">
        <f t="shared" si="207"/>
        <v>0</v>
      </c>
      <c r="Q123" s="6">
        <f t="shared" si="207"/>
        <v>0</v>
      </c>
      <c r="R123" s="6">
        <f t="shared" si="207"/>
        <v>0</v>
      </c>
      <c r="S123" s="6">
        <f t="shared" si="207"/>
        <v>0</v>
      </c>
      <c r="T123" s="6">
        <f t="shared" si="207"/>
        <v>0</v>
      </c>
      <c r="U123" s="6">
        <f t="shared" si="207"/>
        <v>0</v>
      </c>
      <c r="V123" s="6">
        <f t="shared" si="207"/>
        <v>0</v>
      </c>
      <c r="W123" s="6">
        <f t="shared" si="207"/>
        <v>0</v>
      </c>
      <c r="X123" s="6">
        <f t="shared" si="207"/>
        <v>0</v>
      </c>
      <c r="Y123" s="6">
        <f t="shared" si="207"/>
        <v>0</v>
      </c>
      <c r="Z123" s="6">
        <f t="shared" si="207"/>
        <v>0</v>
      </c>
      <c r="AA123" s="6">
        <f t="shared" si="207"/>
        <v>0</v>
      </c>
      <c r="AB123" s="6">
        <f t="shared" si="207"/>
        <v>-2.0309045412990625</v>
      </c>
      <c r="AC123" s="6">
        <f t="shared" si="207"/>
        <v>-0.69889009059419804</v>
      </c>
      <c r="AD123" s="6">
        <f t="shared" si="207"/>
        <v>-0.67898894062389259</v>
      </c>
      <c r="AE123" s="6">
        <f t="shared" si="207"/>
        <v>-0.66453309945173789</v>
      </c>
      <c r="AF123" s="6">
        <f t="shared" si="207"/>
        <v>-0.65484472388886283</v>
      </c>
      <c r="AG123" s="6">
        <f t="shared" si="207"/>
        <v>-0.64761024668104905</v>
      </c>
      <c r="AH123" s="6">
        <f t="shared" si="207"/>
        <v>-0.64201863362619949</v>
      </c>
      <c r="AI123" s="6">
        <f t="shared" si="207"/>
        <v>-0.63758078776274507</v>
      </c>
      <c r="AJ123" s="6">
        <f t="shared" si="207"/>
        <v>-0.63398423047634944</v>
      </c>
      <c r="AK123" s="6">
        <f t="shared" si="207"/>
        <v>-0.63101997925423947</v>
      </c>
      <c r="AL123" s="6">
        <f t="shared" si="207"/>
        <v>-0.6285429756463744</v>
      </c>
      <c r="AM123" s="6">
        <f t="shared" si="207"/>
        <v>-0.62644937999725836</v>
      </c>
      <c r="AN123" s="6">
        <f t="shared" si="207"/>
        <v>-0.62466290194775287</v>
      </c>
      <c r="AO123" s="6">
        <f t="shared" si="207"/>
        <v>-0.62488450051108557</v>
      </c>
      <c r="AP123" s="6">
        <f t="shared" si="207"/>
        <v>-0.62510609907441816</v>
      </c>
      <c r="AQ123" s="6">
        <f t="shared" si="207"/>
        <v>-0.62326422904005296</v>
      </c>
      <c r="AR123" s="6">
        <f t="shared" si="207"/>
        <v>-0.6234817373715803</v>
      </c>
      <c r="AS123" s="6">
        <f t="shared" si="207"/>
        <v>-0.62369924570310775</v>
      </c>
      <c r="AT123" s="6">
        <f t="shared" si="207"/>
        <v>-0.62391675403463498</v>
      </c>
      <c r="AU123" s="6">
        <f t="shared" si="207"/>
        <v>-0.62413426236616243</v>
      </c>
      <c r="AV123" s="6">
        <f t="shared" si="207"/>
        <v>-0.62435177069768999</v>
      </c>
      <c r="AW123" s="6">
        <f t="shared" si="207"/>
        <v>-0.62456927902921733</v>
      </c>
      <c r="AX123" s="6">
        <f t="shared" si="207"/>
        <v>-0.62478678736074444</v>
      </c>
      <c r="AY123" s="6">
        <f t="shared" si="207"/>
        <v>-0.625004295692272</v>
      </c>
      <c r="AZ123" s="6">
        <f t="shared" si="207"/>
        <v>-0.62522180402379923</v>
      </c>
      <c r="BA123" s="6">
        <f t="shared" si="207"/>
        <v>-0.62543931235532679</v>
      </c>
      <c r="BB123" s="6">
        <f t="shared" si="207"/>
        <v>-0.62565682068685413</v>
      </c>
      <c r="BC123" s="6">
        <f t="shared" si="207"/>
        <v>-0.62387026534620182</v>
      </c>
      <c r="BD123" s="6">
        <f t="shared" si="207"/>
        <v>-0.62408376311093627</v>
      </c>
      <c r="BE123" s="6">
        <f t="shared" si="207"/>
        <v>-0.62429726087567083</v>
      </c>
      <c r="BF123" s="6">
        <f t="shared" si="207"/>
        <v>-0.62451075864040506</v>
      </c>
      <c r="BG123" s="6">
        <f t="shared" si="207"/>
        <v>-0.62472425640513951</v>
      </c>
      <c r="BH123" s="6">
        <f t="shared" si="207"/>
        <v>-0.62493775416987374</v>
      </c>
      <c r="BI123" s="6">
        <f t="shared" si="207"/>
        <v>-0.62597902768414548</v>
      </c>
      <c r="BJ123" s="6">
        <f t="shared" ref="BJ123:BO123" si="208">IFERROR(BJ11/BJ$9,0)</f>
        <v>-0.62658429000464932</v>
      </c>
      <c r="BK123" s="6">
        <f t="shared" si="208"/>
        <v>-0.62517872421123211</v>
      </c>
      <c r="BL123" s="6">
        <f t="shared" si="208"/>
        <v>-0.6252048299936771</v>
      </c>
      <c r="BM123" s="6">
        <f t="shared" si="208"/>
        <v>-0.62592910207115371</v>
      </c>
      <c r="BN123" s="6">
        <f t="shared" si="208"/>
        <v>-0.62710183870274794</v>
      </c>
      <c r="BO123" s="6">
        <f t="shared" si="208"/>
        <v>-0.6315932345043388</v>
      </c>
    </row>
    <row r="124" spans="1:67">
      <c r="A124" s="11"/>
      <c r="B124" s="11" t="s">
        <v>21</v>
      </c>
      <c r="C124" s="11"/>
      <c r="D124" s="33"/>
      <c r="E124" s="6"/>
      <c r="F124" s="6"/>
      <c r="G124" s="6">
        <f t="shared" ref="G124:G135" si="209">IFERROR(G13/G$9,0)</f>
        <v>0</v>
      </c>
      <c r="H124" s="6">
        <f t="shared" ref="H124:BI124" si="210">IFERROR(H13/H$9,0)</f>
        <v>0</v>
      </c>
      <c r="I124" s="6">
        <f t="shared" si="210"/>
        <v>0</v>
      </c>
      <c r="J124" s="6">
        <f t="shared" si="210"/>
        <v>0</v>
      </c>
      <c r="K124" s="6">
        <f t="shared" si="210"/>
        <v>0</v>
      </c>
      <c r="L124" s="6">
        <f t="shared" si="210"/>
        <v>0</v>
      </c>
      <c r="M124" s="6">
        <f t="shared" si="210"/>
        <v>0</v>
      </c>
      <c r="N124" s="6">
        <f t="shared" si="210"/>
        <v>0</v>
      </c>
      <c r="O124" s="6">
        <f t="shared" si="210"/>
        <v>0</v>
      </c>
      <c r="P124" s="6">
        <f t="shared" si="210"/>
        <v>0</v>
      </c>
      <c r="Q124" s="6">
        <f t="shared" si="210"/>
        <v>0</v>
      </c>
      <c r="R124" s="6">
        <f t="shared" si="210"/>
        <v>0</v>
      </c>
      <c r="S124" s="6">
        <f t="shared" si="210"/>
        <v>0</v>
      </c>
      <c r="T124" s="6">
        <f t="shared" si="210"/>
        <v>0</v>
      </c>
      <c r="U124" s="6">
        <f t="shared" si="210"/>
        <v>0</v>
      </c>
      <c r="V124" s="6">
        <f t="shared" si="210"/>
        <v>0</v>
      </c>
      <c r="W124" s="6">
        <f t="shared" si="210"/>
        <v>0</v>
      </c>
      <c r="X124" s="6">
        <f t="shared" si="210"/>
        <v>0</v>
      </c>
      <c r="Y124" s="6">
        <f t="shared" si="210"/>
        <v>0</v>
      </c>
      <c r="Z124" s="6">
        <f t="shared" si="210"/>
        <v>0</v>
      </c>
      <c r="AA124" s="6">
        <f t="shared" si="210"/>
        <v>0</v>
      </c>
      <c r="AB124" s="6">
        <f t="shared" si="210"/>
        <v>-1.8419886268701913</v>
      </c>
      <c r="AC124" s="6">
        <f t="shared" si="210"/>
        <v>-0.2619189273797185</v>
      </c>
      <c r="AD124" s="6">
        <f t="shared" si="210"/>
        <v>-9.1592323257010388E-2</v>
      </c>
      <c r="AE124" s="6">
        <f t="shared" si="210"/>
        <v>2.7948846111699274E-2</v>
      </c>
      <c r="AF124" s="6">
        <f t="shared" si="210"/>
        <v>0.10920127948174556</v>
      </c>
      <c r="AG124" s="6">
        <f t="shared" si="210"/>
        <v>0.17033406268397075</v>
      </c>
      <c r="AH124" s="6">
        <f t="shared" si="210"/>
        <v>0.21799691060434984</v>
      </c>
      <c r="AI124" s="6">
        <f t="shared" si="210"/>
        <v>0.25619995664740181</v>
      </c>
      <c r="AJ124" s="6">
        <f t="shared" si="210"/>
        <v>0.28750523048823595</v>
      </c>
      <c r="AK124" s="6">
        <f t="shared" si="210"/>
        <v>0.31362619146370935</v>
      </c>
      <c r="AL124" s="6">
        <f t="shared" si="210"/>
        <v>0.33575218193705103</v>
      </c>
      <c r="AM124" s="6">
        <f t="shared" si="210"/>
        <v>0.35473458906445376</v>
      </c>
      <c r="AN124" s="6">
        <f t="shared" si="210"/>
        <v>0.37119892177699709</v>
      </c>
      <c r="AO124" s="6">
        <f t="shared" si="210"/>
        <v>0.37097280079400458</v>
      </c>
      <c r="AP124" s="6">
        <f t="shared" si="210"/>
        <v>0.37074667981101206</v>
      </c>
      <c r="AQ124" s="6">
        <f t="shared" si="210"/>
        <v>0.37263774924173354</v>
      </c>
      <c r="AR124" s="6">
        <f t="shared" si="210"/>
        <v>0.37241580196466473</v>
      </c>
      <c r="AS124" s="6">
        <f t="shared" si="210"/>
        <v>0.37219385468759603</v>
      </c>
      <c r="AT124" s="6">
        <f t="shared" si="210"/>
        <v>0.37197190741052738</v>
      </c>
      <c r="AU124" s="6">
        <f t="shared" si="210"/>
        <v>0.37174996013345857</v>
      </c>
      <c r="AV124" s="6">
        <f t="shared" si="210"/>
        <v>0.37152801285638976</v>
      </c>
      <c r="AW124" s="6">
        <f t="shared" si="210"/>
        <v>0.371306065579321</v>
      </c>
      <c r="AX124" s="6">
        <f t="shared" si="210"/>
        <v>0.3710841183022523</v>
      </c>
      <c r="AY124" s="6">
        <f t="shared" si="210"/>
        <v>0.37086217102518348</v>
      </c>
      <c r="AZ124" s="6">
        <f t="shared" si="210"/>
        <v>0.37064022374811484</v>
      </c>
      <c r="BA124" s="6">
        <f t="shared" si="210"/>
        <v>0.37041827647104603</v>
      </c>
      <c r="BB124" s="6">
        <f t="shared" si="210"/>
        <v>0.37019632919397721</v>
      </c>
      <c r="BC124" s="6">
        <f t="shared" si="210"/>
        <v>0.37203133550116874</v>
      </c>
      <c r="BD124" s="6">
        <f t="shared" si="210"/>
        <v>0.37181348063919484</v>
      </c>
      <c r="BE124" s="6">
        <f t="shared" si="210"/>
        <v>0.37159562577722099</v>
      </c>
      <c r="BF124" s="6">
        <f t="shared" si="210"/>
        <v>0.37137777091524721</v>
      </c>
      <c r="BG124" s="6">
        <f t="shared" si="210"/>
        <v>0.37115991605327331</v>
      </c>
      <c r="BH124" s="6">
        <f t="shared" si="210"/>
        <v>0.37094206119129958</v>
      </c>
      <c r="BI124" s="6">
        <f t="shared" si="210"/>
        <v>0.36989191797552551</v>
      </c>
      <c r="BJ124" s="6">
        <f t="shared" ref="BJ124:BO124" si="211">IFERROR(BJ13/BJ$9,0)</f>
        <v>0.36928708422029555</v>
      </c>
      <c r="BK124" s="6">
        <f t="shared" si="211"/>
        <v>0.37073452619886982</v>
      </c>
      <c r="BL124" s="6">
        <f t="shared" si="211"/>
        <v>0.37072149964354933</v>
      </c>
      <c r="BM124" s="6">
        <f t="shared" si="211"/>
        <v>0.36999649014165026</v>
      </c>
      <c r="BN124" s="6">
        <f t="shared" si="211"/>
        <v>0.3688143064999671</v>
      </c>
      <c r="BO124" s="6">
        <f t="shared" si="211"/>
        <v>0.36429609784184924</v>
      </c>
    </row>
    <row r="125" spans="1:67">
      <c r="A125" s="11"/>
      <c r="B125" s="11" t="s">
        <v>475</v>
      </c>
      <c r="C125" s="11"/>
      <c r="D125" s="33"/>
      <c r="E125" s="6"/>
      <c r="F125" s="6"/>
      <c r="G125" s="6">
        <f t="shared" si="209"/>
        <v>0</v>
      </c>
      <c r="H125" s="6">
        <f t="shared" ref="H125:BI125" si="212">IFERROR(H14/H$9,0)</f>
        <v>0</v>
      </c>
      <c r="I125" s="6">
        <f t="shared" si="212"/>
        <v>0</v>
      </c>
      <c r="J125" s="6">
        <f t="shared" si="212"/>
        <v>0</v>
      </c>
      <c r="K125" s="6">
        <f t="shared" si="212"/>
        <v>0</v>
      </c>
      <c r="L125" s="6">
        <f t="shared" si="212"/>
        <v>0</v>
      </c>
      <c r="M125" s="6">
        <f t="shared" si="212"/>
        <v>0</v>
      </c>
      <c r="N125" s="6">
        <f t="shared" si="212"/>
        <v>0</v>
      </c>
      <c r="O125" s="6">
        <f t="shared" si="212"/>
        <v>0</v>
      </c>
      <c r="P125" s="6">
        <f t="shared" si="212"/>
        <v>0</v>
      </c>
      <c r="Q125" s="6">
        <f t="shared" si="212"/>
        <v>0</v>
      </c>
      <c r="R125" s="6">
        <f t="shared" si="212"/>
        <v>0</v>
      </c>
      <c r="S125" s="6">
        <f t="shared" si="212"/>
        <v>0</v>
      </c>
      <c r="T125" s="6">
        <f t="shared" si="212"/>
        <v>0</v>
      </c>
      <c r="U125" s="6">
        <f t="shared" si="212"/>
        <v>0</v>
      </c>
      <c r="V125" s="6">
        <f t="shared" si="212"/>
        <v>0</v>
      </c>
      <c r="W125" s="6">
        <f t="shared" si="212"/>
        <v>0</v>
      </c>
      <c r="X125" s="6">
        <f t="shared" si="212"/>
        <v>0</v>
      </c>
      <c r="Y125" s="6">
        <f t="shared" si="212"/>
        <v>0</v>
      </c>
      <c r="Z125" s="6">
        <f t="shared" si="212"/>
        <v>0</v>
      </c>
      <c r="AA125" s="6">
        <f t="shared" si="212"/>
        <v>0</v>
      </c>
      <c r="AB125" s="6">
        <f t="shared" si="212"/>
        <v>-0.37975620699941093</v>
      </c>
      <c r="AC125" s="6">
        <f t="shared" si="212"/>
        <v>-0.29556563925949059</v>
      </c>
      <c r="AD125" s="6">
        <f t="shared" si="212"/>
        <v>-0.24103761410962213</v>
      </c>
      <c r="AE125" s="6">
        <f t="shared" si="212"/>
        <v>-0.20579282139899874</v>
      </c>
      <c r="AF125" s="6">
        <f t="shared" si="212"/>
        <v>-0.15974369765038374</v>
      </c>
      <c r="AG125" s="6">
        <f t="shared" si="212"/>
        <v>-0.14448986646750722</v>
      </c>
      <c r="AH125" s="6">
        <f t="shared" si="212"/>
        <v>-0.13171293632962897</v>
      </c>
      <c r="AI125" s="6">
        <f t="shared" si="212"/>
        <v>-0.1222682616957952</v>
      </c>
      <c r="AJ125" s="6">
        <f t="shared" si="212"/>
        <v>-0.11452887553751478</v>
      </c>
      <c r="AK125" s="6">
        <f t="shared" si="212"/>
        <v>-0.10807117116340817</v>
      </c>
      <c r="AL125" s="6">
        <f t="shared" si="212"/>
        <v>-0.10260111569357673</v>
      </c>
      <c r="AM125" s="6">
        <f t="shared" si="212"/>
        <v>-9.7908226574650245E-2</v>
      </c>
      <c r="AN125" s="6">
        <f t="shared" si="212"/>
        <v>-9.3837863563336468E-2</v>
      </c>
      <c r="AO125" s="6">
        <f t="shared" si="212"/>
        <v>-9.3845999948168418E-2</v>
      </c>
      <c r="AP125" s="6">
        <f t="shared" si="212"/>
        <v>-9.276394092694859E-2</v>
      </c>
      <c r="AQ125" s="6">
        <f t="shared" si="212"/>
        <v>-9.2427374398115103E-2</v>
      </c>
      <c r="AR125" s="6">
        <f t="shared" si="212"/>
        <v>-9.2435335555414291E-2</v>
      </c>
      <c r="AS125" s="6">
        <f t="shared" si="212"/>
        <v>-9.244329671271348E-2</v>
      </c>
      <c r="AT125" s="6">
        <f t="shared" si="212"/>
        <v>-9.245125787001264E-2</v>
      </c>
      <c r="AU125" s="6">
        <f t="shared" si="212"/>
        <v>-9.2459219027311842E-2</v>
      </c>
      <c r="AV125" s="6">
        <f t="shared" si="212"/>
        <v>-9.2467180184611031E-2</v>
      </c>
      <c r="AW125" s="6">
        <f t="shared" si="212"/>
        <v>-9.2475141341910191E-2</v>
      </c>
      <c r="AX125" s="6">
        <f t="shared" si="212"/>
        <v>-9.248310249920938E-2</v>
      </c>
      <c r="AY125" s="6">
        <f t="shared" si="212"/>
        <v>-9.2491063656508568E-2</v>
      </c>
      <c r="AZ125" s="6">
        <f t="shared" si="212"/>
        <v>-9.2499024813807743E-2</v>
      </c>
      <c r="BA125" s="6">
        <f t="shared" si="212"/>
        <v>-9.2506985971106931E-2</v>
      </c>
      <c r="BB125" s="6">
        <f t="shared" si="212"/>
        <v>-9.2514947128406119E-2</v>
      </c>
      <c r="BC125" s="6">
        <f t="shared" si="212"/>
        <v>-9.2195124871531725E-2</v>
      </c>
      <c r="BD125" s="6">
        <f t="shared" si="212"/>
        <v>-9.2202914560211027E-2</v>
      </c>
      <c r="BE125" s="6">
        <f t="shared" si="212"/>
        <v>-9.2210704248890288E-2</v>
      </c>
      <c r="BF125" s="6">
        <f t="shared" si="212"/>
        <v>-9.221849393756959E-2</v>
      </c>
      <c r="BG125" s="6">
        <f t="shared" si="212"/>
        <v>-9.2226283626248878E-2</v>
      </c>
      <c r="BH125" s="6">
        <f t="shared" si="212"/>
        <v>-9.2234073314928139E-2</v>
      </c>
      <c r="BI125" s="6">
        <f t="shared" si="212"/>
        <v>-9.2015819304497412E-2</v>
      </c>
      <c r="BJ125" s="6">
        <f t="shared" ref="BJ125:BO125" si="213">IFERROR(BJ14/BJ$9,0)</f>
        <v>-9.1812442018171181E-2</v>
      </c>
      <c r="BK125" s="6">
        <f t="shared" si="213"/>
        <v>-7.9546109683530125E-2</v>
      </c>
      <c r="BL125" s="6">
        <f t="shared" si="213"/>
        <v>-7.5693596302377888E-2</v>
      </c>
      <c r="BM125" s="6">
        <f t="shared" si="213"/>
        <v>-7.5874579352247618E-2</v>
      </c>
      <c r="BN125" s="6">
        <f t="shared" si="213"/>
        <v>-7.6063315008142077E-2</v>
      </c>
      <c r="BO125" s="6">
        <f t="shared" si="213"/>
        <v>-7.6677365130712466E-2</v>
      </c>
    </row>
    <row r="126" spans="1:67">
      <c r="A126" s="11"/>
      <c r="B126" s="11"/>
      <c r="C126" s="11" t="s">
        <v>431</v>
      </c>
      <c r="D126" s="33"/>
      <c r="E126" s="6"/>
      <c r="F126" s="6"/>
      <c r="G126" s="6">
        <f t="shared" si="209"/>
        <v>0</v>
      </c>
      <c r="H126" s="6">
        <f t="shared" ref="H126:BI126" si="214">IFERROR(H15/H$9,0)</f>
        <v>0</v>
      </c>
      <c r="I126" s="6">
        <f t="shared" si="214"/>
        <v>0</v>
      </c>
      <c r="J126" s="6">
        <f t="shared" si="214"/>
        <v>0</v>
      </c>
      <c r="K126" s="6">
        <f t="shared" si="214"/>
        <v>0</v>
      </c>
      <c r="L126" s="6">
        <f t="shared" si="214"/>
        <v>0</v>
      </c>
      <c r="M126" s="6">
        <f t="shared" si="214"/>
        <v>0</v>
      </c>
      <c r="N126" s="6">
        <f t="shared" si="214"/>
        <v>0</v>
      </c>
      <c r="O126" s="6">
        <f t="shared" si="214"/>
        <v>0</v>
      </c>
      <c r="P126" s="6">
        <f t="shared" si="214"/>
        <v>0</v>
      </c>
      <c r="Q126" s="6">
        <f t="shared" si="214"/>
        <v>0</v>
      </c>
      <c r="R126" s="6">
        <f t="shared" si="214"/>
        <v>0</v>
      </c>
      <c r="S126" s="6">
        <f t="shared" si="214"/>
        <v>0</v>
      </c>
      <c r="T126" s="6">
        <f t="shared" si="214"/>
        <v>0</v>
      </c>
      <c r="U126" s="6">
        <f t="shared" si="214"/>
        <v>0</v>
      </c>
      <c r="V126" s="6">
        <f t="shared" si="214"/>
        <v>0</v>
      </c>
      <c r="W126" s="6">
        <f t="shared" si="214"/>
        <v>0</v>
      </c>
      <c r="X126" s="6">
        <f t="shared" si="214"/>
        <v>0</v>
      </c>
      <c r="Y126" s="6">
        <f t="shared" si="214"/>
        <v>0</v>
      </c>
      <c r="Z126" s="6">
        <f t="shared" si="214"/>
        <v>0</v>
      </c>
      <c r="AA126" s="6">
        <f t="shared" si="214"/>
        <v>0</v>
      </c>
      <c r="AB126" s="6">
        <f t="shared" si="214"/>
        <v>-3.5392367071194253E-2</v>
      </c>
      <c r="AC126" s="6">
        <f t="shared" si="214"/>
        <v>-3.5392367071194253E-2</v>
      </c>
      <c r="AD126" s="6">
        <f t="shared" si="214"/>
        <v>-3.539236707119426E-2</v>
      </c>
      <c r="AE126" s="6">
        <f t="shared" si="214"/>
        <v>-3.5417004909684427E-2</v>
      </c>
      <c r="AF126" s="6">
        <f t="shared" si="214"/>
        <v>-3.5417004909684427E-2</v>
      </c>
      <c r="AG126" s="6">
        <f t="shared" si="214"/>
        <v>-3.541700490968442E-2</v>
      </c>
      <c r="AH126" s="6">
        <f t="shared" si="214"/>
        <v>-3.541700490968442E-2</v>
      </c>
      <c r="AI126" s="6">
        <f t="shared" si="214"/>
        <v>-3.541700490968442E-2</v>
      </c>
      <c r="AJ126" s="6">
        <f t="shared" si="214"/>
        <v>-3.5417004909684427E-2</v>
      </c>
      <c r="AK126" s="6">
        <f t="shared" si="214"/>
        <v>-3.5417004909684434E-2</v>
      </c>
      <c r="AL126" s="6">
        <f t="shared" si="214"/>
        <v>-3.5417004909684427E-2</v>
      </c>
      <c r="AM126" s="6">
        <f t="shared" si="214"/>
        <v>-3.5417004909684427E-2</v>
      </c>
      <c r="AN126" s="6">
        <f t="shared" si="214"/>
        <v>-3.541700490968442E-2</v>
      </c>
      <c r="AO126" s="6">
        <f t="shared" si="214"/>
        <v>-3.541700490968442E-2</v>
      </c>
      <c r="AP126" s="6">
        <f t="shared" si="214"/>
        <v>-3.541700490968442E-2</v>
      </c>
      <c r="AQ126" s="6">
        <f t="shared" si="214"/>
        <v>-3.5441618143897208E-2</v>
      </c>
      <c r="AR126" s="6">
        <f t="shared" si="214"/>
        <v>-3.5441618143897208E-2</v>
      </c>
      <c r="AS126" s="6">
        <f t="shared" si="214"/>
        <v>-3.5441618143897208E-2</v>
      </c>
      <c r="AT126" s="6">
        <f t="shared" si="214"/>
        <v>-3.5441618143897208E-2</v>
      </c>
      <c r="AU126" s="6">
        <f t="shared" si="214"/>
        <v>-3.5441618143897208E-2</v>
      </c>
      <c r="AV126" s="6">
        <f t="shared" si="214"/>
        <v>-3.5441618143897208E-2</v>
      </c>
      <c r="AW126" s="6">
        <f t="shared" si="214"/>
        <v>-3.5441618143897208E-2</v>
      </c>
      <c r="AX126" s="6">
        <f t="shared" si="214"/>
        <v>-3.5441618143897208E-2</v>
      </c>
      <c r="AY126" s="6">
        <f t="shared" si="214"/>
        <v>-3.5441618143897208E-2</v>
      </c>
      <c r="AZ126" s="6">
        <f t="shared" si="214"/>
        <v>-3.5441618143897208E-2</v>
      </c>
      <c r="BA126" s="6">
        <f t="shared" si="214"/>
        <v>-3.5441618143897208E-2</v>
      </c>
      <c r="BB126" s="6">
        <f t="shared" si="214"/>
        <v>-3.5441618143897208E-2</v>
      </c>
      <c r="BC126" s="6">
        <f t="shared" si="214"/>
        <v>-3.546620670468327E-2</v>
      </c>
      <c r="BD126" s="6">
        <f t="shared" si="214"/>
        <v>-3.546620670468327E-2</v>
      </c>
      <c r="BE126" s="6">
        <f t="shared" si="214"/>
        <v>-3.546620670468327E-2</v>
      </c>
      <c r="BF126" s="6">
        <f t="shared" si="214"/>
        <v>-3.546620670468327E-2</v>
      </c>
      <c r="BG126" s="6">
        <f t="shared" si="214"/>
        <v>-3.546620670468327E-2</v>
      </c>
      <c r="BH126" s="6">
        <f t="shared" si="214"/>
        <v>-3.546620670468327E-2</v>
      </c>
      <c r="BI126" s="6">
        <f t="shared" si="214"/>
        <v>-3.5490770523244397E-2</v>
      </c>
      <c r="BJ126" s="6">
        <f t="shared" ref="BJ126:BO126" si="215">IFERROR(BJ15/BJ$9,0)</f>
        <v>-3.5515309531133993E-2</v>
      </c>
      <c r="BK126" s="6">
        <f t="shared" si="215"/>
        <v>-3.5539823660257423E-2</v>
      </c>
      <c r="BL126" s="6">
        <f t="shared" si="215"/>
        <v>-3.5564312842872418E-2</v>
      </c>
      <c r="BM126" s="6">
        <f t="shared" si="215"/>
        <v>-3.5588777011589467E-2</v>
      </c>
      <c r="BN126" s="6">
        <f t="shared" si="215"/>
        <v>-3.561321609937218E-2</v>
      </c>
      <c r="BO126" s="6">
        <f t="shared" si="215"/>
        <v>-3.5801586644353303E-2</v>
      </c>
    </row>
    <row r="127" spans="1:67">
      <c r="A127" s="11"/>
      <c r="B127" s="11"/>
      <c r="C127" s="11" t="s">
        <v>432</v>
      </c>
      <c r="D127" s="33"/>
      <c r="E127" s="6"/>
      <c r="F127" s="6"/>
      <c r="G127" s="6">
        <f t="shared" si="209"/>
        <v>0</v>
      </c>
      <c r="H127" s="6">
        <f t="shared" ref="H127:BI127" si="216">IFERROR(H16/H$9,0)</f>
        <v>0</v>
      </c>
      <c r="I127" s="6">
        <f t="shared" si="216"/>
        <v>0</v>
      </c>
      <c r="J127" s="6">
        <f t="shared" si="216"/>
        <v>0</v>
      </c>
      <c r="K127" s="6">
        <f t="shared" si="216"/>
        <v>0</v>
      </c>
      <c r="L127" s="6">
        <f t="shared" si="216"/>
        <v>0</v>
      </c>
      <c r="M127" s="6">
        <f t="shared" si="216"/>
        <v>0</v>
      </c>
      <c r="N127" s="6">
        <f t="shared" si="216"/>
        <v>0</v>
      </c>
      <c r="O127" s="6">
        <f t="shared" si="216"/>
        <v>0</v>
      </c>
      <c r="P127" s="6">
        <f t="shared" si="216"/>
        <v>0</v>
      </c>
      <c r="Q127" s="6">
        <f t="shared" si="216"/>
        <v>0</v>
      </c>
      <c r="R127" s="6">
        <f t="shared" si="216"/>
        <v>0</v>
      </c>
      <c r="S127" s="6">
        <f t="shared" si="216"/>
        <v>0</v>
      </c>
      <c r="T127" s="6">
        <f t="shared" si="216"/>
        <v>0</v>
      </c>
      <c r="U127" s="6">
        <f t="shared" si="216"/>
        <v>0</v>
      </c>
      <c r="V127" s="6">
        <f t="shared" si="216"/>
        <v>0</v>
      </c>
      <c r="W127" s="6">
        <f t="shared" si="216"/>
        <v>0</v>
      </c>
      <c r="X127" s="6">
        <f t="shared" si="216"/>
        <v>0</v>
      </c>
      <c r="Y127" s="6">
        <f t="shared" si="216"/>
        <v>0</v>
      </c>
      <c r="Z127" s="6">
        <f t="shared" si="216"/>
        <v>0</v>
      </c>
      <c r="AA127" s="6">
        <f t="shared" si="216"/>
        <v>0</v>
      </c>
      <c r="AB127" s="6">
        <f t="shared" si="216"/>
        <v>-0.25444224814702399</v>
      </c>
      <c r="AC127" s="6">
        <f t="shared" si="216"/>
        <v>-0.1923079199006037</v>
      </c>
      <c r="AD127" s="6">
        <f t="shared" si="216"/>
        <v>-0.15114731262558379</v>
      </c>
      <c r="AE127" s="6">
        <f t="shared" si="216"/>
        <v>-0.12582635715638762</v>
      </c>
      <c r="AF127" s="6">
        <f t="shared" si="216"/>
        <v>-8.6072265704816631E-2</v>
      </c>
      <c r="AG127" s="6">
        <f t="shared" si="216"/>
        <v>-7.5554696916858941E-2</v>
      </c>
      <c r="AH127" s="6">
        <f t="shared" si="216"/>
        <v>-6.647044593434108E-2</v>
      </c>
      <c r="AI127" s="6">
        <f t="shared" si="216"/>
        <v>-5.9985552302895456E-2</v>
      </c>
      <c r="AJ127" s="6">
        <f t="shared" si="216"/>
        <v>-5.4671542243794183E-2</v>
      </c>
      <c r="AK127" s="6">
        <f t="shared" si="216"/>
        <v>-5.0237559328238354E-2</v>
      </c>
      <c r="AL127" s="6">
        <f t="shared" si="216"/>
        <v>-4.6481714976238125E-2</v>
      </c>
      <c r="AM127" s="6">
        <f t="shared" si="216"/>
        <v>-4.3259487854576707E-2</v>
      </c>
      <c r="AN127" s="6">
        <f t="shared" si="216"/>
        <v>-4.0464699024564267E-2</v>
      </c>
      <c r="AO127" s="6">
        <f t="shared" si="216"/>
        <v>-4.0472835409396196E-2</v>
      </c>
      <c r="AP127" s="6">
        <f t="shared" si="216"/>
        <v>-3.9390776388176375E-2</v>
      </c>
      <c r="AQ127" s="6">
        <f t="shared" si="216"/>
        <v>-3.9416305662918837E-2</v>
      </c>
      <c r="AR127" s="6">
        <f t="shared" si="216"/>
        <v>-3.9424266820218018E-2</v>
      </c>
      <c r="AS127" s="6">
        <f t="shared" si="216"/>
        <v>-3.9432227977517206E-2</v>
      </c>
      <c r="AT127" s="6">
        <f t="shared" si="216"/>
        <v>-3.9440189134816388E-2</v>
      </c>
      <c r="AU127" s="6">
        <f t="shared" si="216"/>
        <v>-3.9448150292115562E-2</v>
      </c>
      <c r="AV127" s="6">
        <f t="shared" si="216"/>
        <v>-3.9456111449414757E-2</v>
      </c>
      <c r="AW127" s="6">
        <f t="shared" si="216"/>
        <v>-3.9464072606713932E-2</v>
      </c>
      <c r="AX127" s="6">
        <f t="shared" si="216"/>
        <v>-3.9472033764013113E-2</v>
      </c>
      <c r="AY127" s="6">
        <f t="shared" si="216"/>
        <v>-3.9479994921312302E-2</v>
      </c>
      <c r="AZ127" s="6">
        <f t="shared" si="216"/>
        <v>-3.9487956078611483E-2</v>
      </c>
      <c r="BA127" s="6">
        <f t="shared" si="216"/>
        <v>-3.9495917235910658E-2</v>
      </c>
      <c r="BB127" s="6">
        <f t="shared" si="216"/>
        <v>-3.9503878393209853E-2</v>
      </c>
      <c r="BC127" s="6">
        <f t="shared" si="216"/>
        <v>-3.9537881081530703E-2</v>
      </c>
      <c r="BD127" s="6">
        <f t="shared" si="216"/>
        <v>-3.9545670770209984E-2</v>
      </c>
      <c r="BE127" s="6">
        <f t="shared" si="216"/>
        <v>-3.9553460458889272E-2</v>
      </c>
      <c r="BF127" s="6">
        <f t="shared" si="216"/>
        <v>-3.9561250147568554E-2</v>
      </c>
      <c r="BG127" s="6">
        <f t="shared" si="216"/>
        <v>-3.9569039836247842E-2</v>
      </c>
      <c r="BH127" s="6">
        <f t="shared" si="216"/>
        <v>-3.957682952492713E-2</v>
      </c>
      <c r="BI127" s="6">
        <f t="shared" si="216"/>
        <v>-3.9704306882273749E-2</v>
      </c>
      <c r="BJ127" s="6">
        <f t="shared" ref="BJ127:BO127" si="217">IFERROR(BJ16/BJ$9,0)</f>
        <v>-3.9838740897814508E-2</v>
      </c>
      <c r="BK127" s="6">
        <f t="shared" si="217"/>
        <v>-3.9980331922699452E-2</v>
      </c>
      <c r="BL127" s="6">
        <f t="shared" si="217"/>
        <v>-4.0129283459505477E-2</v>
      </c>
      <c r="BM127" s="6">
        <f t="shared" si="217"/>
        <v>-4.0285802340658136E-2</v>
      </c>
      <c r="BN127" s="6">
        <f t="shared" si="217"/>
        <v>-4.0450098908769903E-2</v>
      </c>
      <c r="BO127" s="6">
        <f t="shared" si="217"/>
        <v>-4.0875778486359163E-2</v>
      </c>
    </row>
    <row r="128" spans="1:67">
      <c r="A128" s="11"/>
      <c r="B128" s="11"/>
      <c r="C128" s="11" t="s">
        <v>433</v>
      </c>
      <c r="D128" s="33"/>
      <c r="E128" s="6"/>
      <c r="F128" s="6"/>
      <c r="G128" s="6">
        <f t="shared" si="209"/>
        <v>0</v>
      </c>
      <c r="H128" s="6">
        <f t="shared" ref="H128:BI128" si="218">IFERROR(H17/H$9,0)</f>
        <v>0</v>
      </c>
      <c r="I128" s="6">
        <f t="shared" si="218"/>
        <v>0</v>
      </c>
      <c r="J128" s="6">
        <f t="shared" si="218"/>
        <v>0</v>
      </c>
      <c r="K128" s="6">
        <f t="shared" si="218"/>
        <v>0</v>
      </c>
      <c r="L128" s="6">
        <f t="shared" si="218"/>
        <v>0</v>
      </c>
      <c r="M128" s="6">
        <f t="shared" si="218"/>
        <v>0</v>
      </c>
      <c r="N128" s="6">
        <f t="shared" si="218"/>
        <v>0</v>
      </c>
      <c r="O128" s="6">
        <f t="shared" si="218"/>
        <v>0</v>
      </c>
      <c r="P128" s="6">
        <f t="shared" si="218"/>
        <v>0</v>
      </c>
      <c r="Q128" s="6">
        <f t="shared" si="218"/>
        <v>0</v>
      </c>
      <c r="R128" s="6">
        <f t="shared" si="218"/>
        <v>0</v>
      </c>
      <c r="S128" s="6">
        <f t="shared" si="218"/>
        <v>0</v>
      </c>
      <c r="T128" s="6">
        <f t="shared" si="218"/>
        <v>0</v>
      </c>
      <c r="U128" s="6">
        <f t="shared" si="218"/>
        <v>0</v>
      </c>
      <c r="V128" s="6">
        <f t="shared" si="218"/>
        <v>0</v>
      </c>
      <c r="W128" s="6">
        <f t="shared" si="218"/>
        <v>0</v>
      </c>
      <c r="X128" s="6">
        <f t="shared" si="218"/>
        <v>0</v>
      </c>
      <c r="Y128" s="6">
        <f t="shared" si="218"/>
        <v>0</v>
      </c>
      <c r="Z128" s="6">
        <f t="shared" si="218"/>
        <v>0</v>
      </c>
      <c r="AA128" s="6">
        <f t="shared" si="218"/>
        <v>0</v>
      </c>
      <c r="AB128" s="6">
        <f t="shared" si="218"/>
        <v>-8.9921591781192758E-2</v>
      </c>
      <c r="AC128" s="6">
        <f t="shared" si="218"/>
        <v>-6.7865352287692665E-2</v>
      </c>
      <c r="AD128" s="6">
        <f t="shared" si="218"/>
        <v>-5.4497934412844097E-2</v>
      </c>
      <c r="AE128" s="6">
        <f t="shared" si="218"/>
        <v>-4.4549459332926658E-2</v>
      </c>
      <c r="AF128" s="6">
        <f t="shared" si="218"/>
        <v>-3.8254427035882686E-2</v>
      </c>
      <c r="AG128" s="6">
        <f t="shared" si="218"/>
        <v>-3.3518164640963875E-2</v>
      </c>
      <c r="AH128" s="6">
        <f t="shared" si="218"/>
        <v>-2.9825485485603456E-2</v>
      </c>
      <c r="AI128" s="6">
        <f t="shared" si="218"/>
        <v>-2.6865704483215326E-2</v>
      </c>
      <c r="AJ128" s="6">
        <f t="shared" si="218"/>
        <v>-2.4440328384036161E-2</v>
      </c>
      <c r="AK128" s="6">
        <f t="shared" si="218"/>
        <v>-2.2416606925485399E-2</v>
      </c>
      <c r="AL128" s="6">
        <f t="shared" si="218"/>
        <v>-2.0702395807654168E-2</v>
      </c>
      <c r="AM128" s="6">
        <f t="shared" si="218"/>
        <v>-1.9231733810389111E-2</v>
      </c>
      <c r="AN128" s="6">
        <f t="shared" si="218"/>
        <v>-1.7956159629087795E-2</v>
      </c>
      <c r="AO128" s="6">
        <f t="shared" si="218"/>
        <v>-1.7956159629087795E-2</v>
      </c>
      <c r="AP128" s="6">
        <f t="shared" si="218"/>
        <v>-1.7956159629087795E-2</v>
      </c>
      <c r="AQ128" s="6">
        <f t="shared" si="218"/>
        <v>-1.7569450591299059E-2</v>
      </c>
      <c r="AR128" s="6">
        <f t="shared" si="218"/>
        <v>-1.7569450591299059E-2</v>
      </c>
      <c r="AS128" s="6">
        <f t="shared" si="218"/>
        <v>-1.7569450591299059E-2</v>
      </c>
      <c r="AT128" s="6">
        <f t="shared" si="218"/>
        <v>-1.7569450591299059E-2</v>
      </c>
      <c r="AU128" s="6">
        <f t="shared" si="218"/>
        <v>-1.7569450591299059E-2</v>
      </c>
      <c r="AV128" s="6">
        <f t="shared" si="218"/>
        <v>-1.7569450591299059E-2</v>
      </c>
      <c r="AW128" s="6">
        <f t="shared" si="218"/>
        <v>-1.7569450591299059E-2</v>
      </c>
      <c r="AX128" s="6">
        <f t="shared" si="218"/>
        <v>-1.7569450591299059E-2</v>
      </c>
      <c r="AY128" s="6">
        <f t="shared" si="218"/>
        <v>-1.7569450591299059E-2</v>
      </c>
      <c r="AZ128" s="6">
        <f t="shared" si="218"/>
        <v>-1.7569450591299059E-2</v>
      </c>
      <c r="BA128" s="6">
        <f t="shared" si="218"/>
        <v>-1.7569450591299059E-2</v>
      </c>
      <c r="BB128" s="6">
        <f t="shared" si="218"/>
        <v>-1.7569450591299059E-2</v>
      </c>
      <c r="BC128" s="6">
        <f t="shared" si="218"/>
        <v>-1.7191037085317763E-2</v>
      </c>
      <c r="BD128" s="6">
        <f t="shared" si="218"/>
        <v>-1.7191037085317763E-2</v>
      </c>
      <c r="BE128" s="6">
        <f t="shared" si="218"/>
        <v>-1.7191037085317763E-2</v>
      </c>
      <c r="BF128" s="6">
        <f t="shared" si="218"/>
        <v>-1.7191037085317763E-2</v>
      </c>
      <c r="BG128" s="6">
        <f t="shared" si="218"/>
        <v>-1.7191037085317763E-2</v>
      </c>
      <c r="BH128" s="6">
        <f t="shared" si="218"/>
        <v>-1.7191037085317763E-2</v>
      </c>
      <c r="BI128" s="6">
        <f t="shared" si="218"/>
        <v>-1.6820741898979252E-2</v>
      </c>
      <c r="BJ128" s="6">
        <f t="shared" ref="BJ128:BO128" si="219">IFERROR(BJ17/BJ$9,0)</f>
        <v>-1.645839158922268E-2</v>
      </c>
      <c r="BK128" s="6">
        <f t="shared" si="219"/>
        <v>-4.0259541005732459E-3</v>
      </c>
      <c r="BL128" s="6">
        <f t="shared" si="219"/>
        <v>0</v>
      </c>
      <c r="BM128" s="6">
        <f t="shared" si="219"/>
        <v>0</v>
      </c>
      <c r="BN128" s="6">
        <f t="shared" si="219"/>
        <v>0</v>
      </c>
      <c r="BO128" s="6">
        <f t="shared" si="219"/>
        <v>0</v>
      </c>
    </row>
    <row r="129" spans="1:67">
      <c r="A129" s="11"/>
      <c r="B129" s="11" t="s">
        <v>476</v>
      </c>
      <c r="C129" s="11"/>
      <c r="D129" s="33"/>
      <c r="E129" s="6"/>
      <c r="F129" s="6"/>
      <c r="G129" s="6">
        <f t="shared" si="209"/>
        <v>0</v>
      </c>
      <c r="H129" s="6">
        <f t="shared" ref="H129:BI129" si="220">IFERROR(H18/H$9,0)</f>
        <v>0</v>
      </c>
      <c r="I129" s="6">
        <f t="shared" si="220"/>
        <v>0</v>
      </c>
      <c r="J129" s="6">
        <f t="shared" si="220"/>
        <v>0</v>
      </c>
      <c r="K129" s="6">
        <f t="shared" si="220"/>
        <v>0</v>
      </c>
      <c r="L129" s="6">
        <f t="shared" si="220"/>
        <v>0</v>
      </c>
      <c r="M129" s="6">
        <f t="shared" si="220"/>
        <v>0</v>
      </c>
      <c r="N129" s="6">
        <f t="shared" si="220"/>
        <v>0</v>
      </c>
      <c r="O129" s="6">
        <f t="shared" si="220"/>
        <v>0</v>
      </c>
      <c r="P129" s="6">
        <f t="shared" si="220"/>
        <v>0</v>
      </c>
      <c r="Q129" s="6">
        <f t="shared" si="220"/>
        <v>0</v>
      </c>
      <c r="R129" s="6">
        <f t="shared" si="220"/>
        <v>0</v>
      </c>
      <c r="S129" s="6">
        <f t="shared" si="220"/>
        <v>0</v>
      </c>
      <c r="T129" s="6">
        <f t="shared" si="220"/>
        <v>0</v>
      </c>
      <c r="U129" s="6">
        <f t="shared" si="220"/>
        <v>0</v>
      </c>
      <c r="V129" s="6">
        <f t="shared" si="220"/>
        <v>0</v>
      </c>
      <c r="W129" s="6">
        <f t="shared" si="220"/>
        <v>0</v>
      </c>
      <c r="X129" s="6">
        <f t="shared" si="220"/>
        <v>0</v>
      </c>
      <c r="Y129" s="6">
        <f t="shared" si="220"/>
        <v>0</v>
      </c>
      <c r="Z129" s="6">
        <f t="shared" si="220"/>
        <v>0</v>
      </c>
      <c r="AA129" s="6">
        <f t="shared" si="220"/>
        <v>0</v>
      </c>
      <c r="AB129" s="6">
        <f t="shared" si="220"/>
        <v>-2.2217448338696024</v>
      </c>
      <c r="AC129" s="6">
        <f t="shared" si="220"/>
        <v>-0.55748456663920909</v>
      </c>
      <c r="AD129" s="6">
        <f t="shared" si="220"/>
        <v>-0.33262993736663254</v>
      </c>
      <c r="AE129" s="6">
        <f t="shared" si="220"/>
        <v>-0.17784397528729948</v>
      </c>
      <c r="AF129" s="6">
        <f t="shared" si="220"/>
        <v>-5.0542418168638172E-2</v>
      </c>
      <c r="AG129" s="6">
        <f t="shared" si="220"/>
        <v>2.5844196216463503E-2</v>
      </c>
      <c r="AH129" s="6">
        <f t="shared" si="220"/>
        <v>8.628397427472087E-2</v>
      </c>
      <c r="AI129" s="6">
        <f t="shared" si="220"/>
        <v>0.13393169495160662</v>
      </c>
      <c r="AJ129" s="6">
        <f t="shared" si="220"/>
        <v>0.1729763549507212</v>
      </c>
      <c r="AK129" s="6">
        <f t="shared" si="220"/>
        <v>0.20555502030030118</v>
      </c>
      <c r="AL129" s="6">
        <f t="shared" si="220"/>
        <v>0.23315106624347429</v>
      </c>
      <c r="AM129" s="6">
        <f t="shared" si="220"/>
        <v>0.25682636248980351</v>
      </c>
      <c r="AN129" s="6">
        <f t="shared" si="220"/>
        <v>0.27736105821366058</v>
      </c>
      <c r="AO129" s="6">
        <f t="shared" si="220"/>
        <v>0.27712680084583613</v>
      </c>
      <c r="AP129" s="6">
        <f t="shared" si="220"/>
        <v>0.2779827388840635</v>
      </c>
      <c r="AQ129" s="6">
        <f t="shared" si="220"/>
        <v>0.28021037484361844</v>
      </c>
      <c r="AR129" s="6">
        <f t="shared" si="220"/>
        <v>0.27998046640925045</v>
      </c>
      <c r="AS129" s="6">
        <f t="shared" si="220"/>
        <v>0.27975055797488257</v>
      </c>
      <c r="AT129" s="6">
        <f t="shared" si="220"/>
        <v>0.2795206495405147</v>
      </c>
      <c r="AU129" s="6">
        <f t="shared" si="220"/>
        <v>0.27929074110614677</v>
      </c>
      <c r="AV129" s="6">
        <f t="shared" si="220"/>
        <v>0.27906083267177872</v>
      </c>
      <c r="AW129" s="6">
        <f t="shared" si="220"/>
        <v>0.27883092423741079</v>
      </c>
      <c r="AX129" s="6">
        <f t="shared" si="220"/>
        <v>0.27860101580304292</v>
      </c>
      <c r="AY129" s="6">
        <f t="shared" si="220"/>
        <v>0.27837110736867493</v>
      </c>
      <c r="AZ129" s="6">
        <f t="shared" si="220"/>
        <v>0.27814119893430705</v>
      </c>
      <c r="BA129" s="6">
        <f t="shared" si="220"/>
        <v>0.27791129049993912</v>
      </c>
      <c r="BB129" s="6">
        <f t="shared" si="220"/>
        <v>0.27768138206557108</v>
      </c>
      <c r="BC129" s="6">
        <f t="shared" si="220"/>
        <v>0.27983621062963704</v>
      </c>
      <c r="BD129" s="6">
        <f t="shared" si="220"/>
        <v>0.27961056607898382</v>
      </c>
      <c r="BE129" s="6">
        <f t="shared" si="220"/>
        <v>0.27938492152833067</v>
      </c>
      <c r="BF129" s="6">
        <f t="shared" si="220"/>
        <v>0.27915927697767762</v>
      </c>
      <c r="BG129" s="6">
        <f t="shared" si="220"/>
        <v>0.27893363242702446</v>
      </c>
      <c r="BH129" s="6">
        <f t="shared" si="220"/>
        <v>0.27870798787637141</v>
      </c>
      <c r="BI129" s="6">
        <f t="shared" si="220"/>
        <v>0.27787609867102808</v>
      </c>
      <c r="BJ129" s="6">
        <f t="shared" ref="BJ129:BO129" si="221">IFERROR(BJ18/BJ$9,0)</f>
        <v>0.27747464220212437</v>
      </c>
      <c r="BK129" s="6">
        <f t="shared" si="221"/>
        <v>0.29118841651533967</v>
      </c>
      <c r="BL129" s="6">
        <f t="shared" si="221"/>
        <v>0.29502790334117146</v>
      </c>
      <c r="BM129" s="6">
        <f t="shared" si="221"/>
        <v>0.29412191078940264</v>
      </c>
      <c r="BN129" s="6">
        <f t="shared" si="221"/>
        <v>0.29275099149182504</v>
      </c>
      <c r="BO129" s="6">
        <f t="shared" si="221"/>
        <v>0.2876187327111368</v>
      </c>
    </row>
    <row r="130" spans="1:67">
      <c r="A130" s="11"/>
      <c r="B130" s="11" t="s">
        <v>22</v>
      </c>
      <c r="C130" s="11"/>
      <c r="D130" s="33"/>
      <c r="E130" s="6"/>
      <c r="F130" s="6"/>
      <c r="G130" s="6">
        <f t="shared" si="209"/>
        <v>0</v>
      </c>
      <c r="H130" s="6">
        <f t="shared" ref="H130:BI130" si="222">IFERROR(H19/H$9,0)</f>
        <v>0</v>
      </c>
      <c r="I130" s="6">
        <f t="shared" si="222"/>
        <v>0</v>
      </c>
      <c r="J130" s="6">
        <f t="shared" si="222"/>
        <v>0</v>
      </c>
      <c r="K130" s="6">
        <f t="shared" si="222"/>
        <v>0</v>
      </c>
      <c r="L130" s="6">
        <f t="shared" si="222"/>
        <v>0</v>
      </c>
      <c r="M130" s="6">
        <f t="shared" si="222"/>
        <v>0</v>
      </c>
      <c r="N130" s="6">
        <f t="shared" si="222"/>
        <v>0</v>
      </c>
      <c r="O130" s="6">
        <f t="shared" si="222"/>
        <v>0</v>
      </c>
      <c r="P130" s="6">
        <f t="shared" si="222"/>
        <v>0</v>
      </c>
      <c r="Q130" s="6">
        <f t="shared" si="222"/>
        <v>0</v>
      </c>
      <c r="R130" s="6">
        <f t="shared" si="222"/>
        <v>0</v>
      </c>
      <c r="S130" s="6">
        <f t="shared" si="222"/>
        <v>0</v>
      </c>
      <c r="T130" s="6">
        <f t="shared" si="222"/>
        <v>0</v>
      </c>
      <c r="U130" s="6">
        <f t="shared" si="222"/>
        <v>0</v>
      </c>
      <c r="V130" s="6">
        <f t="shared" si="222"/>
        <v>0</v>
      </c>
      <c r="W130" s="6">
        <f t="shared" si="222"/>
        <v>0</v>
      </c>
      <c r="X130" s="6">
        <f t="shared" si="222"/>
        <v>0</v>
      </c>
      <c r="Y130" s="6">
        <f t="shared" si="222"/>
        <v>0</v>
      </c>
      <c r="Z130" s="6">
        <f t="shared" si="222"/>
        <v>0</v>
      </c>
      <c r="AA130" s="6">
        <f t="shared" si="222"/>
        <v>0</v>
      </c>
      <c r="AB130" s="6">
        <f t="shared" si="222"/>
        <v>-0.3358779711437061</v>
      </c>
      <c r="AC130" s="6">
        <f t="shared" si="222"/>
        <v>-0.2699360756657177</v>
      </c>
      <c r="AD130" s="6">
        <f t="shared" si="222"/>
        <v>-0.22247642011500007</v>
      </c>
      <c r="AE130" s="6">
        <f t="shared" si="222"/>
        <v>-0.1838154507680223</v>
      </c>
      <c r="AF130" s="6">
        <f t="shared" si="222"/>
        <v>-0.15934588152181486</v>
      </c>
      <c r="AG130" s="6">
        <f t="shared" si="222"/>
        <v>-0.14103066913139339</v>
      </c>
      <c r="AH130" s="6">
        <f t="shared" si="222"/>
        <v>-0.12514906043124976</v>
      </c>
      <c r="AI130" s="6">
        <f t="shared" si="222"/>
        <v>-0.1128110968300589</v>
      </c>
      <c r="AJ130" s="6">
        <f t="shared" si="222"/>
        <v>-0.10201961883577394</v>
      </c>
      <c r="AK130" s="6">
        <f t="shared" si="222"/>
        <v>-9.3123405016531227E-2</v>
      </c>
      <c r="AL130" s="6">
        <f t="shared" si="222"/>
        <v>-8.4938590457170018E-2</v>
      </c>
      <c r="AM130" s="6">
        <f t="shared" si="222"/>
        <v>-7.7857764970912555E-2</v>
      </c>
      <c r="AN130" s="6">
        <f t="shared" si="222"/>
        <v>-7.1708403068660678E-2</v>
      </c>
      <c r="AO130" s="6">
        <f t="shared" si="222"/>
        <v>-7.0061412584318805E-2</v>
      </c>
      <c r="AP130" s="6">
        <f t="shared" si="222"/>
        <v>-6.8379914480725973E-2</v>
      </c>
      <c r="AQ130" s="6">
        <f t="shared" si="222"/>
        <v>-6.4795362571720652E-2</v>
      </c>
      <c r="AR130" s="6">
        <f t="shared" si="222"/>
        <v>-6.3024543205999498E-2</v>
      </c>
      <c r="AS130" s="6">
        <f t="shared" si="222"/>
        <v>-6.1815653724475929E-2</v>
      </c>
      <c r="AT130" s="6">
        <f t="shared" si="222"/>
        <v>-6.0938397968793877E-2</v>
      </c>
      <c r="AU130" s="6">
        <f t="shared" si="222"/>
        <v>-6.0157136456373439E-2</v>
      </c>
      <c r="AV130" s="6">
        <f t="shared" si="222"/>
        <v>-5.9375874943953001E-2</v>
      </c>
      <c r="AW130" s="6">
        <f t="shared" si="222"/>
        <v>-5.8594613431532563E-2</v>
      </c>
      <c r="AX130" s="6">
        <f t="shared" si="222"/>
        <v>-5.7813351919112119E-2</v>
      </c>
      <c r="AY130" s="6">
        <f t="shared" si="222"/>
        <v>-5.7032090406691681E-2</v>
      </c>
      <c r="AZ130" s="6">
        <f t="shared" ca="1" si="222"/>
        <v>-5.6250828894271243E-2</v>
      </c>
      <c r="BA130" s="6">
        <f t="shared" ca="1" si="222"/>
        <v>-5.5469567381850805E-2</v>
      </c>
      <c r="BB130" s="6">
        <f t="shared" ca="1" si="222"/>
        <v>-5.4688305869430374E-2</v>
      </c>
      <c r="BC130" s="6">
        <f t="shared" ca="1" si="222"/>
        <v>-5.2745986215423667E-2</v>
      </c>
      <c r="BD130" s="6">
        <f t="shared" ca="1" si="222"/>
        <v>-5.1981551632591438E-2</v>
      </c>
      <c r="BE130" s="6">
        <f t="shared" ca="1" si="222"/>
        <v>-5.1217117049759203E-2</v>
      </c>
      <c r="BF130" s="6">
        <f t="shared" ca="1" si="222"/>
        <v>-5.0452682466926975E-2</v>
      </c>
      <c r="BG130" s="6">
        <f t="shared" ca="1" si="222"/>
        <v>-4.9688247884094754E-2</v>
      </c>
      <c r="BH130" s="6">
        <f t="shared" ca="1" si="222"/>
        <v>-4.8923813301262511E-2</v>
      </c>
      <c r="BI130" s="6">
        <f t="shared" ca="1" si="222"/>
        <v>-4.7122025007424753E-2</v>
      </c>
      <c r="BJ130" s="6">
        <f t="shared" ref="BJ130:BO130" ca="1" si="223">IFERROR(BJ19/BJ$9,0)</f>
        <v>-3.7324656212070512E-2</v>
      </c>
      <c r="BK130" s="6">
        <f t="shared" ca="1" si="223"/>
        <v>-2.7927474670873063E-2</v>
      </c>
      <c r="BL130" s="6">
        <f t="shared" ca="1" si="223"/>
        <v>-1.8917834389461624E-2</v>
      </c>
      <c r="BM130" s="6">
        <f t="shared" ca="1" si="223"/>
        <v>-1.0283446348835396E-2</v>
      </c>
      <c r="BN130" s="6">
        <f t="shared" ca="1" si="223"/>
        <v>-2.0123690646677746E-3</v>
      </c>
      <c r="BO130" s="6">
        <f t="shared" ca="1" si="223"/>
        <v>-1.9815922652806532E-3</v>
      </c>
    </row>
    <row r="131" spans="1:67">
      <c r="A131" s="11"/>
      <c r="B131" s="11" t="s">
        <v>477</v>
      </c>
      <c r="C131" s="11"/>
      <c r="D131" s="33"/>
      <c r="E131" s="6"/>
      <c r="F131" s="6"/>
      <c r="G131" s="6">
        <f t="shared" si="209"/>
        <v>0</v>
      </c>
      <c r="H131" s="6">
        <f t="shared" ref="H131:BI131" si="224">IFERROR(H20/H$9,0)</f>
        <v>0</v>
      </c>
      <c r="I131" s="6">
        <f t="shared" si="224"/>
        <v>0</v>
      </c>
      <c r="J131" s="6">
        <f t="shared" si="224"/>
        <v>0</v>
      </c>
      <c r="K131" s="6">
        <f t="shared" si="224"/>
        <v>0</v>
      </c>
      <c r="L131" s="6">
        <f t="shared" si="224"/>
        <v>0</v>
      </c>
      <c r="M131" s="6">
        <f t="shared" si="224"/>
        <v>0</v>
      </c>
      <c r="N131" s="6">
        <f t="shared" si="224"/>
        <v>0</v>
      </c>
      <c r="O131" s="6">
        <f t="shared" si="224"/>
        <v>0</v>
      </c>
      <c r="P131" s="6">
        <f t="shared" si="224"/>
        <v>0</v>
      </c>
      <c r="Q131" s="6">
        <f t="shared" si="224"/>
        <v>0</v>
      </c>
      <c r="R131" s="6">
        <f t="shared" si="224"/>
        <v>0</v>
      </c>
      <c r="S131" s="6">
        <f t="shared" si="224"/>
        <v>0</v>
      </c>
      <c r="T131" s="6">
        <f t="shared" si="224"/>
        <v>0</v>
      </c>
      <c r="U131" s="6">
        <f t="shared" si="224"/>
        <v>0</v>
      </c>
      <c r="V131" s="6">
        <f t="shared" si="224"/>
        <v>0</v>
      </c>
      <c r="W131" s="6">
        <f t="shared" si="224"/>
        <v>0</v>
      </c>
      <c r="X131" s="6">
        <f t="shared" si="224"/>
        <v>0</v>
      </c>
      <c r="Y131" s="6">
        <f t="shared" si="224"/>
        <v>0</v>
      </c>
      <c r="Z131" s="6">
        <f t="shared" si="224"/>
        <v>0</v>
      </c>
      <c r="AA131" s="6">
        <f t="shared" si="224"/>
        <v>0</v>
      </c>
      <c r="AB131" s="6">
        <f t="shared" si="224"/>
        <v>-2.5576228050133083</v>
      </c>
      <c r="AC131" s="6">
        <f t="shared" si="224"/>
        <v>-0.82742064230492673</v>
      </c>
      <c r="AD131" s="6">
        <f t="shared" si="224"/>
        <v>-0.55510635748163262</v>
      </c>
      <c r="AE131" s="6">
        <f t="shared" si="224"/>
        <v>-0.36165942605532175</v>
      </c>
      <c r="AF131" s="6">
        <f t="shared" si="224"/>
        <v>-0.20988829969045303</v>
      </c>
      <c r="AG131" s="6">
        <f t="shared" si="224"/>
        <v>-0.11518647291492988</v>
      </c>
      <c r="AH131" s="6">
        <f t="shared" si="224"/>
        <v>-3.8865086156528901E-2</v>
      </c>
      <c r="AI131" s="6">
        <f t="shared" si="224"/>
        <v>2.1120598121547724E-2</v>
      </c>
      <c r="AJ131" s="6">
        <f t="shared" si="224"/>
        <v>7.0956736114947253E-2</v>
      </c>
      <c r="AK131" s="6">
        <f t="shared" si="224"/>
        <v>0.11243161528376995</v>
      </c>
      <c r="AL131" s="6">
        <f t="shared" si="224"/>
        <v>0.14821247578630428</v>
      </c>
      <c r="AM131" s="6">
        <f t="shared" si="224"/>
        <v>0.17896859751889094</v>
      </c>
      <c r="AN131" s="6">
        <f t="shared" si="224"/>
        <v>0.20565265514499989</v>
      </c>
      <c r="AO131" s="6">
        <f t="shared" si="224"/>
        <v>0.20706538826151738</v>
      </c>
      <c r="AP131" s="6">
        <f t="shared" si="224"/>
        <v>0.2096028244033375</v>
      </c>
      <c r="AQ131" s="6">
        <f t="shared" si="224"/>
        <v>0.21541501227189777</v>
      </c>
      <c r="AR131" s="6">
        <f t="shared" si="224"/>
        <v>0.21695592320325097</v>
      </c>
      <c r="AS131" s="6">
        <f t="shared" si="224"/>
        <v>0.21793490425040662</v>
      </c>
      <c r="AT131" s="6">
        <f t="shared" si="224"/>
        <v>0.21858225157172084</v>
      </c>
      <c r="AU131" s="6">
        <f t="shared" si="224"/>
        <v>0.21913360464977333</v>
      </c>
      <c r="AV131" s="6">
        <f t="shared" si="224"/>
        <v>0.21968495772782573</v>
      </c>
      <c r="AW131" s="6">
        <f t="shared" si="224"/>
        <v>0.22023631080587824</v>
      </c>
      <c r="AX131" s="6">
        <f t="shared" si="224"/>
        <v>0.22078766388393081</v>
      </c>
      <c r="AY131" s="6">
        <f t="shared" si="224"/>
        <v>0.22133901696198324</v>
      </c>
      <c r="AZ131" s="6">
        <f t="shared" ca="1" si="224"/>
        <v>0.22189037004003584</v>
      </c>
      <c r="BA131" s="6">
        <f t="shared" ca="1" si="224"/>
        <v>0.22244172311808832</v>
      </c>
      <c r="BB131" s="6">
        <f t="shared" ca="1" si="224"/>
        <v>0.22299307619614073</v>
      </c>
      <c r="BC131" s="6">
        <f t="shared" ca="1" si="224"/>
        <v>0.22709022441421337</v>
      </c>
      <c r="BD131" s="6">
        <f t="shared" ca="1" si="224"/>
        <v>0.22762901444639239</v>
      </c>
      <c r="BE131" s="6">
        <f t="shared" ca="1" si="224"/>
        <v>0.22816780447857149</v>
      </c>
      <c r="BF131" s="6">
        <f t="shared" ca="1" si="224"/>
        <v>0.22870659451075068</v>
      </c>
      <c r="BG131" s="6">
        <f t="shared" ca="1" si="224"/>
        <v>0.22924538454292967</v>
      </c>
      <c r="BH131" s="6">
        <f t="shared" ca="1" si="224"/>
        <v>0.22978417457510888</v>
      </c>
      <c r="BI131" s="6">
        <f t="shared" ca="1" si="224"/>
        <v>0.23075407366360334</v>
      </c>
      <c r="BJ131" s="6">
        <f t="shared" ref="BJ131:BO131" ca="1" si="225">IFERROR(BJ20/BJ$9,0)</f>
        <v>0.24014998599005385</v>
      </c>
      <c r="BK131" s="6">
        <f t="shared" ca="1" si="225"/>
        <v>0.26326094184446658</v>
      </c>
      <c r="BL131" s="6">
        <f t="shared" ca="1" si="225"/>
        <v>0.27611006895170981</v>
      </c>
      <c r="BM131" s="6">
        <f t="shared" ca="1" si="225"/>
        <v>0.28383846444056726</v>
      </c>
      <c r="BN131" s="6">
        <f t="shared" ca="1" si="225"/>
        <v>0.29073862242715731</v>
      </c>
      <c r="BO131" s="6">
        <f t="shared" ca="1" si="225"/>
        <v>0.2856371404458562</v>
      </c>
    </row>
    <row r="132" spans="1:67">
      <c r="A132" s="11"/>
      <c r="B132" s="11" t="s">
        <v>2</v>
      </c>
      <c r="C132" s="11"/>
      <c r="D132" s="33"/>
      <c r="E132" s="6"/>
      <c r="F132" s="6"/>
      <c r="G132" s="6">
        <f t="shared" si="209"/>
        <v>0</v>
      </c>
      <c r="H132" s="6">
        <f t="shared" ref="H132:BI132" si="226">IFERROR(H21/H$9,0)</f>
        <v>0</v>
      </c>
      <c r="I132" s="6">
        <f t="shared" si="226"/>
        <v>0</v>
      </c>
      <c r="J132" s="6">
        <f t="shared" si="226"/>
        <v>0</v>
      </c>
      <c r="K132" s="6">
        <f t="shared" si="226"/>
        <v>0</v>
      </c>
      <c r="L132" s="6">
        <f t="shared" si="226"/>
        <v>0</v>
      </c>
      <c r="M132" s="6">
        <f t="shared" si="226"/>
        <v>0</v>
      </c>
      <c r="N132" s="6">
        <f t="shared" si="226"/>
        <v>0</v>
      </c>
      <c r="O132" s="6">
        <f t="shared" si="226"/>
        <v>0</v>
      </c>
      <c r="P132" s="6">
        <f t="shared" si="226"/>
        <v>0</v>
      </c>
      <c r="Q132" s="6">
        <f t="shared" si="226"/>
        <v>0</v>
      </c>
      <c r="R132" s="6">
        <f t="shared" si="226"/>
        <v>0</v>
      </c>
      <c r="S132" s="6">
        <f t="shared" si="226"/>
        <v>0</v>
      </c>
      <c r="T132" s="6">
        <f t="shared" si="226"/>
        <v>0</v>
      </c>
      <c r="U132" s="6">
        <f t="shared" si="226"/>
        <v>0</v>
      </c>
      <c r="V132" s="6">
        <f t="shared" si="226"/>
        <v>0</v>
      </c>
      <c r="W132" s="6">
        <f t="shared" si="226"/>
        <v>0</v>
      </c>
      <c r="X132" s="6">
        <f t="shared" si="226"/>
        <v>0</v>
      </c>
      <c r="Y132" s="6">
        <f t="shared" si="226"/>
        <v>0</v>
      </c>
      <c r="Z132" s="6">
        <f t="shared" si="226"/>
        <v>0</v>
      </c>
      <c r="AA132" s="6">
        <f t="shared" si="226"/>
        <v>0</v>
      </c>
      <c r="AB132" s="6">
        <f t="shared" si="226"/>
        <v>0</v>
      </c>
      <c r="AC132" s="6">
        <f t="shared" si="226"/>
        <v>0</v>
      </c>
      <c r="AD132" s="6">
        <f t="shared" si="226"/>
        <v>0</v>
      </c>
      <c r="AE132" s="6">
        <f t="shared" si="226"/>
        <v>0</v>
      </c>
      <c r="AF132" s="6">
        <f t="shared" si="226"/>
        <v>0</v>
      </c>
      <c r="AG132" s="6">
        <f t="shared" si="226"/>
        <v>0</v>
      </c>
      <c r="AH132" s="6">
        <f t="shared" si="226"/>
        <v>0</v>
      </c>
      <c r="AI132" s="6">
        <f t="shared" si="226"/>
        <v>0</v>
      </c>
      <c r="AJ132" s="6">
        <f t="shared" si="226"/>
        <v>0</v>
      </c>
      <c r="AK132" s="6">
        <f t="shared" si="226"/>
        <v>0</v>
      </c>
      <c r="AL132" s="6">
        <f t="shared" si="226"/>
        <v>0</v>
      </c>
      <c r="AM132" s="6">
        <f t="shared" si="226"/>
        <v>0</v>
      </c>
      <c r="AN132" s="6">
        <f t="shared" si="226"/>
        <v>0</v>
      </c>
      <c r="AO132" s="6">
        <f t="shared" si="226"/>
        <v>0</v>
      </c>
      <c r="AP132" s="6">
        <f t="shared" si="226"/>
        <v>0</v>
      </c>
      <c r="AQ132" s="6">
        <f t="shared" si="226"/>
        <v>0</v>
      </c>
      <c r="AR132" s="6">
        <f t="shared" si="226"/>
        <v>0</v>
      </c>
      <c r="AS132" s="6">
        <f t="shared" si="226"/>
        <v>0</v>
      </c>
      <c r="AT132" s="6">
        <f t="shared" si="226"/>
        <v>0</v>
      </c>
      <c r="AU132" s="6">
        <f t="shared" si="226"/>
        <v>0</v>
      </c>
      <c r="AV132" s="6">
        <f t="shared" si="226"/>
        <v>0</v>
      </c>
      <c r="AW132" s="6">
        <f t="shared" si="226"/>
        <v>0</v>
      </c>
      <c r="AX132" s="6">
        <f t="shared" si="226"/>
        <v>0</v>
      </c>
      <c r="AY132" s="6">
        <f t="shared" si="226"/>
        <v>0</v>
      </c>
      <c r="AZ132" s="6">
        <f t="shared" si="226"/>
        <v>0</v>
      </c>
      <c r="BA132" s="6">
        <f t="shared" si="226"/>
        <v>0</v>
      </c>
      <c r="BB132" s="6">
        <f t="shared" si="226"/>
        <v>0</v>
      </c>
      <c r="BC132" s="6">
        <f t="shared" si="226"/>
        <v>0</v>
      </c>
      <c r="BD132" s="6">
        <f t="shared" si="226"/>
        <v>0</v>
      </c>
      <c r="BE132" s="6">
        <f t="shared" si="226"/>
        <v>0</v>
      </c>
      <c r="BF132" s="6">
        <f t="shared" si="226"/>
        <v>0</v>
      </c>
      <c r="BG132" s="6">
        <f t="shared" si="226"/>
        <v>0</v>
      </c>
      <c r="BH132" s="6">
        <f t="shared" si="226"/>
        <v>0</v>
      </c>
      <c r="BI132" s="6">
        <f t="shared" si="226"/>
        <v>0</v>
      </c>
      <c r="BJ132" s="6">
        <f t="shared" ref="BJ132:BO132" si="227">IFERROR(BJ21/BJ$9,0)</f>
        <v>0</v>
      </c>
      <c r="BK132" s="6">
        <f t="shared" si="227"/>
        <v>0</v>
      </c>
      <c r="BL132" s="6">
        <f t="shared" si="227"/>
        <v>0</v>
      </c>
      <c r="BM132" s="6">
        <f t="shared" si="227"/>
        <v>0</v>
      </c>
      <c r="BN132" s="6">
        <f t="shared" ca="1" si="227"/>
        <v>-3.7393093998525397E-2</v>
      </c>
      <c r="BO132" s="6">
        <f t="shared" ca="1" si="227"/>
        <v>-5.7127428089171234E-2</v>
      </c>
    </row>
    <row r="133" spans="1:67">
      <c r="A133" s="11"/>
      <c r="B133" s="11" t="s">
        <v>23</v>
      </c>
      <c r="C133" s="11"/>
      <c r="D133" s="33"/>
      <c r="E133" s="6"/>
      <c r="F133" s="6"/>
      <c r="G133" s="6">
        <f t="shared" si="209"/>
        <v>0</v>
      </c>
      <c r="H133" s="6">
        <f t="shared" ref="H133:BI133" si="228">IFERROR(H22/H$9,0)</f>
        <v>0</v>
      </c>
      <c r="I133" s="6">
        <f t="shared" si="228"/>
        <v>0</v>
      </c>
      <c r="J133" s="6">
        <f t="shared" si="228"/>
        <v>0</v>
      </c>
      <c r="K133" s="6">
        <f t="shared" si="228"/>
        <v>0</v>
      </c>
      <c r="L133" s="6">
        <f t="shared" si="228"/>
        <v>0</v>
      </c>
      <c r="M133" s="6">
        <f t="shared" si="228"/>
        <v>0</v>
      </c>
      <c r="N133" s="6">
        <f t="shared" si="228"/>
        <v>0</v>
      </c>
      <c r="O133" s="6">
        <f t="shared" si="228"/>
        <v>0</v>
      </c>
      <c r="P133" s="6">
        <f t="shared" si="228"/>
        <v>0</v>
      </c>
      <c r="Q133" s="6">
        <f t="shared" si="228"/>
        <v>0</v>
      </c>
      <c r="R133" s="6">
        <f t="shared" si="228"/>
        <v>0</v>
      </c>
      <c r="S133" s="6">
        <f t="shared" si="228"/>
        <v>0</v>
      </c>
      <c r="T133" s="6">
        <f t="shared" si="228"/>
        <v>0</v>
      </c>
      <c r="U133" s="6">
        <f t="shared" si="228"/>
        <v>0</v>
      </c>
      <c r="V133" s="6">
        <f t="shared" si="228"/>
        <v>0</v>
      </c>
      <c r="W133" s="6">
        <f t="shared" si="228"/>
        <v>0</v>
      </c>
      <c r="X133" s="6">
        <f t="shared" si="228"/>
        <v>0</v>
      </c>
      <c r="Y133" s="6">
        <f t="shared" si="228"/>
        <v>0</v>
      </c>
      <c r="Z133" s="6">
        <f t="shared" si="228"/>
        <v>0</v>
      </c>
      <c r="AA133" s="6">
        <f t="shared" si="228"/>
        <v>0</v>
      </c>
      <c r="AB133" s="6">
        <f t="shared" si="228"/>
        <v>-2.5576228050133083</v>
      </c>
      <c r="AC133" s="6">
        <f t="shared" si="228"/>
        <v>-0.82742064230492673</v>
      </c>
      <c r="AD133" s="6">
        <f t="shared" si="228"/>
        <v>-0.55510635748163262</v>
      </c>
      <c r="AE133" s="6">
        <f t="shared" si="228"/>
        <v>-0.36165942605532175</v>
      </c>
      <c r="AF133" s="6">
        <f t="shared" si="228"/>
        <v>-0.20988829969045303</v>
      </c>
      <c r="AG133" s="6">
        <f t="shared" si="228"/>
        <v>-0.11518647291492988</v>
      </c>
      <c r="AH133" s="6">
        <f t="shared" si="228"/>
        <v>-3.8865086156528901E-2</v>
      </c>
      <c r="AI133" s="6">
        <f t="shared" si="228"/>
        <v>2.1120598121547724E-2</v>
      </c>
      <c r="AJ133" s="6">
        <f t="shared" si="228"/>
        <v>7.0956736114947253E-2</v>
      </c>
      <c r="AK133" s="6">
        <f t="shared" si="228"/>
        <v>0.11243161528376995</v>
      </c>
      <c r="AL133" s="6">
        <f t="shared" si="228"/>
        <v>0.14821247578630428</v>
      </c>
      <c r="AM133" s="6">
        <f t="shared" si="228"/>
        <v>0.17896859751889094</v>
      </c>
      <c r="AN133" s="6">
        <f t="shared" si="228"/>
        <v>0.20565265514499989</v>
      </c>
      <c r="AO133" s="6">
        <f t="shared" si="228"/>
        <v>0.20706538826151738</v>
      </c>
      <c r="AP133" s="6">
        <f t="shared" si="228"/>
        <v>0.2096028244033375</v>
      </c>
      <c r="AQ133" s="6">
        <f t="shared" si="228"/>
        <v>0.21541501227189777</v>
      </c>
      <c r="AR133" s="6">
        <f t="shared" si="228"/>
        <v>0.21695592320325097</v>
      </c>
      <c r="AS133" s="6">
        <f t="shared" si="228"/>
        <v>0.21793490425040662</v>
      </c>
      <c r="AT133" s="6">
        <f t="shared" si="228"/>
        <v>0.21858225157172084</v>
      </c>
      <c r="AU133" s="6">
        <f t="shared" si="228"/>
        <v>0.21913360464977333</v>
      </c>
      <c r="AV133" s="6">
        <f t="shared" si="228"/>
        <v>0.21968495772782573</v>
      </c>
      <c r="AW133" s="6">
        <f t="shared" si="228"/>
        <v>0.22023631080587824</v>
      </c>
      <c r="AX133" s="6">
        <f t="shared" si="228"/>
        <v>0.22078766388393081</v>
      </c>
      <c r="AY133" s="6">
        <f t="shared" si="228"/>
        <v>0.22133901696198324</v>
      </c>
      <c r="AZ133" s="6">
        <f t="shared" ca="1" si="228"/>
        <v>0.22189037004003584</v>
      </c>
      <c r="BA133" s="6">
        <f t="shared" ca="1" si="228"/>
        <v>0.22244172311808832</v>
      </c>
      <c r="BB133" s="6">
        <f t="shared" ca="1" si="228"/>
        <v>0.22299307619614073</v>
      </c>
      <c r="BC133" s="6">
        <f t="shared" ca="1" si="228"/>
        <v>0.22709022441421337</v>
      </c>
      <c r="BD133" s="6">
        <f t="shared" ca="1" si="228"/>
        <v>0.22762901444639239</v>
      </c>
      <c r="BE133" s="6">
        <f t="shared" ca="1" si="228"/>
        <v>0.22816780447857149</v>
      </c>
      <c r="BF133" s="6">
        <f t="shared" ca="1" si="228"/>
        <v>0.22870659451075068</v>
      </c>
      <c r="BG133" s="6">
        <f t="shared" ca="1" si="228"/>
        <v>0.22924538454292967</v>
      </c>
      <c r="BH133" s="6">
        <f t="shared" ca="1" si="228"/>
        <v>0.22978417457510888</v>
      </c>
      <c r="BI133" s="6">
        <f t="shared" ca="1" si="228"/>
        <v>0.23075407366360334</v>
      </c>
      <c r="BJ133" s="6">
        <f t="shared" ref="BJ133:BO133" ca="1" si="229">IFERROR(BJ22/BJ$9,0)</f>
        <v>0.24014998599005385</v>
      </c>
      <c r="BK133" s="6">
        <f t="shared" ca="1" si="229"/>
        <v>0.26326094184446658</v>
      </c>
      <c r="BL133" s="6">
        <f t="shared" ca="1" si="229"/>
        <v>0.27611006895170981</v>
      </c>
      <c r="BM133" s="6">
        <f t="shared" ca="1" si="229"/>
        <v>0.28383846444056726</v>
      </c>
      <c r="BN133" s="6">
        <f t="shared" ca="1" si="229"/>
        <v>0.25334552842863189</v>
      </c>
      <c r="BO133" s="6">
        <f t="shared" ca="1" si="229"/>
        <v>0.22850971235668494</v>
      </c>
    </row>
    <row r="134" spans="1:67">
      <c r="A134" s="11"/>
      <c r="B134" s="11"/>
      <c r="C134" s="11" t="s">
        <v>478</v>
      </c>
      <c r="D134" s="33"/>
      <c r="E134" s="6"/>
      <c r="F134" s="6"/>
      <c r="G134" s="6">
        <f t="shared" si="209"/>
        <v>0</v>
      </c>
      <c r="H134" s="6">
        <f t="shared" ref="H134:BI134" si="230">IFERROR(H23/H$9,0)</f>
        <v>0</v>
      </c>
      <c r="I134" s="6">
        <f t="shared" si="230"/>
        <v>0</v>
      </c>
      <c r="J134" s="6">
        <f t="shared" si="230"/>
        <v>0</v>
      </c>
      <c r="K134" s="6">
        <f t="shared" si="230"/>
        <v>0</v>
      </c>
      <c r="L134" s="6">
        <f t="shared" si="230"/>
        <v>0</v>
      </c>
      <c r="M134" s="6">
        <f t="shared" si="230"/>
        <v>0</v>
      </c>
      <c r="N134" s="6">
        <f t="shared" si="230"/>
        <v>0</v>
      </c>
      <c r="O134" s="6">
        <f t="shared" si="230"/>
        <v>0</v>
      </c>
      <c r="P134" s="6">
        <f t="shared" si="230"/>
        <v>0</v>
      </c>
      <c r="Q134" s="6">
        <f t="shared" si="230"/>
        <v>0</v>
      </c>
      <c r="R134" s="6">
        <f t="shared" si="230"/>
        <v>0</v>
      </c>
      <c r="S134" s="6">
        <f t="shared" si="230"/>
        <v>0</v>
      </c>
      <c r="T134" s="6">
        <f t="shared" si="230"/>
        <v>0</v>
      </c>
      <c r="U134" s="6">
        <f t="shared" si="230"/>
        <v>0</v>
      </c>
      <c r="V134" s="6">
        <f t="shared" si="230"/>
        <v>0</v>
      </c>
      <c r="W134" s="6">
        <f t="shared" si="230"/>
        <v>0</v>
      </c>
      <c r="X134" s="6">
        <f t="shared" si="230"/>
        <v>0</v>
      </c>
      <c r="Y134" s="6">
        <f t="shared" si="230"/>
        <v>0</v>
      </c>
      <c r="Z134" s="6">
        <f t="shared" si="230"/>
        <v>0</v>
      </c>
      <c r="AA134" s="6">
        <f t="shared" si="230"/>
        <v>0</v>
      </c>
      <c r="AB134" s="6">
        <f t="shared" si="230"/>
        <v>0.73718042090763891</v>
      </c>
      <c r="AC134" s="6">
        <f t="shared" si="230"/>
        <v>0.55694832444099773</v>
      </c>
      <c r="AD134" s="6">
        <f t="shared" si="230"/>
        <v>0.44771675082485146</v>
      </c>
      <c r="AE134" s="6">
        <f t="shared" si="230"/>
        <v>0.3663715714497508</v>
      </c>
      <c r="AF134" s="6">
        <f t="shared" si="230"/>
        <v>0.31493184762213255</v>
      </c>
      <c r="AG134" s="6">
        <f t="shared" si="230"/>
        <v>0.27622957921849589</v>
      </c>
      <c r="AH134" s="6">
        <f t="shared" si="230"/>
        <v>0.24605492927667752</v>
      </c>
      <c r="AI134" s="6">
        <f t="shared" si="230"/>
        <v>0.22186914115537268</v>
      </c>
      <c r="AJ134" s="6">
        <f t="shared" si="230"/>
        <v>0.20205023144485892</v>
      </c>
      <c r="AK134" s="6">
        <f t="shared" si="230"/>
        <v>0.1855134341704813</v>
      </c>
      <c r="AL134" s="6">
        <f t="shared" si="230"/>
        <v>0.1715057941263026</v>
      </c>
      <c r="AM134" s="6">
        <f t="shared" si="230"/>
        <v>0.15948831059113286</v>
      </c>
      <c r="AN134" s="6">
        <f t="shared" si="230"/>
        <v>0.14906498303511831</v>
      </c>
      <c r="AO134" s="6">
        <f t="shared" si="230"/>
        <v>0.14921996179382171</v>
      </c>
      <c r="AP134" s="6">
        <f t="shared" si="230"/>
        <v>0.14937494055252515</v>
      </c>
      <c r="AQ134" s="6">
        <f t="shared" si="230"/>
        <v>0.14630959979904293</v>
      </c>
      <c r="AR134" s="6">
        <f t="shared" si="230"/>
        <v>0.1464612408904559</v>
      </c>
      <c r="AS134" s="6">
        <f t="shared" si="230"/>
        <v>0.14661288198186889</v>
      </c>
      <c r="AT134" s="6">
        <f t="shared" si="230"/>
        <v>0.14676452307328189</v>
      </c>
      <c r="AU134" s="6">
        <f t="shared" si="230"/>
        <v>0.14691616416469488</v>
      </c>
      <c r="AV134" s="6">
        <f t="shared" si="230"/>
        <v>0.14706780525610791</v>
      </c>
      <c r="AW134" s="6">
        <f t="shared" si="230"/>
        <v>0.1472194463475209</v>
      </c>
      <c r="AX134" s="6">
        <f t="shared" si="230"/>
        <v>0.14737108743893387</v>
      </c>
      <c r="AY134" s="6">
        <f t="shared" si="230"/>
        <v>0.14752272853034687</v>
      </c>
      <c r="AZ134" s="6">
        <f t="shared" si="230"/>
        <v>0.14767436962175989</v>
      </c>
      <c r="BA134" s="6">
        <f t="shared" si="230"/>
        <v>0.14782601071317289</v>
      </c>
      <c r="BB134" s="6">
        <f t="shared" si="230"/>
        <v>0.14797765180458589</v>
      </c>
      <c r="BC134" s="6">
        <f t="shared" si="230"/>
        <v>0.14493886159753441</v>
      </c>
      <c r="BD134" s="6">
        <f t="shared" si="230"/>
        <v>0.14508723661999698</v>
      </c>
      <c r="BE134" s="6">
        <f t="shared" si="230"/>
        <v>0.14523561164245957</v>
      </c>
      <c r="BF134" s="6">
        <f t="shared" si="230"/>
        <v>0.14538398666492211</v>
      </c>
      <c r="BG134" s="6">
        <f t="shared" si="230"/>
        <v>0.14553236168738468</v>
      </c>
      <c r="BH134" s="6">
        <f t="shared" si="230"/>
        <v>0.14568073670984724</v>
      </c>
      <c r="BI134" s="6">
        <f t="shared" si="230"/>
        <v>0.14428491981167874</v>
      </c>
      <c r="BJ134" s="6">
        <f t="shared" ref="BJ134:BO134" si="231">IFERROR(BJ23/BJ$9,0)</f>
        <v>0.14288137131627143</v>
      </c>
      <c r="BK134" s="6">
        <f t="shared" si="231"/>
        <v>0.12732271555162944</v>
      </c>
      <c r="BL134" s="6">
        <f t="shared" si="231"/>
        <v>0.12159692603048322</v>
      </c>
      <c r="BM134" s="6">
        <f t="shared" si="231"/>
        <v>0.12057361810650581</v>
      </c>
      <c r="BN134" s="6">
        <f t="shared" si="231"/>
        <v>0.11953772668866498</v>
      </c>
      <c r="BO134" s="6">
        <f t="shared" si="231"/>
        <v>0.11924802915450566</v>
      </c>
    </row>
    <row r="135" spans="1:67">
      <c r="A135" s="11"/>
      <c r="B135" s="11" t="s">
        <v>9</v>
      </c>
      <c r="C135" s="11"/>
      <c r="D135" s="33"/>
      <c r="E135" s="6"/>
      <c r="F135" s="6"/>
      <c r="G135" s="6">
        <f t="shared" si="209"/>
        <v>0</v>
      </c>
      <c r="H135" s="6">
        <f t="shared" ref="H135:BI135" si="232">IFERROR(H24/H$9,0)</f>
        <v>0</v>
      </c>
      <c r="I135" s="6">
        <f t="shared" si="232"/>
        <v>0</v>
      </c>
      <c r="J135" s="6">
        <f t="shared" si="232"/>
        <v>0</v>
      </c>
      <c r="K135" s="6">
        <f t="shared" si="232"/>
        <v>0</v>
      </c>
      <c r="L135" s="6">
        <f t="shared" si="232"/>
        <v>0</v>
      </c>
      <c r="M135" s="6">
        <f t="shared" si="232"/>
        <v>0</v>
      </c>
      <c r="N135" s="6">
        <f t="shared" si="232"/>
        <v>0</v>
      </c>
      <c r="O135" s="6">
        <f t="shared" si="232"/>
        <v>0</v>
      </c>
      <c r="P135" s="6">
        <f t="shared" si="232"/>
        <v>0</v>
      </c>
      <c r="Q135" s="6">
        <f t="shared" si="232"/>
        <v>0</v>
      </c>
      <c r="R135" s="6">
        <f t="shared" si="232"/>
        <v>0</v>
      </c>
      <c r="S135" s="6">
        <f t="shared" si="232"/>
        <v>0</v>
      </c>
      <c r="T135" s="6">
        <f t="shared" si="232"/>
        <v>0</v>
      </c>
      <c r="U135" s="6">
        <f t="shared" si="232"/>
        <v>0</v>
      </c>
      <c r="V135" s="6">
        <f t="shared" si="232"/>
        <v>0</v>
      </c>
      <c r="W135" s="6">
        <f t="shared" si="232"/>
        <v>0</v>
      </c>
      <c r="X135" s="6">
        <f t="shared" si="232"/>
        <v>0</v>
      </c>
      <c r="Y135" s="6">
        <f t="shared" si="232"/>
        <v>0</v>
      </c>
      <c r="Z135" s="6">
        <f t="shared" si="232"/>
        <v>0</v>
      </c>
      <c r="AA135" s="6">
        <f t="shared" si="232"/>
        <v>0</v>
      </c>
      <c r="AB135" s="6">
        <f t="shared" si="232"/>
        <v>-1.4845644129619635</v>
      </c>
      <c r="AC135" s="6">
        <f t="shared" si="232"/>
        <v>-5.362421982113612E-4</v>
      </c>
      <c r="AD135" s="6">
        <f t="shared" si="232"/>
        <v>0.11508681345821892</v>
      </c>
      <c r="AE135" s="6">
        <f t="shared" si="232"/>
        <v>0.18852759616245129</v>
      </c>
      <c r="AF135" s="6">
        <f t="shared" si="232"/>
        <v>0.26438942945349436</v>
      </c>
      <c r="AG135" s="6">
        <f t="shared" si="232"/>
        <v>0.30207377543495939</v>
      </c>
      <c r="AH135" s="6">
        <f t="shared" si="232"/>
        <v>0.33233890355139839</v>
      </c>
      <c r="AI135" s="6">
        <f t="shared" si="232"/>
        <v>0.35580083610697932</v>
      </c>
      <c r="AJ135" s="6">
        <f t="shared" si="232"/>
        <v>0.37502658639558012</v>
      </c>
      <c r="AK135" s="6">
        <f t="shared" si="232"/>
        <v>0.39106845447078248</v>
      </c>
      <c r="AL135" s="6">
        <f t="shared" si="232"/>
        <v>0.40465686036977694</v>
      </c>
      <c r="AM135" s="6">
        <f t="shared" si="232"/>
        <v>0.41631467308093634</v>
      </c>
      <c r="AN135" s="6">
        <f t="shared" si="232"/>
        <v>0.42642604124877886</v>
      </c>
      <c r="AO135" s="6">
        <f t="shared" si="232"/>
        <v>0.42634676263965787</v>
      </c>
      <c r="AP135" s="6">
        <f t="shared" si="232"/>
        <v>0.42735767943658864</v>
      </c>
      <c r="AQ135" s="6">
        <f t="shared" si="232"/>
        <v>0.42651997464266139</v>
      </c>
      <c r="AR135" s="6">
        <f t="shared" si="232"/>
        <v>0.42644170729970643</v>
      </c>
      <c r="AS135" s="6">
        <f t="shared" si="232"/>
        <v>0.42636343995675147</v>
      </c>
      <c r="AT135" s="6">
        <f t="shared" si="232"/>
        <v>0.42628517261379656</v>
      </c>
      <c r="AU135" s="6">
        <f t="shared" si="232"/>
        <v>0.4262069052708416</v>
      </c>
      <c r="AV135" s="6">
        <f t="shared" si="232"/>
        <v>0.42612863792788663</v>
      </c>
      <c r="AW135" s="6">
        <f t="shared" si="232"/>
        <v>0.42605037058493167</v>
      </c>
      <c r="AX135" s="6">
        <f t="shared" si="232"/>
        <v>0.42597210324197682</v>
      </c>
      <c r="AY135" s="6">
        <f t="shared" si="232"/>
        <v>0.4258938358990218</v>
      </c>
      <c r="AZ135" s="6">
        <f t="shared" si="232"/>
        <v>0.425815568556067</v>
      </c>
      <c r="BA135" s="6">
        <f t="shared" si="232"/>
        <v>0.42573730121311204</v>
      </c>
      <c r="BB135" s="6">
        <f t="shared" si="232"/>
        <v>0.42565903387015697</v>
      </c>
      <c r="BC135" s="6">
        <f t="shared" si="232"/>
        <v>0.42477507222717148</v>
      </c>
      <c r="BD135" s="6">
        <f t="shared" si="232"/>
        <v>0.42469780269898078</v>
      </c>
      <c r="BE135" s="6">
        <f t="shared" si="232"/>
        <v>0.42462053317079024</v>
      </c>
      <c r="BF135" s="6">
        <f t="shared" si="232"/>
        <v>0.42454326364259976</v>
      </c>
      <c r="BG135" s="6">
        <f t="shared" si="232"/>
        <v>0.42446599411440911</v>
      </c>
      <c r="BH135" s="6">
        <f t="shared" si="232"/>
        <v>0.42438872458621862</v>
      </c>
      <c r="BI135" s="6">
        <f t="shared" si="232"/>
        <v>0.42216101848270682</v>
      </c>
      <c r="BJ135" s="6">
        <f t="shared" ref="BJ135:BO135" si="233">IFERROR(BJ24/BJ$9,0)</f>
        <v>0.4203560135183958</v>
      </c>
      <c r="BK135" s="6">
        <f t="shared" si="233"/>
        <v>0.41851113206696916</v>
      </c>
      <c r="BL135" s="6">
        <f t="shared" si="233"/>
        <v>0.41662482937165468</v>
      </c>
      <c r="BM135" s="6">
        <f t="shared" si="233"/>
        <v>0.41469552889590844</v>
      </c>
      <c r="BN135" s="6">
        <f t="shared" si="233"/>
        <v>0.41228871818049001</v>
      </c>
      <c r="BO135" s="6">
        <f t="shared" si="233"/>
        <v>0.40686676186564241</v>
      </c>
    </row>
    <row r="136" spans="1:67">
      <c r="A136" s="11"/>
      <c r="B136" s="11"/>
      <c r="C136" s="11"/>
      <c r="D136" s="33"/>
      <c r="E136" s="33"/>
      <c r="F136" s="33"/>
      <c r="G136" s="33"/>
      <c r="H136" s="33"/>
      <c r="I136" s="33"/>
      <c r="J136" s="33"/>
      <c r="K136" s="33"/>
      <c r="L136" s="33"/>
      <c r="M136" s="33"/>
      <c r="N136" s="33"/>
      <c r="O136" s="33"/>
      <c r="P136" s="33"/>
      <c r="Q136" s="33"/>
      <c r="R136" s="33"/>
      <c r="S136" s="33"/>
      <c r="T136" s="33"/>
      <c r="U136" s="33"/>
      <c r="V136" s="33"/>
      <c r="W136" s="33"/>
      <c r="X136" s="33"/>
      <c r="Y136" s="33"/>
      <c r="Z136" s="33"/>
      <c r="AA136" s="33"/>
      <c r="AB136" s="33"/>
      <c r="AC136" s="33"/>
      <c r="AD136" s="33"/>
      <c r="AE136" s="33"/>
      <c r="AF136" s="33"/>
      <c r="AG136" s="33"/>
      <c r="AH136" s="33"/>
      <c r="AI136" s="33"/>
      <c r="AJ136" s="33"/>
      <c r="AK136" s="33"/>
      <c r="AL136" s="33"/>
      <c r="AM136" s="33"/>
      <c r="AN136" s="33"/>
      <c r="AO136" s="33"/>
      <c r="AP136" s="33"/>
      <c r="AQ136" s="33"/>
      <c r="AR136" s="33"/>
      <c r="AS136" s="33"/>
      <c r="AT136" s="33"/>
      <c r="AU136" s="33"/>
      <c r="AV136" s="33"/>
      <c r="AW136" s="33"/>
      <c r="AX136" s="33"/>
      <c r="AY136" s="33"/>
      <c r="AZ136" s="33"/>
      <c r="BA136" s="33"/>
      <c r="BB136" s="33"/>
      <c r="BC136" s="33"/>
      <c r="BD136" s="33"/>
      <c r="BE136" s="33"/>
      <c r="BF136" s="33"/>
      <c r="BG136" s="33"/>
      <c r="BH136" s="33"/>
      <c r="BI136" s="33"/>
      <c r="BJ136" s="33"/>
      <c r="BK136" s="33"/>
      <c r="BL136" s="33"/>
      <c r="BM136" s="33"/>
      <c r="BN136" s="33"/>
      <c r="BO136" s="33"/>
    </row>
    <row r="137" spans="1:67">
      <c r="A137" s="18" t="s">
        <v>570</v>
      </c>
      <c r="B137" s="18"/>
      <c r="C137" s="18"/>
      <c r="D137" s="39"/>
      <c r="E137" s="39"/>
      <c r="F137" s="39"/>
      <c r="G137" s="39"/>
      <c r="H137" s="39"/>
      <c r="I137" s="39"/>
      <c r="J137" s="39"/>
      <c r="K137" s="39"/>
      <c r="L137" s="39"/>
      <c r="M137" s="39"/>
      <c r="N137" s="39"/>
      <c r="O137" s="39"/>
      <c r="P137" s="39"/>
      <c r="Q137" s="39"/>
      <c r="R137" s="39"/>
      <c r="S137" s="39"/>
      <c r="T137" s="39"/>
      <c r="U137" s="39"/>
      <c r="V137" s="39"/>
      <c r="W137" s="39"/>
      <c r="X137" s="39"/>
      <c r="Y137" s="39"/>
      <c r="Z137" s="39"/>
      <c r="AA137" s="39"/>
      <c r="AB137" s="39"/>
      <c r="AC137" s="39"/>
      <c r="AD137" s="39"/>
      <c r="AE137" s="39"/>
      <c r="AF137" s="39"/>
      <c r="AG137" s="39"/>
      <c r="AH137" s="39"/>
      <c r="AI137" s="39"/>
      <c r="AJ137" s="39"/>
      <c r="AK137" s="39"/>
      <c r="AL137" s="39"/>
      <c r="AM137" s="39"/>
      <c r="AN137" s="39"/>
      <c r="AO137" s="39"/>
      <c r="AP137" s="39"/>
      <c r="AQ137" s="39"/>
      <c r="AR137" s="39"/>
      <c r="AS137" s="39"/>
      <c r="AT137" s="39"/>
      <c r="AU137" s="39"/>
      <c r="AV137" s="39"/>
      <c r="AW137" s="39"/>
      <c r="AX137" s="39"/>
      <c r="AY137" s="39"/>
      <c r="AZ137" s="39"/>
      <c r="BA137" s="39"/>
      <c r="BB137" s="39"/>
      <c r="BC137" s="39"/>
      <c r="BD137" s="39"/>
      <c r="BE137" s="39"/>
      <c r="BF137" s="39"/>
      <c r="BG137" s="39"/>
      <c r="BH137" s="39"/>
      <c r="BI137" s="39"/>
      <c r="BJ137" s="39"/>
      <c r="BK137" s="39"/>
      <c r="BL137" s="39"/>
      <c r="BM137" s="39"/>
      <c r="BN137" s="39"/>
      <c r="BO137" s="39"/>
    </row>
    <row r="138" spans="1:67">
      <c r="A138" s="11"/>
      <c r="B138" s="22" t="s">
        <v>571</v>
      </c>
      <c r="C138" s="11"/>
      <c r="D138" s="33"/>
      <c r="E138" s="33"/>
      <c r="F138" s="33"/>
      <c r="G138" s="33"/>
      <c r="H138" s="33"/>
      <c r="I138" s="33"/>
      <c r="J138" s="33"/>
      <c r="K138" s="33"/>
      <c r="L138" s="33"/>
      <c r="M138" s="33"/>
      <c r="N138" s="33"/>
      <c r="O138" s="33"/>
      <c r="P138" s="33"/>
      <c r="Q138" s="33"/>
      <c r="R138" s="33"/>
      <c r="S138" s="33"/>
      <c r="T138" s="33"/>
      <c r="U138" s="33"/>
      <c r="V138" s="33"/>
      <c r="W138" s="33"/>
      <c r="X138" s="33"/>
      <c r="Y138" s="33"/>
      <c r="Z138" s="33"/>
      <c r="AA138" s="33"/>
      <c r="AB138" s="33"/>
      <c r="AC138" s="33"/>
      <c r="AD138" s="33"/>
      <c r="AE138" s="33"/>
      <c r="AF138" s="33"/>
      <c r="AG138" s="33"/>
      <c r="AH138" s="33"/>
      <c r="AI138" s="33"/>
      <c r="AJ138" s="33"/>
      <c r="AK138" s="33"/>
      <c r="AL138" s="33"/>
      <c r="AM138" s="33"/>
      <c r="AN138" s="33"/>
      <c r="AO138" s="33"/>
      <c r="AP138" s="33"/>
      <c r="AQ138" s="33"/>
      <c r="AR138" s="33"/>
      <c r="AS138" s="33"/>
      <c r="AT138" s="33"/>
      <c r="AU138" s="33"/>
      <c r="AV138" s="33"/>
      <c r="AW138" s="33"/>
      <c r="AX138" s="33"/>
      <c r="AY138" s="33"/>
      <c r="AZ138" s="33"/>
      <c r="BA138" s="33"/>
      <c r="BB138" s="33"/>
      <c r="BC138" s="33"/>
      <c r="BD138" s="33"/>
      <c r="BE138" s="33"/>
      <c r="BF138" s="33"/>
      <c r="BG138" s="33"/>
      <c r="BH138" s="33"/>
      <c r="BI138" s="33"/>
      <c r="BJ138" s="33"/>
      <c r="BK138" s="33"/>
      <c r="BL138" s="33"/>
      <c r="BM138" s="33"/>
      <c r="BN138" s="33"/>
      <c r="BO138" s="33"/>
    </row>
    <row r="139" spans="1:67">
      <c r="A139" s="11"/>
      <c r="B139" s="11"/>
      <c r="C139" s="11" t="s">
        <v>572</v>
      </c>
      <c r="D139" s="33"/>
      <c r="E139" s="110"/>
      <c r="F139" s="110"/>
      <c r="G139" s="110">
        <f>IFERROR(G38/G54,0)</f>
        <v>1.4124340119942074</v>
      </c>
      <c r="H139" s="110">
        <f t="shared" ref="H139:BI139" si="234">IFERROR(H38/H54,0)</f>
        <v>1.2794698461857907</v>
      </c>
      <c r="I139" s="110">
        <f t="shared" si="234"/>
        <v>1.4124340119942074</v>
      </c>
      <c r="J139" s="110">
        <f t="shared" si="234"/>
        <v>1.3681986843401452</v>
      </c>
      <c r="K139" s="110">
        <f t="shared" si="234"/>
        <v>1.4124340119942074</v>
      </c>
      <c r="L139" s="110">
        <f t="shared" si="234"/>
        <v>1.3681986843401452</v>
      </c>
      <c r="M139" s="110">
        <f t="shared" si="234"/>
        <v>1.4124340119942074</v>
      </c>
      <c r="N139" s="110">
        <f t="shared" si="234"/>
        <v>1.4124340119942074</v>
      </c>
      <c r="O139" s="110">
        <f t="shared" si="234"/>
        <v>1.3681986843401452</v>
      </c>
      <c r="P139" s="110">
        <f t="shared" si="234"/>
        <v>1.1172256993769809</v>
      </c>
      <c r="Q139" s="110">
        <f t="shared" si="234"/>
        <v>1.082235855989039</v>
      </c>
      <c r="R139" s="110">
        <f t="shared" si="234"/>
        <v>0.71144725285315025</v>
      </c>
      <c r="S139" s="110">
        <f t="shared" si="234"/>
        <v>0.8334884347763557</v>
      </c>
      <c r="T139" s="110">
        <f t="shared" si="234"/>
        <v>0.39652193904122096</v>
      </c>
      <c r="U139" s="110">
        <f t="shared" si="234"/>
        <v>0.42304603275948721</v>
      </c>
      <c r="V139" s="110">
        <f t="shared" si="234"/>
        <v>0.37624807223342926</v>
      </c>
      <c r="W139" s="110">
        <f t="shared" si="234"/>
        <v>0.38841257505377941</v>
      </c>
      <c r="X139" s="110">
        <f t="shared" si="234"/>
        <v>0.37931049489502572</v>
      </c>
      <c r="Y139" s="110">
        <f t="shared" si="234"/>
        <v>0.39157400911730261</v>
      </c>
      <c r="Z139" s="110">
        <f t="shared" si="234"/>
        <v>0.36972620942665785</v>
      </c>
      <c r="AA139" s="110">
        <f t="shared" si="234"/>
        <v>0.35814693572084333</v>
      </c>
      <c r="AB139" s="110">
        <f t="shared" si="234"/>
        <v>2.668915425730813E-3</v>
      </c>
      <c r="AC139" s="110">
        <f t="shared" si="234"/>
        <v>2.5793287815434E-3</v>
      </c>
      <c r="AD139" s="110">
        <f t="shared" si="234"/>
        <v>2.4534423642472718E-3</v>
      </c>
      <c r="AE139" s="110">
        <f t="shared" si="234"/>
        <v>2.336861435734543E-3</v>
      </c>
      <c r="AF139" s="110">
        <f t="shared" si="234"/>
        <v>2.213346787684884E-3</v>
      </c>
      <c r="AG139" s="110">
        <f t="shared" si="234"/>
        <v>2.2409333342642691E-3</v>
      </c>
      <c r="AH139" s="110">
        <f t="shared" si="234"/>
        <v>2.208582830360233E-3</v>
      </c>
      <c r="AI139" s="110">
        <f t="shared" si="234"/>
        <v>2.2478691907088424E-3</v>
      </c>
      <c r="AJ139" s="110">
        <f t="shared" si="234"/>
        <v>2.2599290444050533E-3</v>
      </c>
      <c r="AK139" s="110">
        <f t="shared" si="234"/>
        <v>2.3600218231294777E-3</v>
      </c>
      <c r="AL139" s="110">
        <f t="shared" si="234"/>
        <v>2.465130162380222E-3</v>
      </c>
      <c r="AM139" s="110">
        <f t="shared" ca="1" si="234"/>
        <v>2.5660679642270355E-3</v>
      </c>
      <c r="AN139" s="110">
        <f t="shared" ca="1" si="234"/>
        <v>2.6865620620856877E-3</v>
      </c>
      <c r="AO139" s="110">
        <f t="shared" ca="1" si="234"/>
        <v>2.8171647571583161E-3</v>
      </c>
      <c r="AP139" s="110">
        <f t="shared" ca="1" si="234"/>
        <v>3.1042723830806735E-3</v>
      </c>
      <c r="AQ139" s="110">
        <f t="shared" ca="1" si="234"/>
        <v>3.318370003993913E-3</v>
      </c>
      <c r="AR139" s="110">
        <f t="shared" ca="1" si="234"/>
        <v>3.3386143542432686E-3</v>
      </c>
      <c r="AS139" s="110">
        <f t="shared" ca="1" si="234"/>
        <v>0.14827341001080194</v>
      </c>
      <c r="AT139" s="110">
        <f t="shared" ca="1" si="234"/>
        <v>0.22162067221360723</v>
      </c>
      <c r="AU139" s="110">
        <f t="shared" ca="1" si="234"/>
        <v>0.33582779289397552</v>
      </c>
      <c r="AV139" s="110">
        <f t="shared" ca="1" si="234"/>
        <v>0.40822099904475279</v>
      </c>
      <c r="AW139" s="110">
        <f t="shared" ca="1" si="234"/>
        <v>0.52464530371364704</v>
      </c>
      <c r="AX139" s="110">
        <f t="shared" ca="1" si="234"/>
        <v>0.61952764725760934</v>
      </c>
      <c r="AY139" s="110">
        <f t="shared" ca="1" si="234"/>
        <v>0.56452061338230419</v>
      </c>
      <c r="AZ139" s="110">
        <f t="shared" ca="1" si="234"/>
        <v>0.66142365266447134</v>
      </c>
      <c r="BA139" s="110">
        <f t="shared" ca="1" si="234"/>
        <v>0.71965102393723479</v>
      </c>
      <c r="BB139" s="110">
        <f t="shared" ca="1" si="234"/>
        <v>0.81814889966434234</v>
      </c>
      <c r="BC139" s="110">
        <f t="shared" ca="1" si="234"/>
        <v>0.88387857081041288</v>
      </c>
      <c r="BD139" s="110">
        <f t="shared" ca="1" si="234"/>
        <v>0.89628631301447648</v>
      </c>
      <c r="BE139" s="110">
        <f t="shared" ca="1" si="234"/>
        <v>1.0477282857093537</v>
      </c>
      <c r="BF139" s="110">
        <f t="shared" ca="1" si="234"/>
        <v>1.1069599210750836</v>
      </c>
      <c r="BG139" s="110">
        <f t="shared" ca="1" si="234"/>
        <v>1.2126051881778324</v>
      </c>
      <c r="BH139" s="110">
        <f t="shared" ca="1" si="234"/>
        <v>1.2711872099004069</v>
      </c>
      <c r="BI139" s="110">
        <f t="shared" ca="1" si="234"/>
        <v>1.4671763407929455</v>
      </c>
      <c r="BJ139" s="110">
        <f t="shared" ref="BJ139:BO139" ca="1" si="235">IFERROR(BJ38/BJ54,0)</f>
        <v>1.7991754905521204</v>
      </c>
      <c r="BK139" s="110">
        <f t="shared" ca="1" si="235"/>
        <v>2.0943030375657194</v>
      </c>
      <c r="BL139" s="110">
        <f t="shared" ca="1" si="235"/>
        <v>2.3998922198826578</v>
      </c>
      <c r="BM139" s="110">
        <f t="shared" ca="1" si="235"/>
        <v>3.7385007316967998</v>
      </c>
      <c r="BN139" s="110">
        <f t="shared" ca="1" si="235"/>
        <v>4.8520816749721991</v>
      </c>
      <c r="BO139" s="110">
        <f t="shared" ca="1" si="235"/>
        <v>6.0056721589930069</v>
      </c>
    </row>
    <row r="140" spans="1:67">
      <c r="A140" s="11"/>
      <c r="B140" s="11"/>
      <c r="C140" s="11" t="s">
        <v>573</v>
      </c>
      <c r="D140" s="33"/>
      <c r="E140" s="6"/>
      <c r="F140" s="6"/>
      <c r="G140" s="6">
        <f>IFERROR(G72/G9,0)</f>
        <v>0</v>
      </c>
      <c r="H140" s="6">
        <f t="shared" ref="H140:BI140" si="236">IFERROR(H72/H9,0)</f>
        <v>0</v>
      </c>
      <c r="I140" s="6">
        <f t="shared" si="236"/>
        <v>0</v>
      </c>
      <c r="J140" s="6">
        <f t="shared" si="236"/>
        <v>0</v>
      </c>
      <c r="K140" s="6">
        <f t="shared" si="236"/>
        <v>0</v>
      </c>
      <c r="L140" s="6">
        <f t="shared" si="236"/>
        <v>0</v>
      </c>
      <c r="M140" s="6">
        <f t="shared" si="236"/>
        <v>0</v>
      </c>
      <c r="N140" s="6">
        <f t="shared" si="236"/>
        <v>0</v>
      </c>
      <c r="O140" s="6">
        <f t="shared" si="236"/>
        <v>0</v>
      </c>
      <c r="P140" s="6">
        <f t="shared" si="236"/>
        <v>0</v>
      </c>
      <c r="Q140" s="6">
        <f t="shared" si="236"/>
        <v>0</v>
      </c>
      <c r="R140" s="6">
        <f t="shared" si="236"/>
        <v>0</v>
      </c>
      <c r="S140" s="6">
        <f t="shared" si="236"/>
        <v>0</v>
      </c>
      <c r="T140" s="6">
        <f t="shared" si="236"/>
        <v>0</v>
      </c>
      <c r="U140" s="6">
        <f t="shared" si="236"/>
        <v>0</v>
      </c>
      <c r="V140" s="6">
        <f t="shared" si="236"/>
        <v>0</v>
      </c>
      <c r="W140" s="6">
        <f t="shared" si="236"/>
        <v>0</v>
      </c>
      <c r="X140" s="6">
        <f t="shared" si="236"/>
        <v>0</v>
      </c>
      <c r="Y140" s="6">
        <f t="shared" si="236"/>
        <v>0</v>
      </c>
      <c r="Z140" s="6">
        <f t="shared" si="236"/>
        <v>0</v>
      </c>
      <c r="AA140" s="6">
        <f t="shared" si="236"/>
        <v>0</v>
      </c>
      <c r="AB140" s="6">
        <f t="shared" si="236"/>
        <v>-3.595271089346173</v>
      </c>
      <c r="AC140" s="6">
        <f t="shared" si="236"/>
        <v>-1.1134290251847512</v>
      </c>
      <c r="AD140" s="6">
        <f t="shared" si="236"/>
        <v>-0.32460510200561982</v>
      </c>
      <c r="AE140" s="6">
        <f t="shared" si="236"/>
        <v>-0.23111579195377899</v>
      </c>
      <c r="AF140" s="6">
        <f t="shared" si="236"/>
        <v>-0.21708918679783687</v>
      </c>
      <c r="AG140" s="6">
        <f t="shared" si="236"/>
        <v>0.11840939828571904</v>
      </c>
      <c r="AH140" s="6">
        <f t="shared" si="236"/>
        <v>3.0842723521924867E-2</v>
      </c>
      <c r="AI140" s="6">
        <f t="shared" si="236"/>
        <v>0.15614813643720538</v>
      </c>
      <c r="AJ140" s="6">
        <f t="shared" si="236"/>
        <v>0.1218394682109684</v>
      </c>
      <c r="AK140" s="6">
        <f t="shared" si="236"/>
        <v>0.23225714840873984</v>
      </c>
      <c r="AL140" s="6">
        <f t="shared" si="236"/>
        <v>0.22536203352914308</v>
      </c>
      <c r="AM140" s="6">
        <f t="shared" si="236"/>
        <v>0.21079027331210781</v>
      </c>
      <c r="AN140" s="6">
        <f t="shared" si="236"/>
        <v>0.31023740245379539</v>
      </c>
      <c r="AO140" s="6">
        <f t="shared" si="236"/>
        <v>0.31615299432538851</v>
      </c>
      <c r="AP140" s="6">
        <f t="shared" si="236"/>
        <v>0.3979051969418248</v>
      </c>
      <c r="AQ140" s="6">
        <f t="shared" si="236"/>
        <v>0.33086443057796683</v>
      </c>
      <c r="AR140" s="6">
        <f t="shared" si="236"/>
        <v>0.23453359328694939</v>
      </c>
      <c r="AS140" s="6">
        <f t="shared" si="236"/>
        <v>0.49331538528279073</v>
      </c>
      <c r="AT140" s="6">
        <f t="shared" si="236"/>
        <v>0.32520569564030111</v>
      </c>
      <c r="AU140" s="6">
        <f t="shared" si="236"/>
        <v>0.40607487606292852</v>
      </c>
      <c r="AV140" s="6">
        <f t="shared" si="236"/>
        <v>0.32660766171933764</v>
      </c>
      <c r="AW140" s="6">
        <f t="shared" si="236"/>
        <v>0.40748488666175281</v>
      </c>
      <c r="AX140" s="6">
        <f t="shared" si="236"/>
        <v>0.3681007654447439</v>
      </c>
      <c r="AY140" s="6">
        <f t="shared" si="236"/>
        <v>0.32871061083789349</v>
      </c>
      <c r="AZ140" s="6">
        <f t="shared" ca="1" si="236"/>
        <v>0.40959990255999029</v>
      </c>
      <c r="BA140" s="6">
        <f t="shared" ca="1" si="236"/>
        <v>0.33011257691693091</v>
      </c>
      <c r="BB140" s="6">
        <f t="shared" ca="1" si="236"/>
        <v>0.41100991315881535</v>
      </c>
      <c r="BC140" s="6">
        <f t="shared" ca="1" si="236"/>
        <v>0.34120590860815747</v>
      </c>
      <c r="BD140" s="6">
        <f t="shared" ca="1" si="236"/>
        <v>0.24387485570443912</v>
      </c>
      <c r="BE140" s="6">
        <f t="shared" ca="1" si="236"/>
        <v>0.50213004736273958</v>
      </c>
      <c r="BF140" s="6">
        <f t="shared" ca="1" si="236"/>
        <v>0.33396308163414112</v>
      </c>
      <c r="BG140" s="6">
        <f t="shared" ca="1" si="236"/>
        <v>0.41479048165160431</v>
      </c>
      <c r="BH140" s="6">
        <f t="shared" ca="1" si="236"/>
        <v>0.33533343173369312</v>
      </c>
      <c r="BI140" s="6">
        <f t="shared" ca="1" si="236"/>
        <v>0.37162450313026996</v>
      </c>
      <c r="BJ140" s="6">
        <f t="shared" ref="BJ140:BO140" ca="1" si="237">IFERROR(BJ72/BJ9,0)</f>
        <v>0.38010166420098801</v>
      </c>
      <c r="BK140" s="6">
        <f t="shared" ca="1" si="237"/>
        <v>0.38793300734635922</v>
      </c>
      <c r="BL140" s="6">
        <f t="shared" ca="1" si="237"/>
        <v>0.39506275487183895</v>
      </c>
      <c r="BM140" s="6">
        <f t="shared" ca="1" si="237"/>
        <v>0.40205278057272559</v>
      </c>
      <c r="BN140" s="6">
        <f t="shared" ca="1" si="237"/>
        <v>0.37001086349411511</v>
      </c>
      <c r="BO140" s="6">
        <f t="shared" ca="1" si="237"/>
        <v>0.34602952507114465</v>
      </c>
    </row>
    <row r="141" spans="1:67">
      <c r="A141" s="11"/>
      <c r="B141" s="11"/>
      <c r="C141" s="11" t="s">
        <v>574</v>
      </c>
      <c r="D141" s="33"/>
      <c r="E141" s="110"/>
      <c r="F141" s="110"/>
      <c r="G141" s="110">
        <f>IFERROR(G42/G54,0)</f>
        <v>1.4531667864046212</v>
      </c>
      <c r="H141" s="110">
        <f t="shared" ref="H141:BI141" si="238">IFERROR(H42/H54,0)</f>
        <v>1.320321490560437</v>
      </c>
      <c r="I141" s="110">
        <f t="shared" si="238"/>
        <v>1.4531667864046212</v>
      </c>
      <c r="J141" s="110">
        <f t="shared" si="238"/>
        <v>1.4089710051334814</v>
      </c>
      <c r="K141" s="110">
        <f t="shared" si="238"/>
        <v>1.4531667864046212</v>
      </c>
      <c r="L141" s="110">
        <f t="shared" si="238"/>
        <v>1.4089710051334814</v>
      </c>
      <c r="M141" s="110">
        <f t="shared" si="238"/>
        <v>1.4531667864046212</v>
      </c>
      <c r="N141" s="110">
        <f t="shared" si="238"/>
        <v>1.4531667864046212</v>
      </c>
      <c r="O141" s="110">
        <f t="shared" si="238"/>
        <v>1.4089710051334814</v>
      </c>
      <c r="P141" s="110">
        <f t="shared" si="238"/>
        <v>1.1494450469654656</v>
      </c>
      <c r="Q141" s="110">
        <f t="shared" si="238"/>
        <v>1.1144864844975124</v>
      </c>
      <c r="R141" s="110">
        <f t="shared" si="238"/>
        <v>0.73196447362897987</v>
      </c>
      <c r="S141" s="110">
        <f t="shared" si="238"/>
        <v>0.85800590038615776</v>
      </c>
      <c r="T141" s="110">
        <f t="shared" si="238"/>
        <v>0.40899022958511438</v>
      </c>
      <c r="U141" s="110">
        <f t="shared" si="238"/>
        <v>0.43549013651280083</v>
      </c>
      <c r="V141" s="110">
        <f t="shared" si="238"/>
        <v>0.38768450863703663</v>
      </c>
      <c r="W141" s="110">
        <f t="shared" si="238"/>
        <v>0.39983791889055492</v>
      </c>
      <c r="X141" s="110">
        <f t="shared" si="238"/>
        <v>0.3908400166978549</v>
      </c>
      <c r="Y141" s="110">
        <f t="shared" si="238"/>
        <v>0.40309234806678285</v>
      </c>
      <c r="Z141" s="110">
        <f t="shared" si="238"/>
        <v>0.38060188477672174</v>
      </c>
      <c r="AA141" s="110">
        <f t="shared" si="238"/>
        <v>0.36903316997901409</v>
      </c>
      <c r="AB141" s="110">
        <f t="shared" si="238"/>
        <v>0.28989136643336999</v>
      </c>
      <c r="AC141" s="110">
        <f t="shared" si="238"/>
        <v>0.28039127191135932</v>
      </c>
      <c r="AD141" s="110">
        <f t="shared" si="238"/>
        <v>0.29533801335854132</v>
      </c>
      <c r="AE141" s="110">
        <f t="shared" si="238"/>
        <v>0.3209272653913543</v>
      </c>
      <c r="AF141" s="110">
        <f t="shared" si="238"/>
        <v>0.36297745623257616</v>
      </c>
      <c r="AG141" s="110">
        <f t="shared" si="238"/>
        <v>0.37203717512998874</v>
      </c>
      <c r="AH141" s="110">
        <f t="shared" si="238"/>
        <v>0.40889548606501325</v>
      </c>
      <c r="AI141" s="110">
        <f t="shared" si="238"/>
        <v>0.43767158740635465</v>
      </c>
      <c r="AJ141" s="110">
        <f t="shared" si="238"/>
        <v>0.48536556163047451</v>
      </c>
      <c r="AK141" s="110">
        <f t="shared" si="238"/>
        <v>0.5272084439179302</v>
      </c>
      <c r="AL141" s="110">
        <f t="shared" si="238"/>
        <v>0.58604640251472717</v>
      </c>
      <c r="AM141" s="110">
        <f t="shared" ca="1" si="238"/>
        <v>0.66516769512627194</v>
      </c>
      <c r="AN141" s="110">
        <f t="shared" ca="1" si="238"/>
        <v>0.71575577806877644</v>
      </c>
      <c r="AO141" s="110">
        <f t="shared" ca="1" si="238"/>
        <v>0.77204591905910669</v>
      </c>
      <c r="AP141" s="110">
        <f t="shared" ca="1" si="238"/>
        <v>0.82715354806546293</v>
      </c>
      <c r="AQ141" s="110">
        <f t="shared" ca="1" si="238"/>
        <v>0.90359239146872239</v>
      </c>
      <c r="AR141" s="110">
        <f t="shared" ca="1" si="238"/>
        <v>0.99265359130960928</v>
      </c>
      <c r="AS141" s="110">
        <f t="shared" ca="1" si="238"/>
        <v>1.0856858953328048</v>
      </c>
      <c r="AT141" s="110">
        <f t="shared" ca="1" si="238"/>
        <v>1.1778241153256268</v>
      </c>
      <c r="AU141" s="110">
        <f t="shared" ca="1" si="238"/>
        <v>1.2732979691042277</v>
      </c>
      <c r="AV141" s="110">
        <f t="shared" ca="1" si="238"/>
        <v>1.3644822404659522</v>
      </c>
      <c r="AW141" s="110">
        <f t="shared" ca="1" si="238"/>
        <v>1.4621731625451972</v>
      </c>
      <c r="AX141" s="110">
        <f t="shared" ca="1" si="238"/>
        <v>1.5570843443002569</v>
      </c>
      <c r="AY141" s="110">
        <f t="shared" ca="1" si="238"/>
        <v>1.3464218993017227</v>
      </c>
      <c r="AZ141" s="110">
        <f t="shared" ca="1" si="238"/>
        <v>1.4268275132622448</v>
      </c>
      <c r="BA141" s="110">
        <f t="shared" ca="1" si="238"/>
        <v>1.501610007639999</v>
      </c>
      <c r="BB141" s="110">
        <f t="shared" ca="1" si="238"/>
        <v>1.5836099028967952</v>
      </c>
      <c r="BC141" s="110">
        <f t="shared" ca="1" si="238"/>
        <v>1.6622563650570863</v>
      </c>
      <c r="BD141" s="110">
        <f t="shared" ca="1" si="238"/>
        <v>1.7275573320214523</v>
      </c>
      <c r="BE141" s="110">
        <f t="shared" ca="1" si="238"/>
        <v>1.8261627837230445</v>
      </c>
      <c r="BF141" s="110">
        <f t="shared" ca="1" si="238"/>
        <v>1.9021256525454504</v>
      </c>
      <c r="BG141" s="110">
        <f t="shared" ca="1" si="238"/>
        <v>1.9910963833014426</v>
      </c>
      <c r="BH141" s="110">
        <f t="shared" ca="1" si="238"/>
        <v>2.0664101541814444</v>
      </c>
      <c r="BI141" s="110">
        <f t="shared" ca="1" si="238"/>
        <v>2.0876757430512782</v>
      </c>
      <c r="BJ141" s="110">
        <f t="shared" ref="BJ141:BO141" ca="1" si="239">IFERROR(BJ42/BJ54,0)</f>
        <v>2.4168652698395707</v>
      </c>
      <c r="BK141" s="110">
        <f t="shared" ca="1" si="239"/>
        <v>2.694878561463236</v>
      </c>
      <c r="BL141" s="110">
        <f t="shared" ca="1" si="239"/>
        <v>2.9934486624865242</v>
      </c>
      <c r="BM141" s="110">
        <f t="shared" ca="1" si="239"/>
        <v>4.5483512461864297</v>
      </c>
      <c r="BN141" s="110">
        <f t="shared" ca="1" si="239"/>
        <v>5.7210578372567715</v>
      </c>
      <c r="BO141" s="110">
        <f t="shared" ca="1" si="239"/>
        <v>6.9274795640038063</v>
      </c>
    </row>
    <row r="142" spans="1:67">
      <c r="A142" s="11"/>
      <c r="B142" s="11"/>
      <c r="C142" s="11" t="s">
        <v>575</v>
      </c>
      <c r="D142" s="33"/>
      <c r="E142" s="110"/>
      <c r="F142" s="110"/>
      <c r="G142" s="110">
        <f>IFERROR((G38+G39)/G54,0)</f>
        <v>1.4124340119942074</v>
      </c>
      <c r="H142" s="110">
        <f t="shared" ref="H142:BI142" si="240">IFERROR((H38+H39)/H54,0)</f>
        <v>1.2794698461857907</v>
      </c>
      <c r="I142" s="110">
        <f t="shared" si="240"/>
        <v>1.4124340119942074</v>
      </c>
      <c r="J142" s="110">
        <f t="shared" si="240"/>
        <v>1.3681986843401452</v>
      </c>
      <c r="K142" s="110">
        <f t="shared" si="240"/>
        <v>1.4124340119942074</v>
      </c>
      <c r="L142" s="110">
        <f t="shared" si="240"/>
        <v>1.3681986843401452</v>
      </c>
      <c r="M142" s="110">
        <f t="shared" si="240"/>
        <v>1.4124340119942074</v>
      </c>
      <c r="N142" s="110">
        <f t="shared" si="240"/>
        <v>1.4124340119942074</v>
      </c>
      <c r="O142" s="110">
        <f t="shared" si="240"/>
        <v>1.3681986843401452</v>
      </c>
      <c r="P142" s="110">
        <f t="shared" si="240"/>
        <v>1.1172256993769809</v>
      </c>
      <c r="Q142" s="110">
        <f t="shared" si="240"/>
        <v>1.082235855989039</v>
      </c>
      <c r="R142" s="110">
        <f t="shared" si="240"/>
        <v>0.71144725285315025</v>
      </c>
      <c r="S142" s="110">
        <f t="shared" si="240"/>
        <v>0.8334884347763557</v>
      </c>
      <c r="T142" s="110">
        <f t="shared" si="240"/>
        <v>0.39652193904122096</v>
      </c>
      <c r="U142" s="110">
        <f t="shared" si="240"/>
        <v>0.42304603275948721</v>
      </c>
      <c r="V142" s="110">
        <f t="shared" si="240"/>
        <v>0.37624807223342926</v>
      </c>
      <c r="W142" s="110">
        <f t="shared" si="240"/>
        <v>0.38841257505377941</v>
      </c>
      <c r="X142" s="110">
        <f t="shared" si="240"/>
        <v>0.37931049489502572</v>
      </c>
      <c r="Y142" s="110">
        <f t="shared" si="240"/>
        <v>0.39157400911730261</v>
      </c>
      <c r="Z142" s="110">
        <f t="shared" si="240"/>
        <v>0.36972620942665785</v>
      </c>
      <c r="AA142" s="110">
        <f t="shared" si="240"/>
        <v>0.35814693572084333</v>
      </c>
      <c r="AB142" s="110">
        <f t="shared" si="240"/>
        <v>0.10319955161692577</v>
      </c>
      <c r="AC142" s="110">
        <f t="shared" si="240"/>
        <v>0.13560229898778597</v>
      </c>
      <c r="AD142" s="110">
        <f t="shared" si="240"/>
        <v>0.15493714302452791</v>
      </c>
      <c r="AE142" s="110">
        <f t="shared" si="240"/>
        <v>0.18000850884142239</v>
      </c>
      <c r="AF142" s="110">
        <f t="shared" si="240"/>
        <v>0.21918301793274894</v>
      </c>
      <c r="AG142" s="110">
        <f t="shared" si="240"/>
        <v>0.22869301234795056</v>
      </c>
      <c r="AH142" s="110">
        <f t="shared" si="240"/>
        <v>0.26138424352470324</v>
      </c>
      <c r="AI142" s="110">
        <f t="shared" si="240"/>
        <v>0.2856482352379035</v>
      </c>
      <c r="AJ142" s="110">
        <f t="shared" si="240"/>
        <v>0.3258951736749211</v>
      </c>
      <c r="AK142" s="110">
        <f t="shared" si="240"/>
        <v>0.35895378869960953</v>
      </c>
      <c r="AL142" s="110">
        <f t="shared" si="240"/>
        <v>0.40578243210857373</v>
      </c>
      <c r="AM142" s="110">
        <f t="shared" ca="1" si="240"/>
        <v>0.46956701355462926</v>
      </c>
      <c r="AN142" s="110">
        <f t="shared" ca="1" si="240"/>
        <v>0.50945671125481029</v>
      </c>
      <c r="AO142" s="110">
        <f t="shared" ca="1" si="240"/>
        <v>0.55193662313407266</v>
      </c>
      <c r="AP142" s="110">
        <f t="shared" ca="1" si="240"/>
        <v>0.58866773317554977</v>
      </c>
      <c r="AQ142" s="110">
        <f t="shared" ca="1" si="240"/>
        <v>0.64304471077384329</v>
      </c>
      <c r="AR142" s="110">
        <f t="shared" ca="1" si="240"/>
        <v>0.71592799006371788</v>
      </c>
      <c r="AS142" s="110">
        <f t="shared" ca="1" si="240"/>
        <v>0.81430126679338954</v>
      </c>
      <c r="AT142" s="110">
        <f t="shared" ca="1" si="240"/>
        <v>0.90403043752514478</v>
      </c>
      <c r="AU142" s="110">
        <f t="shared" ca="1" si="240"/>
        <v>1.0018079262454043</v>
      </c>
      <c r="AV142" s="110">
        <f t="shared" ca="1" si="240"/>
        <v>1.0905807130791938</v>
      </c>
      <c r="AW142" s="110">
        <f t="shared" ca="1" si="240"/>
        <v>1.1905777204725578</v>
      </c>
      <c r="AX142" s="110">
        <f t="shared" ca="1" si="240"/>
        <v>1.2854362082842923</v>
      </c>
      <c r="AY142" s="110">
        <f t="shared" ca="1" si="240"/>
        <v>1.122350282966573</v>
      </c>
      <c r="AZ142" s="110">
        <f t="shared" ca="1" si="240"/>
        <v>1.204986642516916</v>
      </c>
      <c r="BA142" s="110">
        <f t="shared" ca="1" si="240"/>
        <v>1.2774472483265593</v>
      </c>
      <c r="BB142" s="110">
        <f t="shared" ca="1" si="240"/>
        <v>1.3616801023111103</v>
      </c>
      <c r="BC142" s="110">
        <f t="shared" ca="1" si="240"/>
        <v>1.4365771371459599</v>
      </c>
      <c r="BD142" s="110">
        <f t="shared" ca="1" si="240"/>
        <v>1.4945961767060487</v>
      </c>
      <c r="BE142" s="110">
        <f t="shared" ca="1" si="240"/>
        <v>1.6003944063677222</v>
      </c>
      <c r="BF142" s="110">
        <f t="shared" ca="1" si="240"/>
        <v>1.6740239025061927</v>
      </c>
      <c r="BG142" s="110">
        <f t="shared" ca="1" si="240"/>
        <v>1.7652388669681875</v>
      </c>
      <c r="BH142" s="110">
        <f t="shared" ca="1" si="240"/>
        <v>1.8382170702950846</v>
      </c>
      <c r="BI142" s="110">
        <f t="shared" ca="1" si="240"/>
        <v>1.8659798340526581</v>
      </c>
      <c r="BJ142" s="110">
        <f t="shared" ref="BJ142:BO142" ca="1" si="241">IFERROR((BJ38+BJ39)/BJ54,0)</f>
        <v>2.1961511732049432</v>
      </c>
      <c r="BK142" s="110">
        <f t="shared" ca="1" si="241"/>
        <v>2.4800267725230962</v>
      </c>
      <c r="BL142" s="110">
        <f t="shared" ca="1" si="241"/>
        <v>2.7808586903513324</v>
      </c>
      <c r="BM142" s="110">
        <f t="shared" ca="1" si="241"/>
        <v>4.2576410728390064</v>
      </c>
      <c r="BN142" s="110">
        <f t="shared" ca="1" si="241"/>
        <v>5.4090440542757561</v>
      </c>
      <c r="BO142" s="110">
        <f t="shared" ca="1" si="241"/>
        <v>6.595260679402597</v>
      </c>
    </row>
    <row r="143" spans="1:67">
      <c r="A143" s="11"/>
      <c r="B143" s="11"/>
      <c r="C143" s="11" t="s">
        <v>576</v>
      </c>
      <c r="D143" s="33"/>
      <c r="E143" s="24"/>
      <c r="F143" s="24"/>
      <c r="G143" s="24">
        <f>IFERROR(G39/G9*'01 Major Assumptions'!G$13,0)</f>
        <v>0</v>
      </c>
      <c r="H143" s="24">
        <f>IFERROR(H39/H9*'01 Major Assumptions'!H$13,0)</f>
        <v>0</v>
      </c>
      <c r="I143" s="24">
        <f>IFERROR(I39/I9*'01 Major Assumptions'!I$13,0)</f>
        <v>0</v>
      </c>
      <c r="J143" s="24">
        <f>IFERROR(J39/J9*'01 Major Assumptions'!J$13,0)</f>
        <v>0</v>
      </c>
      <c r="K143" s="24">
        <f>IFERROR(K39/K9*'01 Major Assumptions'!K$13,0)</f>
        <v>0</v>
      </c>
      <c r="L143" s="24">
        <f>IFERROR(L39/L9*'01 Major Assumptions'!L$13,0)</f>
        <v>0</v>
      </c>
      <c r="M143" s="24">
        <f>IFERROR(M39/M9*'01 Major Assumptions'!M$13,0)</f>
        <v>0</v>
      </c>
      <c r="N143" s="24">
        <f>IFERROR(N39/N9*'01 Major Assumptions'!N$13,0)</f>
        <v>0</v>
      </c>
      <c r="O143" s="24">
        <f>IFERROR(O39/O9*'01 Major Assumptions'!O$13,0)</f>
        <v>0</v>
      </c>
      <c r="P143" s="24">
        <f>IFERROR(P39/P9*'01 Major Assumptions'!P$13,0)</f>
        <v>0</v>
      </c>
      <c r="Q143" s="24">
        <f>IFERROR(Q39/Q9*'01 Major Assumptions'!Q$13,0)</f>
        <v>0</v>
      </c>
      <c r="R143" s="24">
        <f>IFERROR(R39/R9*'01 Major Assumptions'!R$13,0)</f>
        <v>0</v>
      </c>
      <c r="S143" s="24">
        <f>IFERROR(S39/S9*'01 Major Assumptions'!S$13,0)</f>
        <v>0</v>
      </c>
      <c r="T143" s="24">
        <f>IFERROR(T39/T9*'01 Major Assumptions'!T$13,0)</f>
        <v>0</v>
      </c>
      <c r="U143" s="24">
        <f>IFERROR(U39/U9*'01 Major Assumptions'!U$13,0)</f>
        <v>0</v>
      </c>
      <c r="V143" s="24">
        <f>IFERROR(V39/V9*'01 Major Assumptions'!V$13,0)</f>
        <v>0</v>
      </c>
      <c r="W143" s="24">
        <f>IFERROR(W39/W9*'01 Major Assumptions'!W$13,0)</f>
        <v>0</v>
      </c>
      <c r="X143" s="24">
        <f>IFERROR(X39/X9*'01 Major Assumptions'!X$13,0)</f>
        <v>0</v>
      </c>
      <c r="Y143" s="24">
        <f>IFERROR(Y39/Y9*'01 Major Assumptions'!Y$13,0)</f>
        <v>0</v>
      </c>
      <c r="Z143" s="24">
        <f>IFERROR(Z39/Z9*'01 Major Assumptions'!Z$13,0)</f>
        <v>0</v>
      </c>
      <c r="AA143" s="24">
        <f>IFERROR(AA39/AA9*'01 Major Assumptions'!AA$13,0)</f>
        <v>0</v>
      </c>
      <c r="AB143" s="24">
        <f>IFERROR(AB39/AB9*'01 Major Assumptions'!AB$13,0)</f>
        <v>45</v>
      </c>
      <c r="AC143" s="24">
        <f>IFERROR(AC39/AC9*'01 Major Assumptions'!AC$13,0)</f>
        <v>45</v>
      </c>
      <c r="AD143" s="24">
        <f>IFERROR(AD39/AD9*'01 Major Assumptions'!AD$13,0)</f>
        <v>45</v>
      </c>
      <c r="AE143" s="24">
        <f>IFERROR(AE39/AE9*'01 Major Assumptions'!AE$13,0)</f>
        <v>45</v>
      </c>
      <c r="AF143" s="24">
        <f>IFERROR(AF39/AF9*'01 Major Assumptions'!AF$13,0)</f>
        <v>44.999999999999993</v>
      </c>
      <c r="AG143" s="24">
        <f>IFERROR(AG39/AG9*'01 Major Assumptions'!AG$13,0)</f>
        <v>45</v>
      </c>
      <c r="AH143" s="24">
        <f>IFERROR(AH39/AH9*'01 Major Assumptions'!AH$13,0)</f>
        <v>45</v>
      </c>
      <c r="AI143" s="24">
        <f>IFERROR(AI39/AI9*'01 Major Assumptions'!AI$13,0)</f>
        <v>45</v>
      </c>
      <c r="AJ143" s="24">
        <f>IFERROR(AJ39/AJ9*'01 Major Assumptions'!AJ$13,0)</f>
        <v>45.000000000000007</v>
      </c>
      <c r="AK143" s="24">
        <f>IFERROR(AK39/AK9*'01 Major Assumptions'!AK$13,0)</f>
        <v>44.999999999999993</v>
      </c>
      <c r="AL143" s="24">
        <f>IFERROR(AL39/AL9*'01 Major Assumptions'!AL$13,0)</f>
        <v>45</v>
      </c>
      <c r="AM143" s="24">
        <f>IFERROR(AM39/AM9*'01 Major Assumptions'!AM$13,0)</f>
        <v>45.000000000000007</v>
      </c>
      <c r="AN143" s="24">
        <f>IFERROR(AN39/AN9*'01 Major Assumptions'!AN$13,0)</f>
        <v>45.000000000000007</v>
      </c>
      <c r="AO143" s="24">
        <f>IFERROR(AO39/AO9*'01 Major Assumptions'!AO$13,0)</f>
        <v>45</v>
      </c>
      <c r="AP143" s="24">
        <f>IFERROR(AP39/AP9*'01 Major Assumptions'!AP$13,0)</f>
        <v>45.000000000000007</v>
      </c>
      <c r="AQ143" s="24">
        <f>IFERROR(AQ39/AQ9*'01 Major Assumptions'!AQ$13,0)</f>
        <v>44.999999999999993</v>
      </c>
      <c r="AR143" s="24">
        <f>IFERROR(AR39/AR9*'01 Major Assumptions'!AR$13,0)</f>
        <v>44.999999999999993</v>
      </c>
      <c r="AS143" s="24">
        <f>IFERROR(AS39/AS9*'01 Major Assumptions'!AS$13,0)</f>
        <v>44.999999999999993</v>
      </c>
      <c r="AT143" s="24">
        <f>IFERROR(AT39/AT9*'01 Major Assumptions'!AT$13,0)</f>
        <v>45</v>
      </c>
      <c r="AU143" s="24">
        <f>IFERROR(AU39/AU9*'01 Major Assumptions'!AU$13,0)</f>
        <v>44.999999999999993</v>
      </c>
      <c r="AV143" s="24">
        <f>IFERROR(AV39/AV9*'01 Major Assumptions'!AV$13,0)</f>
        <v>45</v>
      </c>
      <c r="AW143" s="24">
        <f>IFERROR(AW39/AW9*'01 Major Assumptions'!AW$13,0)</f>
        <v>44.999999999999993</v>
      </c>
      <c r="AX143" s="24">
        <f>IFERROR(AX39/AX9*'01 Major Assumptions'!AX$13,0)</f>
        <v>44.999999999999993</v>
      </c>
      <c r="AY143" s="24">
        <f>IFERROR(AY39/AY9*'01 Major Assumptions'!AY$13,0)</f>
        <v>45</v>
      </c>
      <c r="AZ143" s="24">
        <f>IFERROR(AZ39/AZ9*'01 Major Assumptions'!AZ$13,0)</f>
        <v>44.999999999999993</v>
      </c>
      <c r="BA143" s="24">
        <f>IFERROR(BA39/BA9*'01 Major Assumptions'!BA$13,0)</f>
        <v>45</v>
      </c>
      <c r="BB143" s="24">
        <f>IFERROR(BB39/BB9*'01 Major Assumptions'!BB$13,0)</f>
        <v>44.999999999999993</v>
      </c>
      <c r="BC143" s="24">
        <f>IFERROR(BC39/BC9*'01 Major Assumptions'!BC$13,0)</f>
        <v>45</v>
      </c>
      <c r="BD143" s="24">
        <f>IFERROR(BD39/BD9*'01 Major Assumptions'!BD$13,0)</f>
        <v>45</v>
      </c>
      <c r="BE143" s="24">
        <f>IFERROR(BE39/BE9*'01 Major Assumptions'!BE$13,0)</f>
        <v>45</v>
      </c>
      <c r="BF143" s="24">
        <f>IFERROR(BF39/BF9*'01 Major Assumptions'!BF$13,0)</f>
        <v>45</v>
      </c>
      <c r="BG143" s="24">
        <f>IFERROR(BG39/BG9*'01 Major Assumptions'!BG$13,0)</f>
        <v>45</v>
      </c>
      <c r="BH143" s="24">
        <f>IFERROR(BH39/BH9*'01 Major Assumptions'!BH$13,0)</f>
        <v>45</v>
      </c>
      <c r="BI143" s="24">
        <f>IFERROR(BI39/BI9*'01 Major Assumptions'!BI$13,0)</f>
        <v>45</v>
      </c>
      <c r="BJ143" s="24">
        <f>IFERROR(BJ39/BJ9*'01 Major Assumptions'!BJ$13,0)</f>
        <v>45</v>
      </c>
      <c r="BK143" s="24">
        <f>IFERROR(BK39/BK9*'01 Major Assumptions'!BK$13,0)</f>
        <v>45</v>
      </c>
      <c r="BL143" s="24">
        <f>IFERROR(BL39/BL9*'01 Major Assumptions'!BL$13,0)</f>
        <v>45</v>
      </c>
      <c r="BM143" s="24">
        <f>IFERROR(BM39/BM9*'01 Major Assumptions'!BM$13,0)</f>
        <v>45.000000000000007</v>
      </c>
      <c r="BN143" s="24">
        <f>IFERROR(BN39/BN9*'01 Major Assumptions'!BN$13,0)</f>
        <v>45</v>
      </c>
      <c r="BO143" s="24">
        <f>IFERROR(BO39/BO9*'01 Major Assumptions'!BO$13,0)</f>
        <v>45</v>
      </c>
    </row>
    <row r="144" spans="1:67">
      <c r="A144" s="11"/>
      <c r="B144" s="11"/>
      <c r="C144" s="11" t="s">
        <v>577</v>
      </c>
      <c r="D144" s="33"/>
      <c r="E144" s="24"/>
      <c r="F144" s="24"/>
      <c r="G144" s="24">
        <f>IFERROR((G38+G39)/('05 Opex'!G$94/'01 Major Assumptions'!G$13),0)</f>
        <v>43.686583990980829</v>
      </c>
      <c r="H144" s="24">
        <f>IFERROR((H38+H39)/('05 Opex'!H$94/'01 Major Assumptions'!H$13),0)</f>
        <v>39.458850056369791</v>
      </c>
      <c r="I144" s="24">
        <f>IFERROR((I38+I39)/('05 Opex'!I$94/'01 Major Assumptions'!I$13),0)</f>
        <v>43.686583990980829</v>
      </c>
      <c r="J144" s="24">
        <f>IFERROR((J38+J39)/('05 Opex'!J$94/'01 Major Assumptions'!J$13),0)</f>
        <v>42.277339346110487</v>
      </c>
      <c r="K144" s="24">
        <f>IFERROR((K38+K39)/('05 Opex'!K$94/'01 Major Assumptions'!K$13),0)</f>
        <v>43.686583990980829</v>
      </c>
      <c r="L144" s="24">
        <f>IFERROR((L38+L39)/('05 Opex'!L$94/'01 Major Assumptions'!L$13),0)</f>
        <v>42.277339346110487</v>
      </c>
      <c r="M144" s="24">
        <f>IFERROR((M38+M39)/('05 Opex'!M$94/'01 Major Assumptions'!M$13),0)</f>
        <v>43.686583990980829</v>
      </c>
      <c r="N144" s="24">
        <f>IFERROR((N38+N39)/('05 Opex'!N$94/'01 Major Assumptions'!N$13),0)</f>
        <v>43.686583990980829</v>
      </c>
      <c r="O144" s="24">
        <f>IFERROR((O38+O39)/('05 Opex'!O$94/'01 Major Assumptions'!O$13),0)</f>
        <v>42.277339346110487</v>
      </c>
      <c r="P144" s="24">
        <f>IFERROR((P38+P39)/('05 Opex'!P$94/'01 Major Assumptions'!P$13),0)</f>
        <v>34.555790881730019</v>
      </c>
      <c r="Q144" s="24">
        <f>IFERROR((Q38+Q39)/('05 Opex'!Q$94/'01 Major Assumptions'!Q$13),0)</f>
        <v>33.441087950061309</v>
      </c>
      <c r="R144" s="24">
        <f>IFERROR((R38+R39)/('05 Opex'!R$94/'01 Major Assumptions'!R$13),0)</f>
        <v>22.005063530747936</v>
      </c>
      <c r="S144" s="24">
        <f>IFERROR((S38+S39)/('05 Opex'!S$94/'01 Major Assumptions'!S$13),0)</f>
        <v>25.779797287632682</v>
      </c>
      <c r="T144" s="24">
        <f>IFERROR((T38+T39)/('05 Opex'!T$94/'01 Major Assumptions'!T$13),0)</f>
        <v>12.24063225820249</v>
      </c>
      <c r="U144" s="24">
        <f>IFERROR((U38+U39)/('05 Opex'!U$94/'01 Major Assumptions'!U$13),0)</f>
        <v>13.084813793250937</v>
      </c>
      <c r="V144" s="24">
        <f>IFERROR((V38+V39)/('05 Opex'!V$94/'01 Major Assumptions'!V$13),0)</f>
        <v>11.626065432012965</v>
      </c>
      <c r="W144" s="24">
        <f>IFERROR((W38+W39)/('05 Opex'!W$94/'01 Major Assumptions'!W$13),0)</f>
        <v>12.013600946413396</v>
      </c>
      <c r="X144" s="24">
        <f>IFERROR((X38+X39)/('05 Opex'!X$94/'01 Major Assumptions'!X$13),0)</f>
        <v>11.720694292256292</v>
      </c>
      <c r="Y144" s="24">
        <f>IFERROR((Y38+Y39)/('05 Opex'!Y$94/'01 Major Assumptions'!Y$13),0)</f>
        <v>12.111384101998169</v>
      </c>
      <c r="Z144" s="24">
        <f>IFERROR((Z38+Z39)/('05 Opex'!Z$94/'01 Major Assumptions'!Z$13),0)</f>
        <v>11.435631657566526</v>
      </c>
      <c r="AA144" s="24">
        <f>IFERROR((AA38+AA39)/('05 Opex'!AA$94/'01 Major Assumptions'!AA$13),0)</f>
        <v>11.066740313774059</v>
      </c>
      <c r="AB144" s="24">
        <f>IFERROR((AB38+AB39)/('05 Opex'!AB$94/'01 Major Assumptions'!AB$13),0)</f>
        <v>18.592664507116069</v>
      </c>
      <c r="AC144" s="24">
        <f>IFERROR((AC38+AC39)/('05 Opex'!AC$94/'01 Major Assumptions'!AC$13),0)</f>
        <v>45.847968913779347</v>
      </c>
      <c r="AD144" s="24">
        <f>IFERROR((AD38+AD39)/('05 Opex'!AD$94/'01 Major Assumptions'!AD$13),0)</f>
        <v>51.670655021493225</v>
      </c>
      <c r="AE144" s="24">
        <f>IFERROR((AE38+AE39)/('05 Opex'!AE$94/'01 Major Assumptions'!AE$13),0)</f>
        <v>56.184130443217754</v>
      </c>
      <c r="AF144" s="24">
        <f>IFERROR((AF38+AF39)/('05 Opex'!AF$94/'01 Major Assumptions'!AF$13),0)</f>
        <v>61.797715998912032</v>
      </c>
      <c r="AG144" s="24">
        <f>IFERROR((AG38+AG39)/('05 Opex'!AG$94/'01 Major Assumptions'!AG$13),0)</f>
        <v>65.1147802722611</v>
      </c>
      <c r="AH144" s="24">
        <f>IFERROR((AH38+AH39)/('05 Opex'!AH$94/'01 Major Assumptions'!AH$13),0)</f>
        <v>67.973813015426757</v>
      </c>
      <c r="AI144" s="24">
        <f>IFERROR((AI38+AI39)/('05 Opex'!AI$94/'01 Major Assumptions'!AI$13),0)</f>
        <v>70.40824114043815</v>
      </c>
      <c r="AJ144" s="24">
        <f>IFERROR((AJ38+AJ39)/('05 Opex'!AJ$94/'01 Major Assumptions'!AJ$13),0)</f>
        <v>72.505856740637157</v>
      </c>
      <c r="AK144" s="24">
        <f>IFERROR((AK38+AK39)/('05 Opex'!AK$94/'01 Major Assumptions'!AK$13),0)</f>
        <v>74.389019533384797</v>
      </c>
      <c r="AL144" s="24">
        <f>IFERROR((AL38+AL39)/('05 Opex'!AL$94/'01 Major Assumptions'!AL$13),0)</f>
        <v>76.048656819748189</v>
      </c>
      <c r="AM144" s="24">
        <f>IFERROR((AM38+AM39)/('05 Opex'!AM$94/'01 Major Assumptions'!AM$13),0)</f>
        <v>77.519963347074011</v>
      </c>
      <c r="AN144" s="24">
        <f>IFERROR((AN38+AN39)/('05 Opex'!AN$94/'01 Major Assumptions'!AN$13),0)</f>
        <v>78.871363869087844</v>
      </c>
      <c r="AO144" s="24">
        <f>IFERROR((AO38+AO39)/('05 Opex'!AO$94/'01 Major Assumptions'!AO$13),0)</f>
        <v>78.847048990163614</v>
      </c>
      <c r="AP144" s="24">
        <f>IFERROR((AP38+AP39)/('05 Opex'!AP$94/'01 Major Assumptions'!AP$13),0)</f>
        <v>78.999680571969307</v>
      </c>
      <c r="AQ144" s="24">
        <f>IFERROR((AQ38+AQ39)/('05 Opex'!AQ$94/'01 Major Assumptions'!AQ$13),0)</f>
        <v>78.875323813637223</v>
      </c>
      <c r="AR144" s="24">
        <f>IFERROR((AR38+AR39)/('05 Opex'!AR$94/'01 Major Assumptions'!AR$13),0)</f>
        <v>78.825176067535281</v>
      </c>
      <c r="AS144" s="24">
        <f>IFERROR((AS38+AS39)/('05 Opex'!AS$94/'01 Major Assumptions'!AS$13),0)</f>
        <v>95.910997409319393</v>
      </c>
      <c r="AT144" s="24">
        <f>IFERROR((AT38+AT39)/('05 Opex'!AT$94/'01 Major Assumptions'!AT$13),0)</f>
        <v>103.90926180065993</v>
      </c>
      <c r="AU144" s="24">
        <f>IFERROR((AU38+AU39)/('05 Opex'!AU$94/'01 Major Assumptions'!AU$13),0)</f>
        <v>117.97239213836735</v>
      </c>
      <c r="AV144" s="24">
        <f>IFERROR((AV38+AV39)/('05 Opex'!AV$94/'01 Major Assumptions'!AV$13),0)</f>
        <v>125.3263511619207</v>
      </c>
      <c r="AW144" s="24">
        <f>IFERROR((AW38+AW39)/('05 Opex'!AW$94/'01 Major Assumptions'!AW$13),0)</f>
        <v>140.17363281540585</v>
      </c>
      <c r="AX144" s="24">
        <f>IFERROR((AX38+AX39)/('05 Opex'!AX$94/'01 Major Assumptions'!AX$13),0)</f>
        <v>151.32665963255258</v>
      </c>
      <c r="AY144" s="24">
        <f ca="1">IFERROR((AY38+AY39)/('05 Opex'!AY$94/'01 Major Assumptions'!AY$13),0)</f>
        <v>157.70559987849791</v>
      </c>
      <c r="AZ144" s="24">
        <f ca="1">IFERROR((AZ38+AZ39)/('05 Opex'!AZ$94/'01 Major Assumptions'!AZ$13),0)</f>
        <v>173.73745478858976</v>
      </c>
      <c r="BA144" s="24">
        <f ca="1">IFERROR((BA38+BA39)/('05 Opex'!BA$94/'01 Major Assumptions'!BA$13),0)</f>
        <v>179.46068083310948</v>
      </c>
      <c r="BB144" s="24">
        <f ca="1">IFERROR((BB38+BB39)/('05 Opex'!BB$94/'01 Major Assumptions'!BB$13),0)</f>
        <v>196.28781015046135</v>
      </c>
      <c r="BC144" s="24">
        <f ca="1">IFERROR((BC38+BC39)/('05 Opex'!BC$94/'01 Major Assumptions'!BC$13),0)</f>
        <v>203.33653936813511</v>
      </c>
      <c r="BD144" s="24">
        <f ca="1">IFERROR((BD38+BD39)/('05 Opex'!BD$94/'01 Major Assumptions'!BD$13),0)</f>
        <v>195.39533250580925</v>
      </c>
      <c r="BE144" s="24">
        <f ca="1">IFERROR((BE38+BE39)/('05 Opex'!BE$94/'01 Major Assumptions'!BE$13),0)</f>
        <v>226.47607859213051</v>
      </c>
      <c r="BF144" s="24">
        <f ca="1">IFERROR((BF38+BF39)/('05 Opex'!BF$94/'01 Major Assumptions'!BF$13),0)</f>
        <v>230.84976001861767</v>
      </c>
      <c r="BG144" s="24">
        <f ca="1">IFERROR((BG38+BG39)/('05 Opex'!BG$94/'01 Major Assumptions'!BG$13),0)</f>
        <v>249.75124236804425</v>
      </c>
      <c r="BH144" s="24">
        <f ca="1">IFERROR((BH38+BH39)/('05 Opex'!BH$94/'01 Major Assumptions'!BH$13),0)</f>
        <v>253.43937335863694</v>
      </c>
      <c r="BI144" s="24">
        <f ca="1">IFERROR((BI38+BI39)/('05 Opex'!BI$94/'01 Major Assumptions'!BI$13),0)</f>
        <v>364.3792768043881</v>
      </c>
      <c r="BJ144" s="24">
        <f ca="1">IFERROR((BJ38+BJ39)/('05 Opex'!BJ$94/'01 Major Assumptions'!BJ$13),0)</f>
        <v>429.48648948723638</v>
      </c>
      <c r="BK144" s="24">
        <f ca="1">IFERROR((BK38+BK39)/('05 Opex'!BK$94/'01 Major Assumptions'!BK$13),0)</f>
        <v>497.56647933957493</v>
      </c>
      <c r="BL144" s="24">
        <f ca="1">IFERROR((BL38+BL39)/('05 Opex'!BL$94/'01 Major Assumptions'!BL$13),0)</f>
        <v>563.06267497907766</v>
      </c>
      <c r="BM144" s="24">
        <f ca="1">IFERROR((BM38+BM39)/('05 Opex'!BM$94/'01 Major Assumptions'!BM$13),0)</f>
        <v>630.54333687004078</v>
      </c>
      <c r="BN144" s="24">
        <f ca="1">IFERROR((BN38+BN39)/('05 Opex'!BN$94/'01 Major Assumptions'!BN$13),0)</f>
        <v>743.60644211054398</v>
      </c>
      <c r="BO144" s="24">
        <f ca="1">IFERROR((BO38+BO39)/('05 Opex'!BO$94/'01 Major Assumptions'!BO$13),0)</f>
        <v>848.67849742035924</v>
      </c>
    </row>
    <row r="145" spans="1:67">
      <c r="A145" s="11"/>
      <c r="B145" s="11"/>
      <c r="C145" s="11"/>
      <c r="D145" s="33"/>
      <c r="E145" s="33"/>
      <c r="F145" s="33"/>
      <c r="G145" s="33"/>
      <c r="H145" s="33"/>
      <c r="I145" s="33"/>
      <c r="J145" s="33"/>
      <c r="K145" s="33"/>
      <c r="L145" s="33"/>
      <c r="M145" s="33"/>
      <c r="N145" s="33"/>
      <c r="O145" s="33"/>
      <c r="P145" s="33"/>
      <c r="Q145" s="33"/>
      <c r="R145" s="33"/>
      <c r="S145" s="33"/>
      <c r="T145" s="33"/>
      <c r="U145" s="33"/>
      <c r="V145" s="33"/>
      <c r="W145" s="33"/>
      <c r="X145" s="33"/>
      <c r="Y145" s="33"/>
      <c r="Z145" s="33"/>
      <c r="AA145" s="33"/>
      <c r="AB145" s="33"/>
      <c r="AC145" s="33"/>
      <c r="AD145" s="33"/>
      <c r="AE145" s="33"/>
      <c r="AF145" s="33"/>
      <c r="AG145" s="33"/>
      <c r="AH145" s="33"/>
      <c r="AI145" s="33"/>
      <c r="AJ145" s="33"/>
      <c r="AK145" s="33"/>
      <c r="AL145" s="33"/>
      <c r="AM145" s="33"/>
      <c r="AN145" s="33"/>
      <c r="AO145" s="33"/>
      <c r="AP145" s="33"/>
      <c r="AQ145" s="33"/>
      <c r="AR145" s="33"/>
      <c r="AS145" s="33"/>
      <c r="AT145" s="33"/>
      <c r="AU145" s="33"/>
      <c r="AV145" s="33"/>
      <c r="AW145" s="33"/>
      <c r="AX145" s="33"/>
      <c r="AY145" s="33"/>
      <c r="AZ145" s="33"/>
      <c r="BA145" s="33"/>
      <c r="BB145" s="33"/>
      <c r="BC145" s="33"/>
      <c r="BD145" s="33"/>
      <c r="BE145" s="33"/>
      <c r="BF145" s="33"/>
      <c r="BG145" s="33"/>
      <c r="BH145" s="33"/>
      <c r="BI145" s="33"/>
      <c r="BJ145" s="33"/>
      <c r="BK145" s="33"/>
      <c r="BL145" s="33"/>
      <c r="BM145" s="33"/>
      <c r="BN145" s="33"/>
      <c r="BO145" s="33"/>
    </row>
    <row r="146" spans="1:67">
      <c r="A146" s="11"/>
      <c r="B146" s="22" t="s">
        <v>578</v>
      </c>
      <c r="C146" s="11"/>
      <c r="D146" s="33"/>
      <c r="E146" s="33"/>
      <c r="F146" s="33"/>
      <c r="G146" s="33"/>
      <c r="H146" s="33"/>
      <c r="I146" s="33"/>
      <c r="J146" s="33"/>
      <c r="K146" s="33"/>
      <c r="L146" s="33"/>
      <c r="M146" s="33"/>
      <c r="N146" s="33"/>
      <c r="O146" s="33"/>
      <c r="P146" s="33"/>
      <c r="Q146" s="33"/>
      <c r="R146" s="33"/>
      <c r="S146" s="33"/>
      <c r="T146" s="33"/>
      <c r="U146" s="33"/>
      <c r="V146" s="33"/>
      <c r="W146" s="33"/>
      <c r="X146" s="33"/>
      <c r="Y146" s="33"/>
      <c r="Z146" s="33"/>
      <c r="AA146" s="33"/>
      <c r="AB146" s="33"/>
      <c r="AC146" s="33"/>
      <c r="AD146" s="33"/>
      <c r="AE146" s="33"/>
      <c r="AF146" s="33"/>
      <c r="AG146" s="33"/>
      <c r="AH146" s="33"/>
      <c r="AI146" s="33"/>
      <c r="AJ146" s="33"/>
      <c r="AK146" s="33"/>
      <c r="AL146" s="33"/>
      <c r="AM146" s="33"/>
      <c r="AN146" s="33"/>
      <c r="AO146" s="33"/>
      <c r="AP146" s="33"/>
      <c r="AQ146" s="33"/>
      <c r="AR146" s="33"/>
      <c r="AS146" s="33"/>
      <c r="AT146" s="33"/>
      <c r="AU146" s="33"/>
      <c r="AV146" s="33"/>
      <c r="AW146" s="33"/>
      <c r="AX146" s="33"/>
      <c r="AY146" s="33"/>
      <c r="AZ146" s="33"/>
      <c r="BA146" s="33"/>
      <c r="BB146" s="33"/>
      <c r="BC146" s="33"/>
      <c r="BD146" s="33"/>
      <c r="BE146" s="33"/>
      <c r="BF146" s="33"/>
      <c r="BG146" s="33"/>
      <c r="BH146" s="33"/>
      <c r="BI146" s="33"/>
      <c r="BJ146" s="33"/>
      <c r="BK146" s="33"/>
      <c r="BL146" s="33"/>
      <c r="BM146" s="33"/>
      <c r="BN146" s="33"/>
      <c r="BO146" s="33"/>
    </row>
    <row r="147" spans="1:67">
      <c r="A147" s="11"/>
      <c r="B147" s="11"/>
      <c r="C147" s="11" t="s">
        <v>579</v>
      </c>
      <c r="D147" s="33"/>
      <c r="E147" s="6"/>
      <c r="F147" s="6"/>
      <c r="G147" s="6">
        <f>IFERROR('06 Debt &amp; WC'!G$30/G46,0)</f>
        <v>0</v>
      </c>
      <c r="H147" s="6">
        <f>IFERROR('06 Debt &amp; WC'!H$30/H46,0)</f>
        <v>0</v>
      </c>
      <c r="I147" s="6">
        <f>IFERROR('06 Debt &amp; WC'!I$30/I46,0)</f>
        <v>0</v>
      </c>
      <c r="J147" s="6">
        <f>IFERROR('06 Debt &amp; WC'!J$30/J46,0)</f>
        <v>0</v>
      </c>
      <c r="K147" s="6">
        <f>IFERROR('06 Debt &amp; WC'!K$30/K46,0)</f>
        <v>0</v>
      </c>
      <c r="L147" s="6">
        <f>IFERROR('06 Debt &amp; WC'!L$30/L46,0)</f>
        <v>0</v>
      </c>
      <c r="M147" s="6">
        <f>IFERROR('06 Debt &amp; WC'!M$30/M46,0)</f>
        <v>0</v>
      </c>
      <c r="N147" s="6">
        <f>IFERROR('06 Debt &amp; WC'!N$30/N46,0)</f>
        <v>0</v>
      </c>
      <c r="O147" s="6">
        <f>IFERROR('06 Debt &amp; WC'!O$30/O46,0)</f>
        <v>0</v>
      </c>
      <c r="P147" s="6">
        <f>IFERROR('06 Debt &amp; WC'!P$30/P46,0)</f>
        <v>0</v>
      </c>
      <c r="Q147" s="6">
        <f>IFERROR('06 Debt &amp; WC'!Q$30/Q46,0)</f>
        <v>8.2043346480140195E-2</v>
      </c>
      <c r="R147" s="6">
        <f>IFERROR('06 Debt &amp; WC'!R$30/R46,0)</f>
        <v>0.15496749079427727</v>
      </c>
      <c r="S147" s="6">
        <f>IFERROR('06 Debt &amp; WC'!S$30/S46,0)</f>
        <v>0.21804970546982325</v>
      </c>
      <c r="T147" s="6">
        <f>IFERROR('06 Debt &amp; WC'!T$30/T46,0)</f>
        <v>0.27264134089902736</v>
      </c>
      <c r="U147" s="6">
        <f>IFERROR('06 Debt &amp; WC'!U$30/U46,0)</f>
        <v>0.32034856569691494</v>
      </c>
      <c r="V147" s="6">
        <f>IFERROR('06 Debt &amp; WC'!V$30/V46,0)</f>
        <v>0.36239499607851183</v>
      </c>
      <c r="W147" s="6">
        <f>IFERROR('06 Debt &amp; WC'!W$30/W46,0)</f>
        <v>0.39973185733090011</v>
      </c>
      <c r="X147" s="6">
        <f>IFERROR('06 Debt &amp; WC'!X$30/X46,0)</f>
        <v>0.43310743627249937</v>
      </c>
      <c r="Y147" s="6">
        <f>IFERROR('06 Debt &amp; WC'!Y$30/Y46,0)</f>
        <v>0.46312055151226922</v>
      </c>
      <c r="Z147" s="6">
        <f>IFERROR('06 Debt &amp; WC'!Z$30/Z46,0)</f>
        <v>0.4902541710661511</v>
      </c>
      <c r="AA147" s="6">
        <f>IFERROR('06 Debt &amp; WC'!AA$30/AA46,0)</f>
        <v>0.51512790724501512</v>
      </c>
      <c r="AB147" s="6">
        <f>IFERROR('06 Debt &amp; WC'!AB$30/AB46,0)</f>
        <v>0.49927675577804997</v>
      </c>
      <c r="AC147" s="6">
        <f>IFERROR('06 Debt &amp; WC'!AC$30/AC46,0)</f>
        <v>0.50186522565489888</v>
      </c>
      <c r="AD147" s="6">
        <f>IFERROR('06 Debt &amp; WC'!AD$30/AD46,0)</f>
        <v>0.50251915902428601</v>
      </c>
      <c r="AE147" s="6">
        <f>IFERROR('06 Debt &amp; WC'!AE$30/AE46,0)</f>
        <v>0.50228409272122509</v>
      </c>
      <c r="AF147" s="6">
        <f>IFERROR('06 Debt &amp; WC'!AF$30/AF46,0)</f>
        <v>0.50042043714897222</v>
      </c>
      <c r="AG147" s="6">
        <f>IFERROR('06 Debt &amp; WC'!AG$30/AG46,0)</f>
        <v>0.50270701597431511</v>
      </c>
      <c r="AH147" s="6">
        <f>IFERROR('06 Debt &amp; WC'!AH$30/AH46,0)</f>
        <v>0.50211641102867899</v>
      </c>
      <c r="AI147" s="6">
        <f>IFERROR('06 Debt &amp; WC'!AI$30/AI46,0)</f>
        <v>0.50314430073095251</v>
      </c>
      <c r="AJ147" s="6">
        <f>IFERROR('06 Debt &amp; WC'!AJ$30/AJ46,0)</f>
        <v>0.50239983000396604</v>
      </c>
      <c r="AK147" s="6">
        <f>IFERROR('06 Debt &amp; WC'!AK$30/AK46,0)</f>
        <v>0.50359602012161842</v>
      </c>
      <c r="AL147" s="6">
        <f>IFERROR('06 Debt &amp; WC'!AL$30/AL46,0)</f>
        <v>0.50382731637150391</v>
      </c>
      <c r="AM147" s="6">
        <f>IFERROR('06 Debt &amp; WC'!AM$30/AM46,0)</f>
        <v>0.50285111977555208</v>
      </c>
      <c r="AN147" s="6">
        <f>IFERROR('06 Debt &amp; WC'!AN$30/AN46,0)</f>
        <v>0.49829724924066593</v>
      </c>
      <c r="AO147" s="6">
        <f>IFERROR('06 Debt &amp; WC'!AO$30/AO46,0)</f>
        <v>0.49364923036072089</v>
      </c>
      <c r="AP147" s="6">
        <f>IFERROR('06 Debt &amp; WC'!AP$30/AP46,0)</f>
        <v>0.49151857077314032</v>
      </c>
      <c r="AQ147" s="6">
        <f>IFERROR('06 Debt &amp; WC'!AQ$30/AQ46,0)</f>
        <v>0.48710597373847253</v>
      </c>
      <c r="AR147" s="6">
        <f>IFERROR('06 Debt &amp; WC'!AR$30/AR46,0)</f>
        <v>0.47950717332401033</v>
      </c>
      <c r="AS147" s="6">
        <f>IFERROR('06 Debt &amp; WC'!AS$30/AS46,0)</f>
        <v>0.47326253166199117</v>
      </c>
      <c r="AT147" s="6">
        <f>IFERROR('06 Debt &amp; WC'!AT$30/AT46,0)</f>
        <v>0.46502019021054414</v>
      </c>
      <c r="AU147" s="6">
        <f>IFERROR('06 Debt &amp; WC'!AU$30/AU46,0)</f>
        <v>0.45760312547718235</v>
      </c>
      <c r="AV147" s="6">
        <f>IFERROR('06 Debt &amp; WC'!AV$30/AV46,0)</f>
        <v>0.44947355220304808</v>
      </c>
      <c r="AW147" s="6">
        <f>IFERROR('06 Debt &amp; WC'!AW$30/AW46,0)</f>
        <v>0.44213777339366017</v>
      </c>
      <c r="AX147" s="6">
        <f>IFERROR('06 Debt &amp; WC'!AX$30/AX46,0)</f>
        <v>0.43447790076836362</v>
      </c>
      <c r="AY147" s="6">
        <f ca="1">IFERROR('06 Debt &amp; WC'!AY$30/AY46,0)</f>
        <v>0.4265169061417266</v>
      </c>
      <c r="AZ147" s="6">
        <f ca="1">IFERROR('06 Debt &amp; WC'!AZ$30/AZ46,0)</f>
        <v>0.41930376489113602</v>
      </c>
      <c r="BA147" s="6">
        <f ca="1">IFERROR('06 Debt &amp; WC'!BA$30/BA46,0)</f>
        <v>0.41145469453381434</v>
      </c>
      <c r="BB147" s="6">
        <f ca="1">IFERROR('06 Debt &amp; WC'!BB$30/BB46,0)</f>
        <v>0.40432369618260161</v>
      </c>
      <c r="BC147" s="6">
        <f ca="1">IFERROR('06 Debt &amp; WC'!BC$30/BC46,0)</f>
        <v>0.39652651117781779</v>
      </c>
      <c r="BD147" s="6">
        <f ca="1">IFERROR('06 Debt &amp; WC'!BD$30/BD46,0)</f>
        <v>0.38799651744068603</v>
      </c>
      <c r="BE147" s="6">
        <f ca="1">IFERROR('06 Debt &amp; WC'!BE$30/BE46,0)</f>
        <v>0.38157239712768043</v>
      </c>
      <c r="BF147" s="6">
        <f ca="1">IFERROR('06 Debt &amp; WC'!BF$30/BF46,0)</f>
        <v>0.37387269842925608</v>
      </c>
      <c r="BG147" s="6">
        <f ca="1">IFERROR('06 Debt &amp; WC'!BG$30/BG46,0)</f>
        <v>0.36683732256588281</v>
      </c>
      <c r="BH147" s="6">
        <f ca="1">IFERROR('06 Debt &amp; WC'!BH$30/BH46,0)</f>
        <v>0.35926095446202755</v>
      </c>
      <c r="BI147" s="6">
        <f ca="1">IFERROR('06 Debt &amp; WC'!BI$30/BI46,0)</f>
        <v>0.27895685054917851</v>
      </c>
      <c r="BJ147" s="6">
        <f ca="1">IFERROR('06 Debt &amp; WC'!BJ$30/BJ46,0)</f>
        <v>0.21292745442266034</v>
      </c>
      <c r="BK147" s="6">
        <f ca="1">IFERROR('06 Debt &amp; WC'!BK$30/BK46,0)</f>
        <v>0.14549928677752064</v>
      </c>
      <c r="BL147" s="6">
        <f ca="1">IFERROR('06 Debt &amp; WC'!BL$30/BL46,0)</f>
        <v>7.9597906411270833E-2</v>
      </c>
      <c r="BM147" s="6">
        <f ca="1">IFERROR('06 Debt &amp; WC'!BM$30/BM46,0)</f>
        <v>1.5642196356515779E-2</v>
      </c>
      <c r="BN147" s="6">
        <f ca="1">IFERROR('06 Debt &amp; WC'!BN$30/BN46,0)</f>
        <v>1.4711277727209062E-2</v>
      </c>
      <c r="BO147" s="6">
        <f ca="1">IFERROR('06 Debt &amp; WC'!BO$30/BO46,0)</f>
        <v>1.3947388377661024E-2</v>
      </c>
    </row>
    <row r="148" spans="1:67">
      <c r="A148" s="11"/>
      <c r="B148" s="11"/>
      <c r="C148" s="11" t="s">
        <v>580</v>
      </c>
      <c r="D148" s="33"/>
      <c r="E148" s="110"/>
      <c r="F148" s="110"/>
      <c r="G148" s="110">
        <f>IFERROR(G56/G63,0)</f>
        <v>0</v>
      </c>
      <c r="H148" s="110">
        <f t="shared" ref="H148:BI148" si="242">IFERROR(H56/H63,0)</f>
        <v>0</v>
      </c>
      <c r="I148" s="110">
        <f t="shared" si="242"/>
        <v>0</v>
      </c>
      <c r="J148" s="110">
        <f t="shared" si="242"/>
        <v>0</v>
      </c>
      <c r="K148" s="110">
        <f t="shared" si="242"/>
        <v>0</v>
      </c>
      <c r="L148" s="110">
        <f t="shared" si="242"/>
        <v>0</v>
      </c>
      <c r="M148" s="110">
        <f t="shared" si="242"/>
        <v>0</v>
      </c>
      <c r="N148" s="110">
        <f t="shared" si="242"/>
        <v>0</v>
      </c>
      <c r="O148" s="110">
        <f t="shared" si="242"/>
        <v>0</v>
      </c>
      <c r="P148" s="110">
        <f t="shared" si="242"/>
        <v>0</v>
      </c>
      <c r="Q148" s="110">
        <f t="shared" si="242"/>
        <v>8.9434802728759769E-2</v>
      </c>
      <c r="R148" s="110">
        <f t="shared" si="242"/>
        <v>0.18356984556511086</v>
      </c>
      <c r="S148" s="110">
        <f t="shared" si="242"/>
        <v>0.27909169777109882</v>
      </c>
      <c r="T148" s="110">
        <f t="shared" si="242"/>
        <v>0.37551075410697937</v>
      </c>
      <c r="U148" s="110">
        <f t="shared" si="242"/>
        <v>0.47213579758567442</v>
      </c>
      <c r="V148" s="110">
        <f t="shared" si="242"/>
        <v>0.56944500865234271</v>
      </c>
      <c r="W148" s="110">
        <f t="shared" si="242"/>
        <v>0.66714315729683138</v>
      </c>
      <c r="X148" s="110">
        <f t="shared" si="242"/>
        <v>0.76543718784038561</v>
      </c>
      <c r="Y148" s="110">
        <f t="shared" si="242"/>
        <v>0.86418438485559723</v>
      </c>
      <c r="Z148" s="110">
        <f t="shared" si="242"/>
        <v>0.96361473826068478</v>
      </c>
      <c r="AA148" s="110">
        <f t="shared" si="242"/>
        <v>1.0645130686990014</v>
      </c>
      <c r="AB148" s="110">
        <f t="shared" si="242"/>
        <v>0.95772577081945021</v>
      </c>
      <c r="AC148" s="110">
        <f t="shared" si="242"/>
        <v>0.97854409986322965</v>
      </c>
      <c r="AD148" s="110">
        <f t="shared" si="242"/>
        <v>0.99664342647553661</v>
      </c>
      <c r="AE148" s="110">
        <f t="shared" si="242"/>
        <v>1.011555321767577</v>
      </c>
      <c r="AF148" s="110">
        <f t="shared" si="242"/>
        <v>1.0218887837945074</v>
      </c>
      <c r="AG148" s="110">
        <f t="shared" si="242"/>
        <v>1.0284693350838605</v>
      </c>
      <c r="AH148" s="110">
        <f t="shared" si="242"/>
        <v>1.0309867952758762</v>
      </c>
      <c r="AI148" s="110">
        <f t="shared" si="242"/>
        <v>1.0294665300468779</v>
      </c>
      <c r="AJ148" s="110">
        <f t="shared" si="242"/>
        <v>1.02389084117454</v>
      </c>
      <c r="AK148" s="110">
        <f t="shared" si="242"/>
        <v>1.0143995060186728</v>
      </c>
      <c r="AL148" s="110">
        <f t="shared" si="242"/>
        <v>1.0011524477848912</v>
      </c>
      <c r="AM148" s="110">
        <f t="shared" ca="1" si="242"/>
        <v>0.9844417463532622</v>
      </c>
      <c r="AN148" s="110">
        <f t="shared" ca="1" si="242"/>
        <v>0.95122817581080399</v>
      </c>
      <c r="AO148" s="110">
        <f t="shared" ca="1" si="242"/>
        <v>0.9192007473232584</v>
      </c>
      <c r="AP148" s="110">
        <f t="shared" ca="1" si="242"/>
        <v>0.88820896894927492</v>
      </c>
      <c r="AQ148" s="110">
        <f t="shared" ca="1" si="242"/>
        <v>0.85758069198243725</v>
      </c>
      <c r="AR148" s="110">
        <f t="shared" ca="1" si="242"/>
        <v>0.82805250403361275</v>
      </c>
      <c r="AS148" s="110">
        <f t="shared" ca="1" si="242"/>
        <v>0.79961262915022335</v>
      </c>
      <c r="AT148" s="110">
        <f t="shared" ca="1" si="242"/>
        <v>0.77222807670536253</v>
      </c>
      <c r="AU148" s="110">
        <f t="shared" ca="1" si="242"/>
        <v>0.74584948857116318</v>
      </c>
      <c r="AV148" s="110">
        <f t="shared" ca="1" si="242"/>
        <v>0.72042412492811747</v>
      </c>
      <c r="AW148" s="110">
        <f t="shared" ca="1" si="242"/>
        <v>0.69590286078277919</v>
      </c>
      <c r="AX148" s="110">
        <f t="shared" ca="1" si="242"/>
        <v>0.67223988153693126</v>
      </c>
      <c r="AY148" s="110">
        <f t="shared" ca="1" si="242"/>
        <v>0.6761955029317277</v>
      </c>
      <c r="AZ148" s="110">
        <f t="shared" ca="1" si="242"/>
        <v>0.65273796312421728</v>
      </c>
      <c r="BA148" s="110">
        <f t="shared" ca="1" si="242"/>
        <v>0.63009668448844713</v>
      </c>
      <c r="BB148" s="110">
        <f t="shared" ca="1" si="242"/>
        <v>0.60823125168468117</v>
      </c>
      <c r="BC148" s="110">
        <f t="shared" ca="1" si="242"/>
        <v>0.58671143734577946</v>
      </c>
      <c r="BD148" s="110">
        <f t="shared" ca="1" si="242"/>
        <v>0.56593515737758837</v>
      </c>
      <c r="BE148" s="110">
        <f t="shared" ca="1" si="242"/>
        <v>0.54586583540120293</v>
      </c>
      <c r="BF148" s="110">
        <f t="shared" ca="1" si="242"/>
        <v>0.52646924921119465</v>
      </c>
      <c r="BG148" s="110">
        <f t="shared" ca="1" si="242"/>
        <v>0.50771334441004701</v>
      </c>
      <c r="BH148" s="110">
        <f t="shared" ca="1" si="242"/>
        <v>0.48956806547048726</v>
      </c>
      <c r="BI148" s="110">
        <f t="shared" ca="1" si="242"/>
        <v>0.33921529677263373</v>
      </c>
      <c r="BJ148" s="110">
        <f t="shared" ref="BJ148:BO148" ca="1" si="243">IFERROR(BJ56/BJ63,0)</f>
        <v>0.21351288098462351</v>
      </c>
      <c r="BK148" s="110">
        <f t="shared" ca="1" si="243"/>
        <v>0.10766320070080061</v>
      </c>
      <c r="BL148" s="110">
        <f t="shared" ca="1" si="243"/>
        <v>1.9593006352901191E-2</v>
      </c>
      <c r="BM148" s="110">
        <f t="shared" ca="1" si="243"/>
        <v>0</v>
      </c>
      <c r="BN148" s="110">
        <f t="shared" ca="1" si="243"/>
        <v>0</v>
      </c>
      <c r="BO148" s="110">
        <f t="shared" ca="1" si="243"/>
        <v>0</v>
      </c>
    </row>
    <row r="149" spans="1:67">
      <c r="A149" s="11"/>
      <c r="B149" s="11"/>
      <c r="C149" s="11" t="s">
        <v>581</v>
      </c>
      <c r="D149" s="33"/>
      <c r="E149" s="6"/>
      <c r="F149" s="6"/>
      <c r="G149" s="6">
        <f>IFERROR(G58/G46,0)</f>
        <v>1.4798404453290611E-2</v>
      </c>
      <c r="H149" s="6">
        <f t="shared" ref="H149:BI149" si="244">IFERROR(H58/H46,0)</f>
        <v>8.2566480461260198E-3</v>
      </c>
      <c r="I149" s="6">
        <f t="shared" si="244"/>
        <v>5.0045485265856676E-3</v>
      </c>
      <c r="J149" s="6">
        <f t="shared" si="244"/>
        <v>1.0739732726291163E-3</v>
      </c>
      <c r="K149" s="6">
        <f t="shared" si="244"/>
        <v>8.9623160655358171E-4</v>
      </c>
      <c r="L149" s="6">
        <f t="shared" si="244"/>
        <v>8.1263982447481674E-4</v>
      </c>
      <c r="M149" s="6">
        <f t="shared" si="244"/>
        <v>7.0178988116773445E-4</v>
      </c>
      <c r="N149" s="6">
        <f t="shared" si="244"/>
        <v>6.3310592885703048E-4</v>
      </c>
      <c r="O149" s="6">
        <f t="shared" si="244"/>
        <v>5.9531146565432018E-4</v>
      </c>
      <c r="P149" s="6">
        <f t="shared" si="244"/>
        <v>6.5876296035356199E-4</v>
      </c>
      <c r="Q149" s="6">
        <f t="shared" si="244"/>
        <v>8.2646307959515164E-2</v>
      </c>
      <c r="R149" s="6">
        <f t="shared" si="244"/>
        <v>0.15581183653983363</v>
      </c>
      <c r="S149" s="6">
        <f t="shared" si="244"/>
        <v>0.2187166181895529</v>
      </c>
      <c r="T149" s="6">
        <f t="shared" si="244"/>
        <v>0.27394531869690608</v>
      </c>
      <c r="U149" s="6">
        <f t="shared" si="244"/>
        <v>0.32149062338620055</v>
      </c>
      <c r="V149" s="6">
        <f t="shared" si="244"/>
        <v>0.36359966182483289</v>
      </c>
      <c r="W149" s="6">
        <f t="shared" si="244"/>
        <v>0.40083046200974842</v>
      </c>
      <c r="X149" s="6">
        <f t="shared" si="244"/>
        <v>0.43416985331680269</v>
      </c>
      <c r="Y149" s="6">
        <f t="shared" si="244"/>
        <v>0.46409520973969537</v>
      </c>
      <c r="Z149" s="6">
        <f t="shared" si="244"/>
        <v>0.49123425410547888</v>
      </c>
      <c r="AA149" s="6">
        <f t="shared" si="244"/>
        <v>0.51609057475021847</v>
      </c>
      <c r="AB149" s="6">
        <f t="shared" si="244"/>
        <v>0.55315862014817674</v>
      </c>
      <c r="AC149" s="6">
        <f t="shared" si="244"/>
        <v>0.56039774448733648</v>
      </c>
      <c r="AD149" s="6">
        <f t="shared" si="244"/>
        <v>0.56781864376679858</v>
      </c>
      <c r="AE149" s="6">
        <f t="shared" si="244"/>
        <v>0.57438885143703455</v>
      </c>
      <c r="AF149" s="6">
        <f t="shared" si="244"/>
        <v>0.58025588491359559</v>
      </c>
      <c r="AG149" s="6">
        <f t="shared" si="244"/>
        <v>0.58103590133501692</v>
      </c>
      <c r="AH149" s="6">
        <f t="shared" si="244"/>
        <v>0.58254994424804973</v>
      </c>
      <c r="AI149" s="6">
        <f t="shared" si="244"/>
        <v>0.58107764468648126</v>
      </c>
      <c r="AJ149" s="6">
        <f t="shared" si="244"/>
        <v>0.57941959396404352</v>
      </c>
      <c r="AK149" s="6">
        <f t="shared" si="244"/>
        <v>0.57447363787964023</v>
      </c>
      <c r="AL149" s="6">
        <f t="shared" si="244"/>
        <v>0.56864512850486748</v>
      </c>
      <c r="AM149" s="6">
        <f t="shared" ca="1" si="244"/>
        <v>0.56217292986756984</v>
      </c>
      <c r="AN149" s="6">
        <f t="shared" ca="1" si="244"/>
        <v>0.55189061438018727</v>
      </c>
      <c r="AO149" s="6">
        <f t="shared" ca="1" si="244"/>
        <v>0.54154967693033518</v>
      </c>
      <c r="AP149" s="6">
        <f t="shared" ca="1" si="244"/>
        <v>0.52860079173937435</v>
      </c>
      <c r="AQ149" s="6">
        <f t="shared" ca="1" si="244"/>
        <v>0.51719986055122047</v>
      </c>
      <c r="AR149" s="6">
        <f t="shared" ca="1" si="244"/>
        <v>0.50888302530790885</v>
      </c>
      <c r="AS149" s="6">
        <f t="shared" ca="1" si="244"/>
        <v>0.49919136240772521</v>
      </c>
      <c r="AT149" s="6">
        <f t="shared" ca="1" si="244"/>
        <v>0.49166635731315511</v>
      </c>
      <c r="AU149" s="6">
        <f t="shared" ca="1" si="244"/>
        <v>0.4833407995759848</v>
      </c>
      <c r="AV149" s="6">
        <f t="shared" ca="1" si="244"/>
        <v>0.47592290320895009</v>
      </c>
      <c r="AW149" s="6">
        <f t="shared" ca="1" si="244"/>
        <v>0.46768467703970218</v>
      </c>
      <c r="AX149" s="6">
        <f t="shared" ca="1" si="244"/>
        <v>0.45992957877704022</v>
      </c>
      <c r="AY149" s="6">
        <f t="shared" ca="1" si="244"/>
        <v>0.47436687529406468</v>
      </c>
      <c r="AZ149" s="6">
        <f t="shared" ca="1" si="244"/>
        <v>0.46619387469057527</v>
      </c>
      <c r="BA149" s="6">
        <f t="shared" ca="1" si="244"/>
        <v>0.45894080633183504</v>
      </c>
      <c r="BB149" s="6">
        <f t="shared" ca="1" si="244"/>
        <v>0.4508560178320774</v>
      </c>
      <c r="BC149" s="6">
        <f t="shared" ca="1" si="244"/>
        <v>0.44342103508896508</v>
      </c>
      <c r="BD149" s="6">
        <f t="shared" ca="1" si="244"/>
        <v>0.43720654262743441</v>
      </c>
      <c r="BE149" s="6">
        <f t="shared" ca="1" si="244"/>
        <v>0.428072655581272</v>
      </c>
      <c r="BF149" s="6">
        <f t="shared" ca="1" si="244"/>
        <v>0.42095374636163052</v>
      </c>
      <c r="BG149" s="6">
        <f t="shared" ca="1" si="244"/>
        <v>0.41294565552316859</v>
      </c>
      <c r="BH149" s="6">
        <f t="shared" ca="1" si="244"/>
        <v>0.40594512391292287</v>
      </c>
      <c r="BI149" s="6">
        <f t="shared" ca="1" si="244"/>
        <v>0.37113701366896379</v>
      </c>
      <c r="BJ149" s="6">
        <f t="shared" ref="BJ149:BO149" ca="1" si="245">IFERROR(BJ58/BJ46,0)</f>
        <v>0.30959053186622831</v>
      </c>
      <c r="BK149" s="6">
        <f t="shared" ca="1" si="245"/>
        <v>0.24920551708972832</v>
      </c>
      <c r="BL149" s="6">
        <f t="shared" ca="1" si="245"/>
        <v>0.18748654517245228</v>
      </c>
      <c r="BM149" s="6">
        <f t="shared" ca="1" si="245"/>
        <v>0.12608799571279991</v>
      </c>
      <c r="BN149" s="6">
        <f t="shared" ca="1" si="245"/>
        <v>0.11327513541763168</v>
      </c>
      <c r="BO149" s="6">
        <f t="shared" ca="1" si="245"/>
        <v>0.1030261014663698</v>
      </c>
    </row>
    <row r="150" spans="1:67">
      <c r="A150" s="11"/>
      <c r="B150" s="11"/>
      <c r="C150" s="11" t="s">
        <v>582</v>
      </c>
      <c r="D150" s="33"/>
      <c r="E150" s="6"/>
      <c r="F150" s="6"/>
      <c r="G150" s="6">
        <f>IFERROR(G63/G46,0)</f>
        <v>0.98520159554670939</v>
      </c>
      <c r="H150" s="6">
        <f t="shared" ref="H150:BI150" si="246">IFERROR(H63/H46,0)</f>
        <v>0.99174335195387409</v>
      </c>
      <c r="I150" s="6">
        <f t="shared" si="246"/>
        <v>0.99499545147341428</v>
      </c>
      <c r="J150" s="6">
        <f t="shared" si="246"/>
        <v>0.99892602672737085</v>
      </c>
      <c r="K150" s="6">
        <f t="shared" si="246"/>
        <v>0.9991037683934465</v>
      </c>
      <c r="L150" s="6">
        <f t="shared" si="246"/>
        <v>0.99918736017552523</v>
      </c>
      <c r="M150" s="6">
        <f t="shared" si="246"/>
        <v>0.99929821011883224</v>
      </c>
      <c r="N150" s="6">
        <f t="shared" si="246"/>
        <v>0.99936689407114287</v>
      </c>
      <c r="O150" s="6">
        <f t="shared" si="246"/>
        <v>0.99940468853434572</v>
      </c>
      <c r="P150" s="6">
        <f t="shared" si="246"/>
        <v>0.99934123703964628</v>
      </c>
      <c r="Q150" s="6">
        <f t="shared" si="246"/>
        <v>0.91735369204048489</v>
      </c>
      <c r="R150" s="6">
        <f t="shared" si="246"/>
        <v>0.84418816346016612</v>
      </c>
      <c r="S150" s="6">
        <f t="shared" si="246"/>
        <v>0.78128338181044699</v>
      </c>
      <c r="T150" s="6">
        <f t="shared" si="246"/>
        <v>0.72605468130309381</v>
      </c>
      <c r="U150" s="6">
        <f t="shared" si="246"/>
        <v>0.6785093766137994</v>
      </c>
      <c r="V150" s="6">
        <f t="shared" si="246"/>
        <v>0.63640033817516706</v>
      </c>
      <c r="W150" s="6">
        <f t="shared" si="246"/>
        <v>0.59916953799025152</v>
      </c>
      <c r="X150" s="6">
        <f t="shared" si="246"/>
        <v>0.5658301466831972</v>
      </c>
      <c r="Y150" s="6">
        <f t="shared" si="246"/>
        <v>0.53590479026030469</v>
      </c>
      <c r="Z150" s="6">
        <f t="shared" si="246"/>
        <v>0.50876574589452117</v>
      </c>
      <c r="AA150" s="6">
        <f t="shared" si="246"/>
        <v>0.48390942524978159</v>
      </c>
      <c r="AB150" s="6">
        <f t="shared" si="246"/>
        <v>0.44684137985182332</v>
      </c>
      <c r="AC150" s="6">
        <f t="shared" si="246"/>
        <v>0.43960225551266352</v>
      </c>
      <c r="AD150" s="6">
        <f t="shared" si="246"/>
        <v>0.43218135623320131</v>
      </c>
      <c r="AE150" s="6">
        <f t="shared" si="246"/>
        <v>0.42561114856296556</v>
      </c>
      <c r="AF150" s="6">
        <f t="shared" si="246"/>
        <v>0.41974411508640441</v>
      </c>
      <c r="AG150" s="6">
        <f t="shared" si="246"/>
        <v>0.41896409866498335</v>
      </c>
      <c r="AH150" s="6">
        <f t="shared" si="246"/>
        <v>0.41745005575195032</v>
      </c>
      <c r="AI150" s="6">
        <f t="shared" si="246"/>
        <v>0.41892235531351885</v>
      </c>
      <c r="AJ150" s="6">
        <f t="shared" si="246"/>
        <v>0.42058040603595653</v>
      </c>
      <c r="AK150" s="6">
        <f t="shared" si="246"/>
        <v>0.42552636212035977</v>
      </c>
      <c r="AL150" s="6">
        <f t="shared" si="246"/>
        <v>0.43135487149513246</v>
      </c>
      <c r="AM150" s="6">
        <f t="shared" ca="1" si="246"/>
        <v>0.43782707013243022</v>
      </c>
      <c r="AN150" s="6">
        <f t="shared" ca="1" si="246"/>
        <v>0.44810938561981284</v>
      </c>
      <c r="AO150" s="6">
        <f t="shared" ca="1" si="246"/>
        <v>0.45845032306966477</v>
      </c>
      <c r="AP150" s="6">
        <f t="shared" ca="1" si="246"/>
        <v>0.47139920826062587</v>
      </c>
      <c r="AQ150" s="6">
        <f t="shared" ca="1" si="246"/>
        <v>0.48280013944877959</v>
      </c>
      <c r="AR150" s="6">
        <f t="shared" ca="1" si="246"/>
        <v>0.49111697469209126</v>
      </c>
      <c r="AS150" s="6">
        <f t="shared" ca="1" si="246"/>
        <v>0.50080863759227467</v>
      </c>
      <c r="AT150" s="6">
        <f t="shared" ca="1" si="246"/>
        <v>0.50833364268684467</v>
      </c>
      <c r="AU150" s="6">
        <f t="shared" ca="1" si="246"/>
        <v>0.51665920042401503</v>
      </c>
      <c r="AV150" s="6">
        <f t="shared" ca="1" si="246"/>
        <v>0.52407709679104975</v>
      </c>
      <c r="AW150" s="6">
        <f t="shared" ca="1" si="246"/>
        <v>0.5323153229602976</v>
      </c>
      <c r="AX150" s="6">
        <f t="shared" ca="1" si="246"/>
        <v>0.54007042122295967</v>
      </c>
      <c r="AY150" s="6">
        <f t="shared" ca="1" si="246"/>
        <v>0.52563312470593526</v>
      </c>
      <c r="AZ150" s="6">
        <f t="shared" ca="1" si="246"/>
        <v>0.53380612530942462</v>
      </c>
      <c r="BA150" s="6">
        <f t="shared" ca="1" si="246"/>
        <v>0.5410591936681648</v>
      </c>
      <c r="BB150" s="6">
        <f t="shared" ca="1" si="246"/>
        <v>0.54914398216792237</v>
      </c>
      <c r="BC150" s="6">
        <f t="shared" ca="1" si="246"/>
        <v>0.55657896491103465</v>
      </c>
      <c r="BD150" s="6">
        <f t="shared" ca="1" si="246"/>
        <v>0.56279345737256525</v>
      </c>
      <c r="BE150" s="6">
        <f t="shared" ca="1" si="246"/>
        <v>0.57192734441872761</v>
      </c>
      <c r="BF150" s="6">
        <f t="shared" ca="1" si="246"/>
        <v>0.57904625363836915</v>
      </c>
      <c r="BG150" s="6">
        <f t="shared" ca="1" si="246"/>
        <v>0.58705434447683114</v>
      </c>
      <c r="BH150" s="6">
        <f t="shared" ca="1" si="246"/>
        <v>0.59405487608707708</v>
      </c>
      <c r="BI150" s="6">
        <f t="shared" ca="1" si="246"/>
        <v>0.62886298633103588</v>
      </c>
      <c r="BJ150" s="6">
        <f t="shared" ref="BJ150:BO150" ca="1" si="247">IFERROR(BJ63/BJ46,0)</f>
        <v>0.69040946813377146</v>
      </c>
      <c r="BK150" s="6">
        <f t="shared" ca="1" si="247"/>
        <v>0.75079448291027162</v>
      </c>
      <c r="BL150" s="6">
        <f t="shared" ca="1" si="247"/>
        <v>0.81251345482754744</v>
      </c>
      <c r="BM150" s="6">
        <f t="shared" ca="1" si="247"/>
        <v>0.87391200428719973</v>
      </c>
      <c r="BN150" s="6">
        <f t="shared" ca="1" si="247"/>
        <v>0.88672486458236799</v>
      </c>
      <c r="BO150" s="6">
        <f t="shared" ca="1" si="247"/>
        <v>0.89697389853362997</v>
      </c>
    </row>
    <row r="151" spans="1:67">
      <c r="A151" s="11"/>
      <c r="B151" s="11"/>
      <c r="C151" s="11" t="s">
        <v>583</v>
      </c>
      <c r="D151" s="33"/>
      <c r="E151" s="110"/>
      <c r="F151" s="110"/>
      <c r="G151" s="110">
        <f>IFERROR(G58/G63,0)</f>
        <v>1.5020686649495997E-2</v>
      </c>
      <c r="H151" s="110">
        <f t="shared" ref="H151:BI151" si="248">IFERROR(H58/H63,0)</f>
        <v>8.3253878433964396E-3</v>
      </c>
      <c r="I151" s="110">
        <f t="shared" si="248"/>
        <v>5.0297200044229409E-3</v>
      </c>
      <c r="J151" s="110">
        <f t="shared" si="248"/>
        <v>1.0751279312919808E-3</v>
      </c>
      <c r="K151" s="110">
        <f t="shared" si="248"/>
        <v>8.9703555817301868E-4</v>
      </c>
      <c r="L151" s="110">
        <f t="shared" si="248"/>
        <v>8.1330074504951902E-4</v>
      </c>
      <c r="M151" s="110">
        <f t="shared" si="248"/>
        <v>7.0228273608563812E-4</v>
      </c>
      <c r="N151" s="110">
        <f t="shared" si="248"/>
        <v>6.3350700589843729E-4</v>
      </c>
      <c r="O151" s="110">
        <f t="shared" si="248"/>
        <v>5.9566607249697892E-4</v>
      </c>
      <c r="P151" s="110">
        <f t="shared" si="248"/>
        <v>6.5919721506241345E-4</v>
      </c>
      <c r="Q151" s="110">
        <f t="shared" si="248"/>
        <v>9.0092086265749494E-2</v>
      </c>
      <c r="R151" s="110">
        <f t="shared" si="248"/>
        <v>0.18457003223213964</v>
      </c>
      <c r="S151" s="110">
        <f t="shared" si="248"/>
        <v>0.27994530957861508</v>
      </c>
      <c r="T151" s="110">
        <f t="shared" si="248"/>
        <v>0.3773067315057318</v>
      </c>
      <c r="U151" s="110">
        <f t="shared" si="248"/>
        <v>0.47381898388883986</v>
      </c>
      <c r="V151" s="110">
        <f t="shared" si="248"/>
        <v>0.57133794565136342</v>
      </c>
      <c r="W151" s="110">
        <f t="shared" si="248"/>
        <v>0.66897670291153877</v>
      </c>
      <c r="X151" s="110">
        <f t="shared" si="248"/>
        <v>0.76731481322060091</v>
      </c>
      <c r="Y151" s="110">
        <f t="shared" si="248"/>
        <v>0.86600310012954118</v>
      </c>
      <c r="Z151" s="110">
        <f t="shared" si="248"/>
        <v>0.96554113178705037</v>
      </c>
      <c r="AA151" s="110">
        <f t="shared" si="248"/>
        <v>1.0665024234314628</v>
      </c>
      <c r="AB151" s="110">
        <f t="shared" si="248"/>
        <v>1.2379306060052209</v>
      </c>
      <c r="AC151" s="110">
        <f t="shared" si="248"/>
        <v>1.2747835968989774</v>
      </c>
      <c r="AD151" s="110">
        <f t="shared" si="248"/>
        <v>1.3138434492310878</v>
      </c>
      <c r="AE151" s="110">
        <f t="shared" si="248"/>
        <v>1.3495625135206217</v>
      </c>
      <c r="AF151" s="110">
        <f t="shared" si="248"/>
        <v>1.382403860013975</v>
      </c>
      <c r="AG151" s="110">
        <f t="shared" si="248"/>
        <v>1.3868393573255335</v>
      </c>
      <c r="AH151" s="110">
        <f t="shared" si="248"/>
        <v>1.3954961467155778</v>
      </c>
      <c r="AI151" s="110">
        <f t="shared" si="248"/>
        <v>1.3870771929839039</v>
      </c>
      <c r="AJ151" s="110">
        <f t="shared" si="248"/>
        <v>1.3776666379329792</v>
      </c>
      <c r="AK151" s="110">
        <f t="shared" si="248"/>
        <v>1.350030665590469</v>
      </c>
      <c r="AL151" s="110">
        <f t="shared" si="248"/>
        <v>1.318276820507136</v>
      </c>
      <c r="AM151" s="110">
        <f t="shared" ca="1" si="248"/>
        <v>1.284006787651409</v>
      </c>
      <c r="AN151" s="110">
        <f t="shared" ca="1" si="248"/>
        <v>1.2315979805172501</v>
      </c>
      <c r="AO151" s="110">
        <f t="shared" ca="1" si="248"/>
        <v>1.1812614141140936</v>
      </c>
      <c r="AP151" s="110">
        <f t="shared" ca="1" si="248"/>
        <v>1.121344250215887</v>
      </c>
      <c r="AQ151" s="110">
        <f t="shared" ca="1" si="248"/>
        <v>1.0712504373791516</v>
      </c>
      <c r="AR151" s="110">
        <f t="shared" ca="1" si="248"/>
        <v>1.036174784280173</v>
      </c>
      <c r="AS151" s="110">
        <f t="shared" ca="1" si="248"/>
        <v>0.99677067234238448</v>
      </c>
      <c r="AT151" s="110">
        <f t="shared" ca="1" si="248"/>
        <v>0.96721191757918468</v>
      </c>
      <c r="AU151" s="110">
        <f t="shared" ca="1" si="248"/>
        <v>0.93551184064720749</v>
      </c>
      <c r="AV151" s="110">
        <f t="shared" ca="1" si="248"/>
        <v>0.90811620298435058</v>
      </c>
      <c r="AW151" s="110">
        <f t="shared" ca="1" si="248"/>
        <v>0.87858578715868418</v>
      </c>
      <c r="AX151" s="110">
        <f t="shared" ca="1" si="248"/>
        <v>0.851610383948736</v>
      </c>
      <c r="AY151" s="110">
        <f t="shared" ca="1" si="248"/>
        <v>0.90246762047092932</v>
      </c>
      <c r="AZ151" s="110">
        <f t="shared" ca="1" si="248"/>
        <v>0.87333931288319822</v>
      </c>
      <c r="BA151" s="110">
        <f t="shared" ca="1" si="248"/>
        <v>0.84822661125190402</v>
      </c>
      <c r="BB151" s="110">
        <f t="shared" ca="1" si="248"/>
        <v>0.82101604036919129</v>
      </c>
      <c r="BC151" s="110">
        <f t="shared" ca="1" si="248"/>
        <v>0.79669025069936461</v>
      </c>
      <c r="BD151" s="110">
        <f t="shared" ca="1" si="248"/>
        <v>0.77685079117401112</v>
      </c>
      <c r="BE151" s="110">
        <f t="shared" ca="1" si="248"/>
        <v>0.74847383983072047</v>
      </c>
      <c r="BF151" s="110">
        <f t="shared" ca="1" si="248"/>
        <v>0.72697775646870533</v>
      </c>
      <c r="BG151" s="110">
        <f t="shared" ca="1" si="248"/>
        <v>0.70341981012196741</v>
      </c>
      <c r="BH151" s="110">
        <f t="shared" ca="1" si="248"/>
        <v>0.68334616927446801</v>
      </c>
      <c r="BI151" s="110">
        <f t="shared" ca="1" si="248"/>
        <v>0.59017150275337704</v>
      </c>
      <c r="BJ151" s="110">
        <f t="shared" ref="BJ151:BO151" ca="1" si="249">IFERROR(BJ58/BJ63,0)</f>
        <v>0.44841582590556683</v>
      </c>
      <c r="BK151" s="110">
        <f t="shared" ca="1" si="249"/>
        <v>0.33192241387249405</v>
      </c>
      <c r="BL151" s="110">
        <f t="shared" ca="1" si="249"/>
        <v>0.23074884982950283</v>
      </c>
      <c r="BM151" s="110">
        <f t="shared" ca="1" si="249"/>
        <v>0.14427996765606019</v>
      </c>
      <c r="BN151" s="110">
        <f t="shared" ca="1" si="249"/>
        <v>0.12774552732428712</v>
      </c>
      <c r="BO151" s="110">
        <f t="shared" ca="1" si="249"/>
        <v>0.11485964266607594</v>
      </c>
    </row>
    <row r="152" spans="1:67">
      <c r="A152" s="11"/>
      <c r="B152" s="11"/>
      <c r="C152" s="11" t="s">
        <v>584</v>
      </c>
      <c r="D152" s="33"/>
      <c r="E152" s="110"/>
      <c r="F152" s="110"/>
      <c r="G152" s="110">
        <f>IFERROR('06 Debt &amp; WC'!G$30/(G24*(12/'01 Major Assumptions'!G$14)),0)</f>
        <v>0</v>
      </c>
      <c r="H152" s="110">
        <f>IFERROR('06 Debt &amp; WC'!H$30/(H24*(12/'01 Major Assumptions'!H$14)),0)</f>
        <v>0</v>
      </c>
      <c r="I152" s="110">
        <f>IFERROR('06 Debt &amp; WC'!I$30/(I24*(12/'01 Major Assumptions'!I$14)),0)</f>
        <v>0</v>
      </c>
      <c r="J152" s="110">
        <f>IFERROR('06 Debt &amp; WC'!J$30/(J24*(12/'01 Major Assumptions'!J$14)),0)</f>
        <v>0</v>
      </c>
      <c r="K152" s="110">
        <f>IFERROR('06 Debt &amp; WC'!K$30/(K24*(12/'01 Major Assumptions'!K$14)),0)</f>
        <v>0</v>
      </c>
      <c r="L152" s="110">
        <f>IFERROR('06 Debt &amp; WC'!L$30/(L24*(12/'01 Major Assumptions'!L$14)),0)</f>
        <v>0</v>
      </c>
      <c r="M152" s="110">
        <f>IFERROR('06 Debt &amp; WC'!M$30/(M24*(12/'01 Major Assumptions'!M$14)),0)</f>
        <v>0</v>
      </c>
      <c r="N152" s="110">
        <f>IFERROR('06 Debt &amp; WC'!N$30/(N24*(12/'01 Major Assumptions'!N$14)),0)</f>
        <v>0</v>
      </c>
      <c r="O152" s="110">
        <f>IFERROR('06 Debt &amp; WC'!O$30/(O24*(12/'01 Major Assumptions'!O$14)),0)</f>
        <v>0</v>
      </c>
      <c r="P152" s="110">
        <f>IFERROR('06 Debt &amp; WC'!P$30/(P24*(12/'01 Major Assumptions'!P$14)),0)</f>
        <v>0</v>
      </c>
      <c r="Q152" s="110">
        <f>IFERROR('06 Debt &amp; WC'!Q$30/(Q24*(12/'01 Major Assumptions'!Q$14)),0)</f>
        <v>-11.679110767593158</v>
      </c>
      <c r="R152" s="110">
        <f>IFERROR('06 Debt &amp; WC'!R$30/(R24*(12/'01 Major Assumptions'!R$14)),0)</f>
        <v>-15.260095860797602</v>
      </c>
      <c r="S152" s="110">
        <f>IFERROR('06 Debt &amp; WC'!S$30/(S24*(12/'01 Major Assumptions'!S$14)),0)</f>
        <v>-27.18463360234761</v>
      </c>
      <c r="T152" s="110">
        <f>IFERROR('06 Debt &amp; WC'!T$30/(T24*(12/'01 Major Assumptions'!T$14)),0)</f>
        <v>-18.547223167600386</v>
      </c>
      <c r="U152" s="110">
        <f>IFERROR('06 Debt &amp; WC'!U$30/(U24*(12/'01 Major Assumptions'!U$14)),0)</f>
        <v>-23.3223184904558</v>
      </c>
      <c r="V152" s="110">
        <f>IFERROR('06 Debt &amp; WC'!V$30/(V24*(12/'01 Major Assumptions'!V$14)),0)</f>
        <v>-25.820913885641346</v>
      </c>
      <c r="W152" s="110">
        <f>IFERROR('06 Debt &amp; WC'!W$30/(W24*(12/'01 Major Assumptions'!W$14)),0)</f>
        <v>-30.252710907348089</v>
      </c>
      <c r="X152" s="110">
        <f>IFERROR('06 Debt &amp; WC'!X$30/(X24*(12/'01 Major Assumptions'!X$14)),0)</f>
        <v>-34.991018965719817</v>
      </c>
      <c r="Y152" s="110">
        <f>IFERROR('06 Debt &amp; WC'!Y$30/(Y24*(12/'01 Major Assumptions'!Y$14)),0)</f>
        <v>-39.5074210311017</v>
      </c>
      <c r="Z152" s="110">
        <f>IFERROR('06 Debt &amp; WC'!Z$30/(Z24*(12/'01 Major Assumptions'!Z$14)),0)</f>
        <v>-41.590620887089116</v>
      </c>
      <c r="AA152" s="110">
        <f>IFERROR('06 Debt &amp; WC'!AA$30/(AA24*(12/'01 Major Assumptions'!AA$14)),0)</f>
        <v>-45.929820143376702</v>
      </c>
      <c r="AB152" s="110">
        <f>IFERROR('06 Debt &amp; WC'!AB$30/(AB24*(12/'01 Major Assumptions'!AB$14)),0)</f>
        <v>-3.2320973672344864</v>
      </c>
      <c r="AC152" s="110">
        <f>IFERROR('06 Debt &amp; WC'!AC$30/(AC24*(12/'01 Major Assumptions'!AC$14)),0)</f>
        <v>-6753.1534193176922</v>
      </c>
      <c r="AD152" s="110">
        <f>IFERROR('06 Debt &amp; WC'!AD$30/(AD24*(12/'01 Major Assumptions'!AD$14)),0)</f>
        <v>25.268180557039418</v>
      </c>
      <c r="AE152" s="110">
        <f>IFERROR('06 Debt &amp; WC'!AE$30/(AE24*(12/'01 Major Assumptions'!AE$14)),0)</f>
        <v>12.609184593100407</v>
      </c>
      <c r="AF152" s="110">
        <f>IFERROR('06 Debt &amp; WC'!AF$30/(AF24*(12/'01 Major Assumptions'!AF$14)),0)</f>
        <v>7.7207076697326684</v>
      </c>
      <c r="AG152" s="110">
        <f>IFERROR('06 Debt &amp; WC'!AG$30/(AG24*(12/'01 Major Assumptions'!AG$14)),0)</f>
        <v>5.9208860276773025</v>
      </c>
      <c r="AH152" s="110">
        <f>IFERROR('06 Debt &amp; WC'!AH$30/(AH24*(12/'01 Major Assumptions'!AH$14)),0)</f>
        <v>4.7887904563161241</v>
      </c>
      <c r="AI152" s="110">
        <f>IFERROR('06 Debt &amp; WC'!AI$30/(AI24*(12/'01 Major Assumptions'!AI$14)),0)</f>
        <v>4.0291252118957628</v>
      </c>
      <c r="AJ152" s="110">
        <f>IFERROR('06 Debt &amp; WC'!AJ$30/(AJ24*(12/'01 Major Assumptions'!AJ$14)),0)</f>
        <v>3.4774786720326532</v>
      </c>
      <c r="AK152" s="110">
        <f>IFERROR('06 Debt &amp; WC'!AK$30/(AK24*(12/'01 Major Assumptions'!AK$14)),0)</f>
        <v>3.0586979117518114</v>
      </c>
      <c r="AL152" s="110">
        <f>IFERROR('06 Debt &amp; WC'!AL$30/(AL24*(12/'01 Major Assumptions'!AL$14)),0)</f>
        <v>2.7299405845755116</v>
      </c>
      <c r="AM152" s="110">
        <f>IFERROR('06 Debt &amp; WC'!AM$30/(AM24*(12/'01 Major Assumptions'!AM$14)),0)</f>
        <v>2.4649959855675694</v>
      </c>
      <c r="AN152" s="110">
        <f>IFERROR('06 Debt &amp; WC'!AN$30/(AN24*(12/'01 Major Assumptions'!AN$14)),0)</f>
        <v>2.2201792550480026</v>
      </c>
      <c r="AO152" s="110">
        <f>IFERROR('06 Debt &amp; WC'!AO$30/(AO24*(12/'01 Major Assumptions'!AO$14)),0)</f>
        <v>2.1938379727856474</v>
      </c>
      <c r="AP152" s="110">
        <f>IFERROR('06 Debt &amp; WC'!AP$30/(AP24*(12/'01 Major Assumptions'!AP$14)),0)</f>
        <v>2.161957603128859</v>
      </c>
      <c r="AQ152" s="110">
        <f>IFERROR('06 Debt &amp; WC'!AQ$30/(AQ24*(12/'01 Major Assumptions'!AQ$14)),0)</f>
        <v>2.0933844907430532</v>
      </c>
      <c r="AR152" s="110">
        <f>IFERROR('06 Debt &amp; WC'!AR$30/(AR24*(12/'01 Major Assumptions'!AR$14)),0)</f>
        <v>2.0675965930802644</v>
      </c>
      <c r="AS152" s="110">
        <f>IFERROR('06 Debt &amp; WC'!AS$30/(AS24*(12/'01 Major Assumptions'!AS$14)),0)</f>
        <v>2.0417992276721613</v>
      </c>
      <c r="AT152" s="110">
        <f>IFERROR('06 Debt &amp; WC'!AT$30/(AT24*(12/'01 Major Assumptions'!AT$14)),0)</f>
        <v>2.0159923893038165</v>
      </c>
      <c r="AU152" s="110">
        <f>IFERROR('06 Debt &amp; WC'!AU$30/(AU24*(12/'01 Major Assumptions'!AU$14)),0)</f>
        <v>1.9901760727564743</v>
      </c>
      <c r="AV152" s="110">
        <f>IFERROR('06 Debt &amp; WC'!AV$30/(AV24*(12/'01 Major Assumptions'!AV$14)),0)</f>
        <v>1.9643502728075428</v>
      </c>
      <c r="AW152" s="110">
        <f>IFERROR('06 Debt &amp; WC'!AW$30/(AW24*(12/'01 Major Assumptions'!AW$14)),0)</f>
        <v>1.9385149842305933</v>
      </c>
      <c r="AX152" s="110">
        <f>IFERROR('06 Debt &amp; WC'!AX$30/(AX24*(12/'01 Major Assumptions'!AX$14)),0)</f>
        <v>1.9126702017953556</v>
      </c>
      <c r="AY152" s="110">
        <f>IFERROR('06 Debt &amp; WC'!AY$30/(AY24*(12/'01 Major Assumptions'!AY$14)),0)</f>
        <v>1.8868159202677164</v>
      </c>
      <c r="AZ152" s="110">
        <f>IFERROR('06 Debt &amp; WC'!AZ$30/(AZ24*(12/'01 Major Assumptions'!AZ$14)),0)</f>
        <v>1.8609521344097102</v>
      </c>
      <c r="BA152" s="110">
        <f>IFERROR('06 Debt &amp; WC'!BA$30/(BA24*(12/'01 Major Assumptions'!BA$14)),0)</f>
        <v>1.8350788389795247</v>
      </c>
      <c r="BB152" s="110">
        <f>IFERROR('06 Debt &amp; WC'!BB$30/(BB24*(12/'01 Major Assumptions'!BB$14)),0)</f>
        <v>1.809196028731489</v>
      </c>
      <c r="BC152" s="110">
        <f>IFERROR('06 Debt &amp; WC'!BC$30/(BC24*(12/'01 Major Assumptions'!BC$14)),0)</f>
        <v>1.7482042692801052</v>
      </c>
      <c r="BD152" s="110">
        <f>IFERROR('06 Debt &amp; WC'!BD$30/(BD24*(12/'01 Major Assumptions'!BD$14)),0)</f>
        <v>1.7228087738175664</v>
      </c>
      <c r="BE152" s="110">
        <f>IFERROR('06 Debt &amp; WC'!BE$30/(BE24*(12/'01 Major Assumptions'!BE$14)),0)</f>
        <v>1.6974040357593478</v>
      </c>
      <c r="BF152" s="110">
        <f>IFERROR('06 Debt &amp; WC'!BF$30/(BF24*(12/'01 Major Assumptions'!BF$14)),0)</f>
        <v>1.6719900500588194</v>
      </c>
      <c r="BG152" s="110">
        <f>IFERROR('06 Debt &amp; WC'!BG$30/(BG24*(12/'01 Major Assumptions'!BG$14)),0)</f>
        <v>1.6465668116656766</v>
      </c>
      <c r="BH152" s="110">
        <f>IFERROR('06 Debt &amp; WC'!BH$30/(BH24*(12/'01 Major Assumptions'!BH$14)),0)</f>
        <v>1.6211343155259348</v>
      </c>
      <c r="BI152" s="110">
        <f>IFERROR('06 Debt &amp; WC'!BI$30/(BI24*(12/'01 Major Assumptions'!BI$14)),0)</f>
        <v>1.2908548270985409</v>
      </c>
      <c r="BJ152" s="110">
        <f>IFERROR('06 Debt &amp; WC'!BJ$30/(BJ24*(12/'01 Major Assumptions'!BJ$14)),0)</f>
        <v>0.97000716550004884</v>
      </c>
      <c r="BK152" s="110">
        <f>IFERROR('06 Debt &amp; WC'!BK$30/(BK24*(12/'01 Major Assumptions'!BK$14)),0)</f>
        <v>0.65997239328868584</v>
      </c>
      <c r="BL152" s="110">
        <f>IFERROR('06 Debt &amp; WC'!BL$30/(BL24*(12/'01 Major Assumptions'!BL$14)),0)</f>
        <v>0.36037588782201269</v>
      </c>
      <c r="BM152" s="110">
        <f>IFERROR('06 Debt &amp; WC'!BM$30/(BM24*(12/'01 Major Assumptions'!BM$14)),0)</f>
        <v>7.0850234051501274E-2</v>
      </c>
      <c r="BN152" s="110">
        <f>IFERROR('06 Debt &amp; WC'!BN$30/(BN24*(12/'01 Major Assumptions'!BN$14)),0)</f>
        <v>6.9728149783299886E-2</v>
      </c>
      <c r="BO152" s="110">
        <f>IFERROR('06 Debt &amp; WC'!BO$30/(BO24*(12/'01 Major Assumptions'!BO$14)),0)</f>
        <v>6.9576735152253419E-2</v>
      </c>
    </row>
    <row r="153" spans="1:67">
      <c r="A153" s="11"/>
      <c r="B153" s="11"/>
      <c r="C153" s="11"/>
      <c r="D153" s="33"/>
      <c r="E153" s="33"/>
      <c r="F153" s="33"/>
      <c r="G153" s="33"/>
      <c r="H153" s="33"/>
      <c r="I153" s="33"/>
      <c r="J153" s="33"/>
      <c r="K153" s="33"/>
      <c r="L153" s="33"/>
      <c r="M153" s="33"/>
      <c r="N153" s="33"/>
      <c r="O153" s="33"/>
      <c r="P153" s="33"/>
      <c r="Q153" s="33"/>
      <c r="R153" s="33"/>
      <c r="S153" s="33"/>
      <c r="T153" s="33"/>
      <c r="U153" s="33"/>
      <c r="V153" s="33"/>
      <c r="W153" s="33"/>
      <c r="X153" s="33"/>
      <c r="Y153" s="33"/>
      <c r="Z153" s="33"/>
      <c r="AA153" s="33"/>
      <c r="AB153" s="33"/>
      <c r="AC153" s="33"/>
      <c r="AD153" s="33"/>
      <c r="AE153" s="33"/>
      <c r="AF153" s="33"/>
      <c r="AG153" s="33"/>
      <c r="AH153" s="33"/>
      <c r="AI153" s="33"/>
      <c r="AJ153" s="33"/>
      <c r="AK153" s="33"/>
      <c r="AL153" s="33"/>
      <c r="AM153" s="33"/>
      <c r="AN153" s="33"/>
      <c r="AO153" s="33"/>
      <c r="AP153" s="33"/>
      <c r="AQ153" s="33"/>
      <c r="AR153" s="33"/>
      <c r="AS153" s="33"/>
      <c r="AT153" s="33"/>
      <c r="AU153" s="33"/>
      <c r="AV153" s="33"/>
      <c r="AW153" s="33"/>
      <c r="AX153" s="33"/>
      <c r="AY153" s="33"/>
      <c r="AZ153" s="33"/>
      <c r="BA153" s="33"/>
      <c r="BB153" s="33"/>
      <c r="BC153" s="33"/>
      <c r="BD153" s="33"/>
      <c r="BE153" s="33"/>
      <c r="BF153" s="33"/>
      <c r="BG153" s="33"/>
      <c r="BH153" s="33"/>
      <c r="BI153" s="33"/>
      <c r="BJ153" s="33"/>
      <c r="BK153" s="33"/>
      <c r="BL153" s="33"/>
      <c r="BM153" s="33"/>
      <c r="BN153" s="33"/>
      <c r="BO153" s="33"/>
    </row>
    <row r="154" spans="1:67">
      <c r="A154" s="11"/>
      <c r="B154" s="22" t="s">
        <v>585</v>
      </c>
      <c r="C154" s="11"/>
      <c r="D154" s="33"/>
      <c r="E154" s="33"/>
      <c r="F154" s="33"/>
      <c r="G154" s="33"/>
      <c r="H154" s="33"/>
      <c r="I154" s="33"/>
      <c r="J154" s="33"/>
      <c r="K154" s="33"/>
      <c r="L154" s="33"/>
      <c r="M154" s="33"/>
      <c r="N154" s="33"/>
      <c r="O154" s="33"/>
      <c r="P154" s="33"/>
      <c r="Q154" s="33"/>
      <c r="R154" s="33"/>
      <c r="S154" s="33"/>
      <c r="T154" s="33"/>
      <c r="U154" s="33"/>
      <c r="V154" s="33"/>
      <c r="W154" s="33"/>
      <c r="X154" s="33"/>
      <c r="Y154" s="33"/>
      <c r="Z154" s="33"/>
      <c r="AA154" s="33"/>
      <c r="AB154" s="33"/>
      <c r="AC154" s="33"/>
      <c r="AD154" s="33"/>
      <c r="AE154" s="33"/>
      <c r="AF154" s="33"/>
      <c r="AG154" s="33"/>
      <c r="AH154" s="33"/>
      <c r="AI154" s="33"/>
      <c r="AJ154" s="33"/>
      <c r="AK154" s="33"/>
      <c r="AL154" s="33"/>
      <c r="AM154" s="33"/>
      <c r="AN154" s="33"/>
      <c r="AO154" s="33"/>
      <c r="AP154" s="33"/>
      <c r="AQ154" s="33"/>
      <c r="AR154" s="33"/>
      <c r="AS154" s="33"/>
      <c r="AT154" s="33"/>
      <c r="AU154" s="33"/>
      <c r="AV154" s="33"/>
      <c r="AW154" s="33"/>
      <c r="AX154" s="33"/>
      <c r="AY154" s="33"/>
      <c r="AZ154" s="33"/>
      <c r="BA154" s="33"/>
      <c r="BB154" s="33"/>
      <c r="BC154" s="33"/>
      <c r="BD154" s="33"/>
      <c r="BE154" s="33"/>
      <c r="BF154" s="33"/>
      <c r="BG154" s="33"/>
      <c r="BH154" s="33"/>
      <c r="BI154" s="33"/>
      <c r="BJ154" s="33"/>
      <c r="BK154" s="33"/>
      <c r="BL154" s="33"/>
      <c r="BM154" s="33"/>
      <c r="BN154" s="33"/>
      <c r="BO154" s="33"/>
    </row>
    <row r="155" spans="1:67">
      <c r="A155" s="11"/>
      <c r="B155" s="11"/>
      <c r="C155" s="11" t="s">
        <v>586</v>
      </c>
      <c r="D155" s="33"/>
      <c r="E155" s="6"/>
      <c r="F155" s="6"/>
      <c r="G155" s="6">
        <f>IFERROR(G13/G9,0)</f>
        <v>0</v>
      </c>
      <c r="H155" s="6">
        <f t="shared" ref="H155:BI155" si="250">IFERROR(H13/H9,0)</f>
        <v>0</v>
      </c>
      <c r="I155" s="6">
        <f t="shared" si="250"/>
        <v>0</v>
      </c>
      <c r="J155" s="6">
        <f t="shared" si="250"/>
        <v>0</v>
      </c>
      <c r="K155" s="6">
        <f t="shared" si="250"/>
        <v>0</v>
      </c>
      <c r="L155" s="6">
        <f t="shared" si="250"/>
        <v>0</v>
      </c>
      <c r="M155" s="6">
        <f t="shared" si="250"/>
        <v>0</v>
      </c>
      <c r="N155" s="6">
        <f t="shared" si="250"/>
        <v>0</v>
      </c>
      <c r="O155" s="6">
        <f t="shared" si="250"/>
        <v>0</v>
      </c>
      <c r="P155" s="6">
        <f t="shared" si="250"/>
        <v>0</v>
      </c>
      <c r="Q155" s="6">
        <f t="shared" si="250"/>
        <v>0</v>
      </c>
      <c r="R155" s="6">
        <f t="shared" si="250"/>
        <v>0</v>
      </c>
      <c r="S155" s="6">
        <f t="shared" si="250"/>
        <v>0</v>
      </c>
      <c r="T155" s="6">
        <f t="shared" si="250"/>
        <v>0</v>
      </c>
      <c r="U155" s="6">
        <f t="shared" si="250"/>
        <v>0</v>
      </c>
      <c r="V155" s="6">
        <f t="shared" si="250"/>
        <v>0</v>
      </c>
      <c r="W155" s="6">
        <f t="shared" si="250"/>
        <v>0</v>
      </c>
      <c r="X155" s="6">
        <f t="shared" si="250"/>
        <v>0</v>
      </c>
      <c r="Y155" s="6">
        <f t="shared" si="250"/>
        <v>0</v>
      </c>
      <c r="Z155" s="6">
        <f t="shared" si="250"/>
        <v>0</v>
      </c>
      <c r="AA155" s="6">
        <f t="shared" si="250"/>
        <v>0</v>
      </c>
      <c r="AB155" s="6">
        <f t="shared" si="250"/>
        <v>-1.8419886268701913</v>
      </c>
      <c r="AC155" s="6">
        <f t="shared" si="250"/>
        <v>-0.2619189273797185</v>
      </c>
      <c r="AD155" s="6">
        <f t="shared" si="250"/>
        <v>-9.1592323257010388E-2</v>
      </c>
      <c r="AE155" s="6">
        <f t="shared" si="250"/>
        <v>2.7948846111699274E-2</v>
      </c>
      <c r="AF155" s="6">
        <f t="shared" si="250"/>
        <v>0.10920127948174556</v>
      </c>
      <c r="AG155" s="6">
        <f t="shared" si="250"/>
        <v>0.17033406268397075</v>
      </c>
      <c r="AH155" s="6">
        <f t="shared" si="250"/>
        <v>0.21799691060434984</v>
      </c>
      <c r="AI155" s="6">
        <f t="shared" si="250"/>
        <v>0.25619995664740181</v>
      </c>
      <c r="AJ155" s="6">
        <f t="shared" si="250"/>
        <v>0.28750523048823595</v>
      </c>
      <c r="AK155" s="6">
        <f t="shared" si="250"/>
        <v>0.31362619146370935</v>
      </c>
      <c r="AL155" s="6">
        <f t="shared" si="250"/>
        <v>0.33575218193705103</v>
      </c>
      <c r="AM155" s="6">
        <f t="shared" si="250"/>
        <v>0.35473458906445376</v>
      </c>
      <c r="AN155" s="6">
        <f t="shared" si="250"/>
        <v>0.37119892177699709</v>
      </c>
      <c r="AO155" s="6">
        <f t="shared" si="250"/>
        <v>0.37097280079400458</v>
      </c>
      <c r="AP155" s="6">
        <f t="shared" si="250"/>
        <v>0.37074667981101206</v>
      </c>
      <c r="AQ155" s="6">
        <f t="shared" si="250"/>
        <v>0.37263774924173354</v>
      </c>
      <c r="AR155" s="6">
        <f t="shared" si="250"/>
        <v>0.37241580196466473</v>
      </c>
      <c r="AS155" s="6">
        <f t="shared" si="250"/>
        <v>0.37219385468759603</v>
      </c>
      <c r="AT155" s="6">
        <f t="shared" si="250"/>
        <v>0.37197190741052738</v>
      </c>
      <c r="AU155" s="6">
        <f t="shared" si="250"/>
        <v>0.37174996013345857</v>
      </c>
      <c r="AV155" s="6">
        <f t="shared" si="250"/>
        <v>0.37152801285638976</v>
      </c>
      <c r="AW155" s="6">
        <f t="shared" si="250"/>
        <v>0.371306065579321</v>
      </c>
      <c r="AX155" s="6">
        <f t="shared" si="250"/>
        <v>0.3710841183022523</v>
      </c>
      <c r="AY155" s="6">
        <f t="shared" si="250"/>
        <v>0.37086217102518348</v>
      </c>
      <c r="AZ155" s="6">
        <f t="shared" si="250"/>
        <v>0.37064022374811484</v>
      </c>
      <c r="BA155" s="6">
        <f t="shared" si="250"/>
        <v>0.37041827647104603</v>
      </c>
      <c r="BB155" s="6">
        <f t="shared" si="250"/>
        <v>0.37019632919397721</v>
      </c>
      <c r="BC155" s="6">
        <f t="shared" si="250"/>
        <v>0.37203133550116874</v>
      </c>
      <c r="BD155" s="6">
        <f t="shared" si="250"/>
        <v>0.37181348063919484</v>
      </c>
      <c r="BE155" s="6">
        <f t="shared" si="250"/>
        <v>0.37159562577722099</v>
      </c>
      <c r="BF155" s="6">
        <f t="shared" si="250"/>
        <v>0.37137777091524721</v>
      </c>
      <c r="BG155" s="6">
        <f t="shared" si="250"/>
        <v>0.37115991605327331</v>
      </c>
      <c r="BH155" s="6">
        <f t="shared" si="250"/>
        <v>0.37094206119129958</v>
      </c>
      <c r="BI155" s="6">
        <f t="shared" si="250"/>
        <v>0.36989191797552551</v>
      </c>
      <c r="BJ155" s="6">
        <f t="shared" ref="BJ155:BO155" si="251">IFERROR(BJ13/BJ9,0)</f>
        <v>0.36928708422029555</v>
      </c>
      <c r="BK155" s="6">
        <f t="shared" si="251"/>
        <v>0.37073452619886982</v>
      </c>
      <c r="BL155" s="6">
        <f t="shared" si="251"/>
        <v>0.37072149964354933</v>
      </c>
      <c r="BM155" s="6">
        <f t="shared" si="251"/>
        <v>0.36999649014165026</v>
      </c>
      <c r="BN155" s="6">
        <f t="shared" si="251"/>
        <v>0.3688143064999671</v>
      </c>
      <c r="BO155" s="6">
        <f t="shared" si="251"/>
        <v>0.36429609784184924</v>
      </c>
    </row>
    <row r="156" spans="1:67">
      <c r="A156" s="11"/>
      <c r="B156" s="11"/>
      <c r="C156" s="11" t="s">
        <v>587</v>
      </c>
      <c r="D156" s="33"/>
      <c r="E156" s="6"/>
      <c r="F156" s="6"/>
      <c r="G156" s="6">
        <f>IFERROR(-G11/G9,0)</f>
        <v>0</v>
      </c>
      <c r="H156" s="6">
        <f t="shared" ref="H156:BI156" si="252">IFERROR(-H11/H9,0)</f>
        <v>0</v>
      </c>
      <c r="I156" s="6">
        <f t="shared" si="252"/>
        <v>0</v>
      </c>
      <c r="J156" s="6">
        <f t="shared" si="252"/>
        <v>0</v>
      </c>
      <c r="K156" s="6">
        <f t="shared" si="252"/>
        <v>0</v>
      </c>
      <c r="L156" s="6">
        <f t="shared" si="252"/>
        <v>0</v>
      </c>
      <c r="M156" s="6">
        <f t="shared" si="252"/>
        <v>0</v>
      </c>
      <c r="N156" s="6">
        <f t="shared" si="252"/>
        <v>0</v>
      </c>
      <c r="O156" s="6">
        <f t="shared" si="252"/>
        <v>0</v>
      </c>
      <c r="P156" s="6">
        <f t="shared" si="252"/>
        <v>0</v>
      </c>
      <c r="Q156" s="6">
        <f t="shared" si="252"/>
        <v>0</v>
      </c>
      <c r="R156" s="6">
        <f t="shared" si="252"/>
        <v>0</v>
      </c>
      <c r="S156" s="6">
        <f t="shared" si="252"/>
        <v>0</v>
      </c>
      <c r="T156" s="6">
        <f t="shared" si="252"/>
        <v>0</v>
      </c>
      <c r="U156" s="6">
        <f t="shared" si="252"/>
        <v>0</v>
      </c>
      <c r="V156" s="6">
        <f t="shared" si="252"/>
        <v>0</v>
      </c>
      <c r="W156" s="6">
        <f t="shared" si="252"/>
        <v>0</v>
      </c>
      <c r="X156" s="6">
        <f t="shared" si="252"/>
        <v>0</v>
      </c>
      <c r="Y156" s="6">
        <f t="shared" si="252"/>
        <v>0</v>
      </c>
      <c r="Z156" s="6">
        <f t="shared" si="252"/>
        <v>0</v>
      </c>
      <c r="AA156" s="6">
        <f t="shared" si="252"/>
        <v>0</v>
      </c>
      <c r="AB156" s="6">
        <f t="shared" si="252"/>
        <v>2.0309045412990625</v>
      </c>
      <c r="AC156" s="6">
        <f t="shared" si="252"/>
        <v>0.69889009059419804</v>
      </c>
      <c r="AD156" s="6">
        <f t="shared" si="252"/>
        <v>0.67898894062389259</v>
      </c>
      <c r="AE156" s="6">
        <f t="shared" si="252"/>
        <v>0.66453309945173789</v>
      </c>
      <c r="AF156" s="6">
        <f t="shared" si="252"/>
        <v>0.65484472388886283</v>
      </c>
      <c r="AG156" s="6">
        <f t="shared" si="252"/>
        <v>0.64761024668104905</v>
      </c>
      <c r="AH156" s="6">
        <f t="shared" si="252"/>
        <v>0.64201863362619949</v>
      </c>
      <c r="AI156" s="6">
        <f t="shared" si="252"/>
        <v>0.63758078776274507</v>
      </c>
      <c r="AJ156" s="6">
        <f t="shared" si="252"/>
        <v>0.63398423047634944</v>
      </c>
      <c r="AK156" s="6">
        <f t="shared" si="252"/>
        <v>0.63101997925423947</v>
      </c>
      <c r="AL156" s="6">
        <f t="shared" si="252"/>
        <v>0.6285429756463744</v>
      </c>
      <c r="AM156" s="6">
        <f t="shared" si="252"/>
        <v>0.62644937999725836</v>
      </c>
      <c r="AN156" s="6">
        <f t="shared" si="252"/>
        <v>0.62466290194775287</v>
      </c>
      <c r="AO156" s="6">
        <f t="shared" si="252"/>
        <v>0.62488450051108557</v>
      </c>
      <c r="AP156" s="6">
        <f t="shared" si="252"/>
        <v>0.62510609907441816</v>
      </c>
      <c r="AQ156" s="6">
        <f t="shared" si="252"/>
        <v>0.62326422904005296</v>
      </c>
      <c r="AR156" s="6">
        <f t="shared" si="252"/>
        <v>0.6234817373715803</v>
      </c>
      <c r="AS156" s="6">
        <f t="shared" si="252"/>
        <v>0.62369924570310775</v>
      </c>
      <c r="AT156" s="6">
        <f t="shared" si="252"/>
        <v>0.62391675403463498</v>
      </c>
      <c r="AU156" s="6">
        <f t="shared" si="252"/>
        <v>0.62413426236616243</v>
      </c>
      <c r="AV156" s="6">
        <f t="shared" si="252"/>
        <v>0.62435177069768999</v>
      </c>
      <c r="AW156" s="6">
        <f t="shared" si="252"/>
        <v>0.62456927902921733</v>
      </c>
      <c r="AX156" s="6">
        <f t="shared" si="252"/>
        <v>0.62478678736074444</v>
      </c>
      <c r="AY156" s="6">
        <f t="shared" si="252"/>
        <v>0.625004295692272</v>
      </c>
      <c r="AZ156" s="6">
        <f t="shared" si="252"/>
        <v>0.62522180402379923</v>
      </c>
      <c r="BA156" s="6">
        <f t="shared" si="252"/>
        <v>0.62543931235532679</v>
      </c>
      <c r="BB156" s="6">
        <f t="shared" si="252"/>
        <v>0.62565682068685413</v>
      </c>
      <c r="BC156" s="6">
        <f t="shared" si="252"/>
        <v>0.62387026534620182</v>
      </c>
      <c r="BD156" s="6">
        <f t="shared" si="252"/>
        <v>0.62408376311093627</v>
      </c>
      <c r="BE156" s="6">
        <f t="shared" si="252"/>
        <v>0.62429726087567083</v>
      </c>
      <c r="BF156" s="6">
        <f t="shared" si="252"/>
        <v>0.62451075864040506</v>
      </c>
      <c r="BG156" s="6">
        <f t="shared" si="252"/>
        <v>0.62472425640513951</v>
      </c>
      <c r="BH156" s="6">
        <f t="shared" si="252"/>
        <v>0.62493775416987374</v>
      </c>
      <c r="BI156" s="6">
        <f t="shared" si="252"/>
        <v>0.62597902768414548</v>
      </c>
      <c r="BJ156" s="6">
        <f t="shared" ref="BJ156:BO156" si="253">IFERROR(-BJ11/BJ9,0)</f>
        <v>0.62658429000464932</v>
      </c>
      <c r="BK156" s="6">
        <f t="shared" si="253"/>
        <v>0.62517872421123211</v>
      </c>
      <c r="BL156" s="6">
        <f t="shared" si="253"/>
        <v>0.6252048299936771</v>
      </c>
      <c r="BM156" s="6">
        <f t="shared" si="253"/>
        <v>0.62592910207115371</v>
      </c>
      <c r="BN156" s="6">
        <f t="shared" si="253"/>
        <v>0.62710183870274794</v>
      </c>
      <c r="BO156" s="6">
        <f t="shared" si="253"/>
        <v>0.6315932345043388</v>
      </c>
    </row>
    <row r="157" spans="1:67">
      <c r="A157" s="11"/>
      <c r="B157" s="11"/>
      <c r="C157" s="11" t="s">
        <v>588</v>
      </c>
      <c r="D157" s="33"/>
      <c r="E157" s="6"/>
      <c r="F157" s="6"/>
      <c r="G157" s="6">
        <f>IFERROR(-G15/G9,0)</f>
        <v>0</v>
      </c>
      <c r="H157" s="6">
        <f t="shared" ref="H157:BI157" si="254">IFERROR(-H15/H9,0)</f>
        <v>0</v>
      </c>
      <c r="I157" s="6">
        <f t="shared" si="254"/>
        <v>0</v>
      </c>
      <c r="J157" s="6">
        <f t="shared" si="254"/>
        <v>0</v>
      </c>
      <c r="K157" s="6">
        <f t="shared" si="254"/>
        <v>0</v>
      </c>
      <c r="L157" s="6">
        <f t="shared" si="254"/>
        <v>0</v>
      </c>
      <c r="M157" s="6">
        <f t="shared" si="254"/>
        <v>0</v>
      </c>
      <c r="N157" s="6">
        <f t="shared" si="254"/>
        <v>0</v>
      </c>
      <c r="O157" s="6">
        <f t="shared" si="254"/>
        <v>0</v>
      </c>
      <c r="P157" s="6">
        <f t="shared" si="254"/>
        <v>0</v>
      </c>
      <c r="Q157" s="6">
        <f t="shared" si="254"/>
        <v>0</v>
      </c>
      <c r="R157" s="6">
        <f t="shared" si="254"/>
        <v>0</v>
      </c>
      <c r="S157" s="6">
        <f t="shared" si="254"/>
        <v>0</v>
      </c>
      <c r="T157" s="6">
        <f t="shared" si="254"/>
        <v>0</v>
      </c>
      <c r="U157" s="6">
        <f t="shared" si="254"/>
        <v>0</v>
      </c>
      <c r="V157" s="6">
        <f t="shared" si="254"/>
        <v>0</v>
      </c>
      <c r="W157" s="6">
        <f t="shared" si="254"/>
        <v>0</v>
      </c>
      <c r="X157" s="6">
        <f t="shared" si="254"/>
        <v>0</v>
      </c>
      <c r="Y157" s="6">
        <f t="shared" si="254"/>
        <v>0</v>
      </c>
      <c r="Z157" s="6">
        <f t="shared" si="254"/>
        <v>0</v>
      </c>
      <c r="AA157" s="6">
        <f t="shared" si="254"/>
        <v>0</v>
      </c>
      <c r="AB157" s="6">
        <f t="shared" si="254"/>
        <v>3.5392367071194253E-2</v>
      </c>
      <c r="AC157" s="6">
        <f t="shared" si="254"/>
        <v>3.5392367071194253E-2</v>
      </c>
      <c r="AD157" s="6">
        <f t="shared" si="254"/>
        <v>3.539236707119426E-2</v>
      </c>
      <c r="AE157" s="6">
        <f t="shared" si="254"/>
        <v>3.5417004909684427E-2</v>
      </c>
      <c r="AF157" s="6">
        <f t="shared" si="254"/>
        <v>3.5417004909684427E-2</v>
      </c>
      <c r="AG157" s="6">
        <f t="shared" si="254"/>
        <v>3.541700490968442E-2</v>
      </c>
      <c r="AH157" s="6">
        <f t="shared" si="254"/>
        <v>3.541700490968442E-2</v>
      </c>
      <c r="AI157" s="6">
        <f t="shared" si="254"/>
        <v>3.541700490968442E-2</v>
      </c>
      <c r="AJ157" s="6">
        <f t="shared" si="254"/>
        <v>3.5417004909684427E-2</v>
      </c>
      <c r="AK157" s="6">
        <f t="shared" si="254"/>
        <v>3.5417004909684434E-2</v>
      </c>
      <c r="AL157" s="6">
        <f t="shared" si="254"/>
        <v>3.5417004909684427E-2</v>
      </c>
      <c r="AM157" s="6">
        <f t="shared" si="254"/>
        <v>3.5417004909684427E-2</v>
      </c>
      <c r="AN157" s="6">
        <f t="shared" si="254"/>
        <v>3.541700490968442E-2</v>
      </c>
      <c r="AO157" s="6">
        <f t="shared" si="254"/>
        <v>3.541700490968442E-2</v>
      </c>
      <c r="AP157" s="6">
        <f t="shared" si="254"/>
        <v>3.541700490968442E-2</v>
      </c>
      <c r="AQ157" s="6">
        <f t="shared" si="254"/>
        <v>3.5441618143897208E-2</v>
      </c>
      <c r="AR157" s="6">
        <f t="shared" si="254"/>
        <v>3.5441618143897208E-2</v>
      </c>
      <c r="AS157" s="6">
        <f t="shared" si="254"/>
        <v>3.5441618143897208E-2</v>
      </c>
      <c r="AT157" s="6">
        <f t="shared" si="254"/>
        <v>3.5441618143897208E-2</v>
      </c>
      <c r="AU157" s="6">
        <f t="shared" si="254"/>
        <v>3.5441618143897208E-2</v>
      </c>
      <c r="AV157" s="6">
        <f t="shared" si="254"/>
        <v>3.5441618143897208E-2</v>
      </c>
      <c r="AW157" s="6">
        <f t="shared" si="254"/>
        <v>3.5441618143897208E-2</v>
      </c>
      <c r="AX157" s="6">
        <f t="shared" si="254"/>
        <v>3.5441618143897208E-2</v>
      </c>
      <c r="AY157" s="6">
        <f t="shared" si="254"/>
        <v>3.5441618143897208E-2</v>
      </c>
      <c r="AZ157" s="6">
        <f t="shared" si="254"/>
        <v>3.5441618143897208E-2</v>
      </c>
      <c r="BA157" s="6">
        <f t="shared" si="254"/>
        <v>3.5441618143897208E-2</v>
      </c>
      <c r="BB157" s="6">
        <f t="shared" si="254"/>
        <v>3.5441618143897208E-2</v>
      </c>
      <c r="BC157" s="6">
        <f t="shared" si="254"/>
        <v>3.546620670468327E-2</v>
      </c>
      <c r="BD157" s="6">
        <f t="shared" si="254"/>
        <v>3.546620670468327E-2</v>
      </c>
      <c r="BE157" s="6">
        <f t="shared" si="254"/>
        <v>3.546620670468327E-2</v>
      </c>
      <c r="BF157" s="6">
        <f t="shared" si="254"/>
        <v>3.546620670468327E-2</v>
      </c>
      <c r="BG157" s="6">
        <f t="shared" si="254"/>
        <v>3.546620670468327E-2</v>
      </c>
      <c r="BH157" s="6">
        <f t="shared" si="254"/>
        <v>3.546620670468327E-2</v>
      </c>
      <c r="BI157" s="6">
        <f t="shared" si="254"/>
        <v>3.5490770523244397E-2</v>
      </c>
      <c r="BJ157" s="6">
        <f t="shared" ref="BJ157:BO157" si="255">IFERROR(-BJ15/BJ9,0)</f>
        <v>3.5515309531133993E-2</v>
      </c>
      <c r="BK157" s="6">
        <f t="shared" si="255"/>
        <v>3.5539823660257423E-2</v>
      </c>
      <c r="BL157" s="6">
        <f t="shared" si="255"/>
        <v>3.5564312842872418E-2</v>
      </c>
      <c r="BM157" s="6">
        <f t="shared" si="255"/>
        <v>3.5588777011589467E-2</v>
      </c>
      <c r="BN157" s="6">
        <f t="shared" si="255"/>
        <v>3.561321609937218E-2</v>
      </c>
      <c r="BO157" s="6">
        <f t="shared" si="255"/>
        <v>3.5801586644353303E-2</v>
      </c>
    </row>
    <row r="158" spans="1:67">
      <c r="A158" s="11"/>
      <c r="B158" s="11"/>
      <c r="C158" s="11" t="s">
        <v>589</v>
      </c>
      <c r="D158" s="33"/>
      <c r="E158" s="6"/>
      <c r="F158" s="6"/>
      <c r="G158" s="6">
        <f>IFERROR(-G16/G9,0)</f>
        <v>0</v>
      </c>
      <c r="H158" s="6">
        <f t="shared" ref="H158:BI158" si="256">IFERROR(-H16/H9,0)</f>
        <v>0</v>
      </c>
      <c r="I158" s="6">
        <f t="shared" si="256"/>
        <v>0</v>
      </c>
      <c r="J158" s="6">
        <f t="shared" si="256"/>
        <v>0</v>
      </c>
      <c r="K158" s="6">
        <f t="shared" si="256"/>
        <v>0</v>
      </c>
      <c r="L158" s="6">
        <f t="shared" si="256"/>
        <v>0</v>
      </c>
      <c r="M158" s="6">
        <f t="shared" si="256"/>
        <v>0</v>
      </c>
      <c r="N158" s="6">
        <f t="shared" si="256"/>
        <v>0</v>
      </c>
      <c r="O158" s="6">
        <f t="shared" si="256"/>
        <v>0</v>
      </c>
      <c r="P158" s="6">
        <f t="shared" si="256"/>
        <v>0</v>
      </c>
      <c r="Q158" s="6">
        <f t="shared" si="256"/>
        <v>0</v>
      </c>
      <c r="R158" s="6">
        <f t="shared" si="256"/>
        <v>0</v>
      </c>
      <c r="S158" s="6">
        <f t="shared" si="256"/>
        <v>0</v>
      </c>
      <c r="T158" s="6">
        <f t="shared" si="256"/>
        <v>0</v>
      </c>
      <c r="U158" s="6">
        <f t="shared" si="256"/>
        <v>0</v>
      </c>
      <c r="V158" s="6">
        <f t="shared" si="256"/>
        <v>0</v>
      </c>
      <c r="W158" s="6">
        <f t="shared" si="256"/>
        <v>0</v>
      </c>
      <c r="X158" s="6">
        <f t="shared" si="256"/>
        <v>0</v>
      </c>
      <c r="Y158" s="6">
        <f t="shared" si="256"/>
        <v>0</v>
      </c>
      <c r="Z158" s="6">
        <f t="shared" si="256"/>
        <v>0</v>
      </c>
      <c r="AA158" s="6">
        <f t="shared" si="256"/>
        <v>0</v>
      </c>
      <c r="AB158" s="6">
        <f t="shared" si="256"/>
        <v>0.25444224814702399</v>
      </c>
      <c r="AC158" s="6">
        <f t="shared" si="256"/>
        <v>0.1923079199006037</v>
      </c>
      <c r="AD158" s="6">
        <f t="shared" si="256"/>
        <v>0.15114731262558379</v>
      </c>
      <c r="AE158" s="6">
        <f t="shared" si="256"/>
        <v>0.12582635715638762</v>
      </c>
      <c r="AF158" s="6">
        <f t="shared" si="256"/>
        <v>8.6072265704816631E-2</v>
      </c>
      <c r="AG158" s="6">
        <f t="shared" si="256"/>
        <v>7.5554696916858941E-2</v>
      </c>
      <c r="AH158" s="6">
        <f t="shared" si="256"/>
        <v>6.647044593434108E-2</v>
      </c>
      <c r="AI158" s="6">
        <f t="shared" si="256"/>
        <v>5.9985552302895456E-2</v>
      </c>
      <c r="AJ158" s="6">
        <f t="shared" si="256"/>
        <v>5.4671542243794183E-2</v>
      </c>
      <c r="AK158" s="6">
        <f t="shared" si="256"/>
        <v>5.0237559328238354E-2</v>
      </c>
      <c r="AL158" s="6">
        <f t="shared" si="256"/>
        <v>4.6481714976238125E-2</v>
      </c>
      <c r="AM158" s="6">
        <f t="shared" si="256"/>
        <v>4.3259487854576707E-2</v>
      </c>
      <c r="AN158" s="6">
        <f t="shared" si="256"/>
        <v>4.0464699024564267E-2</v>
      </c>
      <c r="AO158" s="6">
        <f t="shared" si="256"/>
        <v>4.0472835409396196E-2</v>
      </c>
      <c r="AP158" s="6">
        <f t="shared" si="256"/>
        <v>3.9390776388176375E-2</v>
      </c>
      <c r="AQ158" s="6">
        <f t="shared" si="256"/>
        <v>3.9416305662918837E-2</v>
      </c>
      <c r="AR158" s="6">
        <f t="shared" si="256"/>
        <v>3.9424266820218018E-2</v>
      </c>
      <c r="AS158" s="6">
        <f t="shared" si="256"/>
        <v>3.9432227977517206E-2</v>
      </c>
      <c r="AT158" s="6">
        <f t="shared" si="256"/>
        <v>3.9440189134816388E-2</v>
      </c>
      <c r="AU158" s="6">
        <f t="shared" si="256"/>
        <v>3.9448150292115562E-2</v>
      </c>
      <c r="AV158" s="6">
        <f t="shared" si="256"/>
        <v>3.9456111449414757E-2</v>
      </c>
      <c r="AW158" s="6">
        <f t="shared" si="256"/>
        <v>3.9464072606713932E-2</v>
      </c>
      <c r="AX158" s="6">
        <f t="shared" si="256"/>
        <v>3.9472033764013113E-2</v>
      </c>
      <c r="AY158" s="6">
        <f t="shared" si="256"/>
        <v>3.9479994921312302E-2</v>
      </c>
      <c r="AZ158" s="6">
        <f t="shared" si="256"/>
        <v>3.9487956078611483E-2</v>
      </c>
      <c r="BA158" s="6">
        <f t="shared" si="256"/>
        <v>3.9495917235910658E-2</v>
      </c>
      <c r="BB158" s="6">
        <f t="shared" si="256"/>
        <v>3.9503878393209853E-2</v>
      </c>
      <c r="BC158" s="6">
        <f t="shared" si="256"/>
        <v>3.9537881081530703E-2</v>
      </c>
      <c r="BD158" s="6">
        <f t="shared" si="256"/>
        <v>3.9545670770209984E-2</v>
      </c>
      <c r="BE158" s="6">
        <f t="shared" si="256"/>
        <v>3.9553460458889272E-2</v>
      </c>
      <c r="BF158" s="6">
        <f t="shared" si="256"/>
        <v>3.9561250147568554E-2</v>
      </c>
      <c r="BG158" s="6">
        <f t="shared" si="256"/>
        <v>3.9569039836247842E-2</v>
      </c>
      <c r="BH158" s="6">
        <f t="shared" si="256"/>
        <v>3.957682952492713E-2</v>
      </c>
      <c r="BI158" s="6">
        <f t="shared" si="256"/>
        <v>3.9704306882273749E-2</v>
      </c>
      <c r="BJ158" s="6">
        <f t="shared" ref="BJ158:BO158" si="257">IFERROR(-BJ16/BJ9,0)</f>
        <v>3.9838740897814508E-2</v>
      </c>
      <c r="BK158" s="6">
        <f t="shared" si="257"/>
        <v>3.9980331922699452E-2</v>
      </c>
      <c r="BL158" s="6">
        <f t="shared" si="257"/>
        <v>4.0129283459505477E-2</v>
      </c>
      <c r="BM158" s="6">
        <f t="shared" si="257"/>
        <v>4.0285802340658136E-2</v>
      </c>
      <c r="BN158" s="6">
        <f t="shared" si="257"/>
        <v>4.0450098908769903E-2</v>
      </c>
      <c r="BO158" s="6">
        <f t="shared" si="257"/>
        <v>4.0875778486359163E-2</v>
      </c>
    </row>
    <row r="159" spans="1:67">
      <c r="A159" s="11"/>
      <c r="B159" s="11"/>
      <c r="C159" s="11" t="s">
        <v>590</v>
      </c>
      <c r="D159" s="33"/>
      <c r="E159" s="6"/>
      <c r="F159" s="6"/>
      <c r="G159" s="6">
        <f>IFERROR(G22/G9,0)</f>
        <v>0</v>
      </c>
      <c r="H159" s="6">
        <f t="shared" ref="H159:BI159" si="258">IFERROR(H22/H9,0)</f>
        <v>0</v>
      </c>
      <c r="I159" s="6">
        <f t="shared" si="258"/>
        <v>0</v>
      </c>
      <c r="J159" s="6">
        <f t="shared" si="258"/>
        <v>0</v>
      </c>
      <c r="K159" s="6">
        <f t="shared" si="258"/>
        <v>0</v>
      </c>
      <c r="L159" s="6">
        <f t="shared" si="258"/>
        <v>0</v>
      </c>
      <c r="M159" s="6">
        <f t="shared" si="258"/>
        <v>0</v>
      </c>
      <c r="N159" s="6">
        <f t="shared" si="258"/>
        <v>0</v>
      </c>
      <c r="O159" s="6">
        <f t="shared" si="258"/>
        <v>0</v>
      </c>
      <c r="P159" s="6">
        <f t="shared" si="258"/>
        <v>0</v>
      </c>
      <c r="Q159" s="6">
        <f t="shared" si="258"/>
        <v>0</v>
      </c>
      <c r="R159" s="6">
        <f t="shared" si="258"/>
        <v>0</v>
      </c>
      <c r="S159" s="6">
        <f t="shared" si="258"/>
        <v>0</v>
      </c>
      <c r="T159" s="6">
        <f t="shared" si="258"/>
        <v>0</v>
      </c>
      <c r="U159" s="6">
        <f t="shared" si="258"/>
        <v>0</v>
      </c>
      <c r="V159" s="6">
        <f t="shared" si="258"/>
        <v>0</v>
      </c>
      <c r="W159" s="6">
        <f t="shared" si="258"/>
        <v>0</v>
      </c>
      <c r="X159" s="6">
        <f t="shared" si="258"/>
        <v>0</v>
      </c>
      <c r="Y159" s="6">
        <f t="shared" si="258"/>
        <v>0</v>
      </c>
      <c r="Z159" s="6">
        <f t="shared" si="258"/>
        <v>0</v>
      </c>
      <c r="AA159" s="6">
        <f t="shared" si="258"/>
        <v>0</v>
      </c>
      <c r="AB159" s="6">
        <f t="shared" si="258"/>
        <v>-2.5576228050133083</v>
      </c>
      <c r="AC159" s="6">
        <f t="shared" si="258"/>
        <v>-0.82742064230492673</v>
      </c>
      <c r="AD159" s="6">
        <f t="shared" si="258"/>
        <v>-0.55510635748163262</v>
      </c>
      <c r="AE159" s="6">
        <f t="shared" si="258"/>
        <v>-0.36165942605532175</v>
      </c>
      <c r="AF159" s="6">
        <f t="shared" si="258"/>
        <v>-0.20988829969045303</v>
      </c>
      <c r="AG159" s="6">
        <f t="shared" si="258"/>
        <v>-0.11518647291492988</v>
      </c>
      <c r="AH159" s="6">
        <f t="shared" si="258"/>
        <v>-3.8865086156528901E-2</v>
      </c>
      <c r="AI159" s="6">
        <f t="shared" si="258"/>
        <v>2.1120598121547724E-2</v>
      </c>
      <c r="AJ159" s="6">
        <f t="shared" si="258"/>
        <v>7.0956736114947253E-2</v>
      </c>
      <c r="AK159" s="6">
        <f t="shared" si="258"/>
        <v>0.11243161528376995</v>
      </c>
      <c r="AL159" s="6">
        <f t="shared" si="258"/>
        <v>0.14821247578630428</v>
      </c>
      <c r="AM159" s="6">
        <f t="shared" si="258"/>
        <v>0.17896859751889094</v>
      </c>
      <c r="AN159" s="6">
        <f t="shared" si="258"/>
        <v>0.20565265514499989</v>
      </c>
      <c r="AO159" s="6">
        <f t="shared" si="258"/>
        <v>0.20706538826151738</v>
      </c>
      <c r="AP159" s="6">
        <f t="shared" si="258"/>
        <v>0.2096028244033375</v>
      </c>
      <c r="AQ159" s="6">
        <f t="shared" si="258"/>
        <v>0.21541501227189777</v>
      </c>
      <c r="AR159" s="6">
        <f t="shared" si="258"/>
        <v>0.21695592320325097</v>
      </c>
      <c r="AS159" s="6">
        <f t="shared" si="258"/>
        <v>0.21793490425040662</v>
      </c>
      <c r="AT159" s="6">
        <f t="shared" si="258"/>
        <v>0.21858225157172084</v>
      </c>
      <c r="AU159" s="6">
        <f t="shared" si="258"/>
        <v>0.21913360464977333</v>
      </c>
      <c r="AV159" s="6">
        <f t="shared" si="258"/>
        <v>0.21968495772782573</v>
      </c>
      <c r="AW159" s="6">
        <f t="shared" si="258"/>
        <v>0.22023631080587824</v>
      </c>
      <c r="AX159" s="6">
        <f t="shared" si="258"/>
        <v>0.22078766388393081</v>
      </c>
      <c r="AY159" s="6">
        <f t="shared" si="258"/>
        <v>0.22133901696198324</v>
      </c>
      <c r="AZ159" s="6">
        <f t="shared" ca="1" si="258"/>
        <v>0.22189037004003584</v>
      </c>
      <c r="BA159" s="6">
        <f t="shared" ca="1" si="258"/>
        <v>0.22244172311808832</v>
      </c>
      <c r="BB159" s="6">
        <f t="shared" ca="1" si="258"/>
        <v>0.22299307619614073</v>
      </c>
      <c r="BC159" s="6">
        <f t="shared" ca="1" si="258"/>
        <v>0.22709022441421337</v>
      </c>
      <c r="BD159" s="6">
        <f t="shared" ca="1" si="258"/>
        <v>0.22762901444639239</v>
      </c>
      <c r="BE159" s="6">
        <f t="shared" ca="1" si="258"/>
        <v>0.22816780447857149</v>
      </c>
      <c r="BF159" s="6">
        <f t="shared" ca="1" si="258"/>
        <v>0.22870659451075068</v>
      </c>
      <c r="BG159" s="6">
        <f t="shared" ca="1" si="258"/>
        <v>0.22924538454292967</v>
      </c>
      <c r="BH159" s="6">
        <f t="shared" ca="1" si="258"/>
        <v>0.22978417457510888</v>
      </c>
      <c r="BI159" s="6">
        <f t="shared" ca="1" si="258"/>
        <v>0.23075407366360334</v>
      </c>
      <c r="BJ159" s="6">
        <f t="shared" ref="BJ159:BO159" ca="1" si="259">IFERROR(BJ22/BJ9,0)</f>
        <v>0.24014998599005385</v>
      </c>
      <c r="BK159" s="6">
        <f t="shared" ca="1" si="259"/>
        <v>0.26326094184446658</v>
      </c>
      <c r="BL159" s="6">
        <f t="shared" ca="1" si="259"/>
        <v>0.27611006895170981</v>
      </c>
      <c r="BM159" s="6">
        <f t="shared" ca="1" si="259"/>
        <v>0.28383846444056726</v>
      </c>
      <c r="BN159" s="6">
        <f t="shared" ca="1" si="259"/>
        <v>0.25334552842863189</v>
      </c>
      <c r="BO159" s="6">
        <f t="shared" ca="1" si="259"/>
        <v>0.22850971235668494</v>
      </c>
    </row>
    <row r="160" spans="1:67">
      <c r="A160" s="11"/>
      <c r="B160" s="11"/>
      <c r="C160" s="11" t="s">
        <v>591</v>
      </c>
      <c r="D160" s="33"/>
      <c r="E160" s="6"/>
      <c r="F160" s="6"/>
      <c r="G160" s="6">
        <f>IFERROR(G22*(12/'01 Major Assumptions'!G$14)/G46,0)</f>
        <v>-0.17798274997168148</v>
      </c>
      <c r="H160" s="6">
        <f>IFERROR(H22*(12/'01 Major Assumptions'!H$14)/H46,0)</f>
        <v>-8.9955698557015004E-2</v>
      </c>
      <c r="I160" s="6">
        <f>IFERROR(I22*(12/'01 Major Assumptions'!I$14)/I46,0)</f>
        <v>-6.01904963430284E-2</v>
      </c>
      <c r="J160" s="6">
        <f>IFERROR(J22*(12/'01 Major Assumptions'!J$14)/J46,0)</f>
        <v>-1.2512309972378052E-2</v>
      </c>
      <c r="K160" s="6">
        <f>IFERROR(K22*(12/'01 Major Assumptions'!K$14)/K46,0)</f>
        <v>-1.0779119225280711E-2</v>
      </c>
      <c r="L160" s="6">
        <f>IFERROR(L22*(12/'01 Major Assumptions'!L$14)/L46,0)</f>
        <v>-9.4676484404833013E-3</v>
      </c>
      <c r="M160" s="6">
        <f>IFERROR(M22*(12/'01 Major Assumptions'!M$14)/M46,0)</f>
        <v>-8.4405378530357979E-3</v>
      </c>
      <c r="N160" s="6">
        <f>IFERROR(N22*(12/'01 Major Assumptions'!N$14)/N46,0)</f>
        <v>-7.6144650997353814E-3</v>
      </c>
      <c r="O160" s="6">
        <f>IFERROR(O22*(12/'01 Major Assumptions'!O$14)/O46,0)</f>
        <v>-6.9356675610212064E-3</v>
      </c>
      <c r="P160" s="6">
        <f>IFERROR(P22*(12/'01 Major Assumptions'!P$14)/P46,0)</f>
        <v>-7.9230462738934717E-3</v>
      </c>
      <c r="Q160" s="6">
        <f>IFERROR(Q22*(12/'01 Major Assumptions'!Q$14)/Q46,0)</f>
        <v>-7.0247939344655914E-3</v>
      </c>
      <c r="R160" s="6">
        <f>IFERROR(R22*(12/'01 Major Assumptions'!R$14)/R46,0)</f>
        <v>-1.015507977196793E-2</v>
      </c>
      <c r="S160" s="6">
        <f>IFERROR(S22*(12/'01 Major Assumptions'!S$14)/S46,0)</f>
        <v>-8.0210647183779921E-3</v>
      </c>
      <c r="T160" s="6">
        <f>IFERROR(T22*(12/'01 Major Assumptions'!T$14)/T46,0)</f>
        <v>-1.4699846895426198E-2</v>
      </c>
      <c r="U160" s="6">
        <f>IFERROR(U22*(12/'01 Major Assumptions'!U$14)/U46,0)</f>
        <v>-1.3735708387140468E-2</v>
      </c>
      <c r="V160" s="6">
        <f>IFERROR(V22*(12/'01 Major Assumptions'!V$14)/V46,0)</f>
        <v>-1.4034940733838033E-2</v>
      </c>
      <c r="W160" s="6">
        <f>IFERROR(W22*(12/'01 Major Assumptions'!W$14)/W46,0)</f>
        <v>-1.3213092160736219E-2</v>
      </c>
      <c r="X160" s="6">
        <f>IFERROR(X22*(12/'01 Major Assumptions'!X$14)/X46,0)</f>
        <v>-1.2377674302563419E-2</v>
      </c>
      <c r="Y160" s="6">
        <f>IFERROR(Y22*(12/'01 Major Assumptions'!Y$14)/Y46,0)</f>
        <v>-1.1722368593679746E-2</v>
      </c>
      <c r="Z160" s="6">
        <f>IFERROR(Z22*(12/'01 Major Assumptions'!Z$14)/Z46,0)</f>
        <v>-1.1787613664078277E-2</v>
      </c>
      <c r="AA160" s="6">
        <f>IFERROR(AA22*(12/'01 Major Assumptions'!AA$14)/AA46,0)</f>
        <v>-1.1215543749942138E-2</v>
      </c>
      <c r="AB160" s="6">
        <f>IFERROR(AB22*(12/'01 Major Assumptions'!AB$14)/AB46,0)</f>
        <v>-0.26613032363210715</v>
      </c>
      <c r="AC160" s="6">
        <f>IFERROR(AC22*(12/'01 Major Assumptions'!AC$14)/AC46,0)</f>
        <v>-0.11466895450650458</v>
      </c>
      <c r="AD160" s="6">
        <f>IFERROR(AD22*(12/'01 Major Assumptions'!AD$14)/AD46,0)</f>
        <v>-9.5924443548015437E-2</v>
      </c>
      <c r="AE160" s="6">
        <f>IFERROR(AE22*(12/'01 Major Assumptions'!AE$14)/AE46,0)</f>
        <v>-7.6416524272155839E-2</v>
      </c>
      <c r="AF160" s="6">
        <f>IFERROR(AF22*(12/'01 Major Assumptions'!AF$14)/AF46,0)</f>
        <v>-5.1454346955858467E-2</v>
      </c>
      <c r="AG160" s="6">
        <f>IFERROR(AG22*(12/'01 Major Assumptions'!AG$14)/AG46,0)</f>
        <v>-3.2375516201577789E-2</v>
      </c>
      <c r="AH160" s="6">
        <f>IFERROR(AH22*(12/'01 Major Assumptions'!AH$14)/AH46,0)</f>
        <v>-1.2261879221800588E-2</v>
      </c>
      <c r="AI160" s="6">
        <f>IFERROR(AI22*(12/'01 Major Assumptions'!AI$14)/AI46,0)</f>
        <v>7.4127788253127323E-3</v>
      </c>
      <c r="AJ160" s="6">
        <f>IFERROR(AJ22*(12/'01 Major Assumptions'!AJ$14)/AJ46,0)</f>
        <v>2.7334842908409172E-2</v>
      </c>
      <c r="AK160" s="6">
        <f>IFERROR(AK22*(12/'01 Major Assumptions'!AK$14)/AK46,0)</f>
        <v>4.7334889518983736E-2</v>
      </c>
      <c r="AL160" s="6">
        <f>IFERROR(AL22*(12/'01 Major Assumptions'!AL$14)/AL46,0)</f>
        <v>6.7596836176094965E-2</v>
      </c>
      <c r="AM160" s="6">
        <f>IFERROR(AM22*(12/'01 Major Assumptions'!AM$14)/AM46,0)</f>
        <v>8.7695704651445772E-2</v>
      </c>
      <c r="AN160" s="6">
        <f>IFERROR(AN22*(12/'01 Major Assumptions'!AN$14)/AN46,0)</f>
        <v>0.1082408145338707</v>
      </c>
      <c r="AO160" s="6">
        <f>IFERROR(AO22*(12/'01 Major Assumptions'!AO$14)/AO46,0)</f>
        <v>0.10928447149220108</v>
      </c>
      <c r="AP160" s="6">
        <f>IFERROR(AP22*(12/'01 Major Assumptions'!AP$14)/AP46,0)</f>
        <v>0.1115060357762134</v>
      </c>
      <c r="AQ160" s="6">
        <f>IFERROR(AQ22*(12/'01 Major Assumptions'!AQ$14)/AQ46,0)</f>
        <v>0.11751980026805027</v>
      </c>
      <c r="AR160" s="6">
        <f>IFERROR(AR22*(12/'01 Major Assumptions'!AR$14)/AR46,0)</f>
        <v>0.11798889631257507</v>
      </c>
      <c r="AS160" s="6">
        <f>IFERROR(AS22*(12/'01 Major Assumptions'!AS$14)/AS46,0)</f>
        <v>0.11847751101549307</v>
      </c>
      <c r="AT160" s="6">
        <f>IFERROR(AT22*(12/'01 Major Assumptions'!AT$14)/AT46,0)</f>
        <v>0.11827626169236184</v>
      </c>
      <c r="AU160" s="6">
        <f>IFERROR(AU22*(12/'01 Major Assumptions'!AU$14)/AU46,0)</f>
        <v>0.11821864643785084</v>
      </c>
      <c r="AV160" s="6">
        <f>IFERROR(AV22*(12/'01 Major Assumptions'!AV$14)/AV46,0)</f>
        <v>0.11796272860749848</v>
      </c>
      <c r="AW160" s="6">
        <f>IFERROR(AW22*(12/'01 Major Assumptions'!AW$14)/AW46,0)</f>
        <v>0.11790071357818686</v>
      </c>
      <c r="AX160" s="6">
        <f>IFERROR(AX22*(12/'01 Major Assumptions'!AX$14)/AX46,0)</f>
        <v>0.11773924473932694</v>
      </c>
      <c r="AY160" s="6">
        <f ca="1">IFERROR(AY22*(12/'01 Major Assumptions'!AY$14)/AY46,0)</f>
        <v>0.11747983844000476</v>
      </c>
      <c r="AZ160" s="6">
        <f ca="1">IFERROR(AZ22*(12/'01 Major Assumptions'!AZ$14)/AZ46,0)</f>
        <v>0.11741145705585813</v>
      </c>
      <c r="BA160" s="6">
        <f ca="1">IFERROR(BA22*(12/'01 Major Assumptions'!BA$14)/BA46,0)</f>
        <v>0.11714987847484615</v>
      </c>
      <c r="BB160" s="6">
        <f ca="1">IFERROR(BB22*(12/'01 Major Assumptions'!BB$14)/BB46,0)</f>
        <v>0.11707740631363228</v>
      </c>
      <c r="BC160" s="6">
        <f ca="1">IFERROR(BC22*(12/'01 Major Assumptions'!BC$14)/BC46,0)</f>
        <v>0.12126053206762773</v>
      </c>
      <c r="BD160" s="6">
        <f ca="1">IFERROR(BD22*(12/'01 Major Assumptions'!BD$14)/BD46,0)</f>
        <v>0.12070863994842865</v>
      </c>
      <c r="BE160" s="6">
        <f ca="1">IFERROR(BE22*(12/'01 Major Assumptions'!BE$14)/BE46,0)</f>
        <v>0.12079392470662803</v>
      </c>
      <c r="BF160" s="6">
        <f ca="1">IFERROR(BF22*(12/'01 Major Assumptions'!BF$14)/BF46,0)</f>
        <v>0.120461092301807</v>
      </c>
      <c r="BG160" s="6">
        <f ca="1">IFERROR(BG22*(12/'01 Major Assumptions'!BG$14)/BG46,0)</f>
        <v>0.12032388765554601</v>
      </c>
      <c r="BH160" s="6">
        <f ca="1">IFERROR(BH22*(12/'01 Major Assumptions'!BH$14)/BH46,0)</f>
        <v>0.11999062042004988</v>
      </c>
      <c r="BI160" s="6">
        <f ca="1">IFERROR(BI22*(12/'01 Major Assumptions'!BI$14)/BI46,0)</f>
        <v>0.11812202287791264</v>
      </c>
      <c r="BJ160" s="6">
        <f ca="1">IFERROR(BJ22*(12/'01 Major Assumptions'!BJ$14)/BJ46,0)</f>
        <v>0.12540706983052013</v>
      </c>
      <c r="BK160" s="6">
        <f ca="1">IFERROR(BK22*(12/'01 Major Assumptions'!BK$14)/BK46,0)</f>
        <v>0.13868021664770974</v>
      </c>
      <c r="BL160" s="6">
        <f ca="1">IFERROR(BL22*(12/'01 Major Assumptions'!BL$14)/BL46,0)</f>
        <v>0.14638042890489164</v>
      </c>
      <c r="BM160" s="6">
        <f ca="1">IFERROR(BM22*(12/'01 Major Assumptions'!BM$14)/BM46,0)</f>
        <v>0.15111178638909947</v>
      </c>
      <c r="BN160" s="6">
        <f ca="1">IFERROR(BN22*(12/'01 Major Assumptions'!BN$14)/BN46,0)</f>
        <v>0.12964448453160912</v>
      </c>
      <c r="BO160" s="6">
        <f ca="1">IFERROR(BO22*(12/'01 Major Assumptions'!BO$14)/BO46,0)</f>
        <v>0.11258519895859756</v>
      </c>
    </row>
    <row r="161" spans="1:67">
      <c r="A161" s="11"/>
      <c r="B161" s="11"/>
      <c r="C161" s="11" t="s">
        <v>592</v>
      </c>
      <c r="D161" s="33"/>
      <c r="E161" s="6"/>
      <c r="F161" s="6"/>
      <c r="G161" s="6">
        <f>IFERROR(G18*(12/'01 Major Assumptions'!G$14)/(G63+'06 Debt &amp; WC'!G$30),0)</f>
        <v>-0.1806561730880217</v>
      </c>
      <c r="H161" s="6">
        <f>IFERROR(H18*(12/'01 Major Assumptions'!H$14)/(H63+'06 Debt &amp; WC'!H$30),0)</f>
        <v>-9.0704614636225797E-2</v>
      </c>
      <c r="I161" s="6">
        <f>IFERROR(I18*(12/'01 Major Assumptions'!I$14)/(I63+'06 Debt &amp; WC'!I$30),0)</f>
        <v>-6.0493237686561084E-2</v>
      </c>
      <c r="J161" s="6">
        <f>IFERROR(J18*(12/'01 Major Assumptions'!J$14)/(J63+'06 Debt &amp; WC'!J$30),0)</f>
        <v>-1.252576230631434E-2</v>
      </c>
      <c r="K161" s="6">
        <f>IFERROR(K18*(12/'01 Major Assumptions'!K$14)/(K63+'06 Debt &amp; WC'!K$30),0)</f>
        <v>-1.0788788478511575E-2</v>
      </c>
      <c r="L161" s="6">
        <f>IFERROR(L18*(12/'01 Major Assumptions'!L$14)/(L63+'06 Debt &amp; WC'!L$30),0)</f>
        <v>-9.475348486013814E-3</v>
      </c>
      <c r="M161" s="6">
        <f>IFERROR(M18*(12/'01 Major Assumptions'!M$14)/(M63+'06 Debt &amp; WC'!M$30),0)</f>
        <v>-8.4464654970532634E-3</v>
      </c>
      <c r="N161" s="6">
        <f>IFERROR(N18*(12/'01 Major Assumptions'!N$14)/(N63+'06 Debt &amp; WC'!N$30),0)</f>
        <v>-7.6192889167222338E-3</v>
      </c>
      <c r="O161" s="6">
        <f>IFERROR(O18*(12/'01 Major Assumptions'!O$14)/(O63+'06 Debt &amp; WC'!O$30),0)</f>
        <v>-6.9397989028774244E-3</v>
      </c>
      <c r="P161" s="6">
        <f>IFERROR(P18*(12/'01 Major Assumptions'!P$14)/(P63+'06 Debt &amp; WC'!P$30),0)</f>
        <v>-7.9282691239320347E-3</v>
      </c>
      <c r="Q161" s="6">
        <f>IFERROR(Q18*(12/'01 Major Assumptions'!Q$14)/(Q63+'06 Debt &amp; WC'!Q$30),0)</f>
        <v>-7.0290321701014504E-3</v>
      </c>
      <c r="R161" s="6">
        <f>IFERROR(R18*(12/'01 Major Assumptions'!R$14)/(R63+'06 Debt &amp; WC'!R$30),0)</f>
        <v>-1.0163661416244012E-2</v>
      </c>
      <c r="S161" s="6">
        <f>IFERROR(S18*(12/'01 Major Assumptions'!S$14)/(S63+'06 Debt &amp; WC'!S$30),0)</f>
        <v>-8.0264176383949021E-3</v>
      </c>
      <c r="T161" s="6">
        <f>IFERROR(T18*(12/'01 Major Assumptions'!T$14)/(T63+'06 Debt &amp; WC'!T$30),0)</f>
        <v>-1.4719040197049234E-2</v>
      </c>
      <c r="U161" s="6">
        <f>IFERROR(U18*(12/'01 Major Assumptions'!U$14)/(U63+'06 Debt &amp; WC'!U$30),0)</f>
        <v>-1.375141329443192E-2</v>
      </c>
      <c r="V161" s="6">
        <f>IFERROR(V18*(12/'01 Major Assumptions'!V$14)/(V63+'06 Debt &amp; WC'!V$30),0)</f>
        <v>-1.4051868538538218E-2</v>
      </c>
      <c r="W161" s="6">
        <f>IFERROR(W18*(12/'01 Major Assumptions'!W$14)/(W63+'06 Debt &amp; WC'!W$30),0)</f>
        <v>-1.3227624090452037E-2</v>
      </c>
      <c r="X161" s="6">
        <f>IFERROR(X18*(12/'01 Major Assumptions'!X$14)/(X63+'06 Debt &amp; WC'!X$30),0)</f>
        <v>-1.2390838540622187E-2</v>
      </c>
      <c r="Y161" s="6">
        <f>IFERROR(Y18*(12/'01 Major Assumptions'!Y$14)/(Y63+'06 Debt &amp; WC'!Y$30),0)</f>
        <v>-1.1733805043304216E-2</v>
      </c>
      <c r="Z161" s="6">
        <f>IFERROR(Z18*(12/'01 Major Assumptions'!Z$14)/(Z63+'06 Debt &amp; WC'!Z$30),0)</f>
        <v>-1.1799177838155466E-2</v>
      </c>
      <c r="AA161" s="6">
        <f>IFERROR(AA18*(12/'01 Major Assumptions'!AA$14)/(AA63+'06 Debt &amp; WC'!AA$30),0)</f>
        <v>-1.1226350993245343E-2</v>
      </c>
      <c r="AB161" s="6">
        <f>IFERROR(AB18*(12/'01 Major Assumptions'!AB$14)/(AB63+'06 Debt &amp; WC'!AB$30),0)</f>
        <v>-0.24434681254020793</v>
      </c>
      <c r="AC161" s="6">
        <f>IFERROR(AC18*(12/'01 Major Assumptions'!AC$14)/(AC63+'06 Debt &amp; WC'!AC$30),0)</f>
        <v>-8.2062931410337492E-2</v>
      </c>
      <c r="AD161" s="6">
        <f>IFERROR(AD18*(12/'01 Major Assumptions'!AD$14)/(AD63+'06 Debt &amp; WC'!AD$30),0)</f>
        <v>-6.1495302088526743E-2</v>
      </c>
      <c r="AE161" s="6">
        <f>IFERROR(AE18*(12/'01 Major Assumptions'!AE$14)/(AE63+'06 Debt &amp; WC'!AE$30),0)</f>
        <v>-4.0497452211558288E-2</v>
      </c>
      <c r="AF161" s="6">
        <f>IFERROR(AF18*(12/'01 Major Assumptions'!AF$14)/(AF63+'06 Debt &amp; WC'!AF$30),0)</f>
        <v>-1.346555813134993E-2</v>
      </c>
      <c r="AG161" s="6">
        <f>IFERROR(AG18*(12/'01 Major Assumptions'!AG$14)/(AG63+'06 Debt &amp; WC'!AG$30),0)</f>
        <v>7.8813801249377202E-3</v>
      </c>
      <c r="AH161" s="6">
        <f>IFERROR(AH18*(12/'01 Major Assumptions'!AH$14)/(AH63+'06 Debt &amp; WC'!AH$30),0)</f>
        <v>2.9603592279209587E-2</v>
      </c>
      <c r="AI161" s="6">
        <f>IFERROR(AI18*(12/'01 Major Assumptions'!AI$14)/(AI63+'06 Debt &amp; WC'!AI$30),0)</f>
        <v>5.097953585170046E-2</v>
      </c>
      <c r="AJ161" s="6">
        <f>IFERROR(AJ18*(12/'01 Major Assumptions'!AJ$14)/(AJ63+'06 Debt &amp; WC'!AJ$30),0)</f>
        <v>7.2196690769458963E-2</v>
      </c>
      <c r="AK161" s="6">
        <f>IFERROR(AK18*(12/'01 Major Assumptions'!AK$14)/(AK63+'06 Debt &amp; WC'!AK$30),0)</f>
        <v>9.3142541405911702E-2</v>
      </c>
      <c r="AL161" s="6">
        <f>IFERROR(AL18*(12/'01 Major Assumptions'!AL$14)/(AL63+'06 Debt &amp; WC'!AL$30),0)</f>
        <v>0.11370584426758013</v>
      </c>
      <c r="AM161" s="6">
        <f ca="1">IFERROR(AM18*(12/'01 Major Assumptions'!AM$14)/(AM63+'06 Debt &amp; WC'!AM$30),0)</f>
        <v>0.13378271744657877</v>
      </c>
      <c r="AN161" s="6">
        <f ca="1">IFERROR(AN18*(12/'01 Major Assumptions'!AN$14)/(AN63+'06 Debt &amp; WC'!AN$30),0)</f>
        <v>0.15424973979786002</v>
      </c>
      <c r="AO161" s="6">
        <f ca="1">IFERROR(AO18*(12/'01 Major Assumptions'!AO$14)/(AO63+'06 Debt &amp; WC'!AO$30),0)</f>
        <v>0.15361977055676035</v>
      </c>
      <c r="AP161" s="6">
        <f ca="1">IFERROR(AP18*(12/'01 Major Assumptions'!AP$14)/(AP63+'06 Debt &amp; WC'!AP$30),0)</f>
        <v>0.15357830491097044</v>
      </c>
      <c r="AQ161" s="6">
        <f ca="1">IFERROR(AQ18*(12/'01 Major Assumptions'!AQ$14)/(AQ63+'06 Debt &amp; WC'!AQ$30),0)</f>
        <v>0.15761211363534638</v>
      </c>
      <c r="AR161" s="6">
        <f ca="1">IFERROR(AR18*(12/'01 Major Assumptions'!AR$14)/(AR63+'06 Debt &amp; WC'!AR$30),0)</f>
        <v>0.15687230143366576</v>
      </c>
      <c r="AS161" s="6">
        <f ca="1">IFERROR(AS18*(12/'01 Major Assumptions'!AS$14)/(AS63+'06 Debt &amp; WC'!AS$30),0)</f>
        <v>0.15613109375802361</v>
      </c>
      <c r="AT161" s="6">
        <f ca="1">IFERROR(AT18*(12/'01 Major Assumptions'!AT$14)/(AT63+'06 Debt &amp; WC'!AT$30),0)</f>
        <v>0.15539099505504175</v>
      </c>
      <c r="AU161" s="6">
        <f ca="1">IFERROR(AU18*(12/'01 Major Assumptions'!AU$14)/(AU63+'06 Debt &amp; WC'!AU$30),0)</f>
        <v>0.15465274370003013</v>
      </c>
      <c r="AV161" s="6">
        <f ca="1">IFERROR(AV18*(12/'01 Major Assumptions'!AV$14)/(AV63+'06 Debt &amp; WC'!AV$30),0)</f>
        <v>0.15391637411495698</v>
      </c>
      <c r="AW161" s="6">
        <f ca="1">IFERROR(AW18*(12/'01 Major Assumptions'!AW$14)/(AW63+'06 Debt &amp; WC'!AW$30),0)</f>
        <v>0.15318191989798396</v>
      </c>
      <c r="AX161" s="6">
        <f ca="1">IFERROR(AX18*(12/'01 Major Assumptions'!AX$14)/(AX63+'06 Debt &amp; WC'!AX$30),0)</f>
        <v>0.15244941383112615</v>
      </c>
      <c r="AY161" s="6">
        <f ca="1">IFERROR(AY18*(12/'01 Major Assumptions'!AY$14)/(AY63+'06 Debt &amp; WC'!AY$30),0)</f>
        <v>0.15517585075609713</v>
      </c>
      <c r="AZ161" s="6">
        <f ca="1">IFERROR(AZ18*(12/'01 Major Assumptions'!AZ$14)/(AZ63+'06 Debt &amp; WC'!AZ$30),0)</f>
        <v>0.15441673640101397</v>
      </c>
      <c r="BA161" s="6">
        <f ca="1">IFERROR(BA18*(12/'01 Major Assumptions'!BA$14)/(BA63+'06 Debt &amp; WC'!BA$30),0)</f>
        <v>0.15365987162983066</v>
      </c>
      <c r="BB161" s="6">
        <f ca="1">IFERROR(BB18*(12/'01 Major Assumptions'!BB$14)/(BB63+'06 Debt &amp; WC'!BB$30),0)</f>
        <v>0.1529052864786391</v>
      </c>
      <c r="BC161" s="6">
        <f ca="1">IFERROR(BC18*(12/'01 Major Assumptions'!BC$14)/(BC63+'06 Debt &amp; WC'!BC$30),0)</f>
        <v>0.15677758721823681</v>
      </c>
      <c r="BD161" s="6">
        <f ca="1">IFERROR(BD18*(12/'01 Major Assumptions'!BD$14)/(BD63+'06 Debt &amp; WC'!BD$30),0)</f>
        <v>0.15594796915505268</v>
      </c>
      <c r="BE161" s="6">
        <f ca="1">IFERROR(BE18*(12/'01 Major Assumptions'!BE$14)/(BE63+'06 Debt &amp; WC'!BE$30),0)</f>
        <v>0.15512189889284869</v>
      </c>
      <c r="BF161" s="6">
        <f ca="1">IFERROR(BF18*(12/'01 Major Assumptions'!BF$14)/(BF63+'06 Debt &amp; WC'!BF$30),0)</f>
        <v>0.15429939032022774</v>
      </c>
      <c r="BG161" s="6">
        <f ca="1">IFERROR(BG18*(12/'01 Major Assumptions'!BG$14)/(BG63+'06 Debt &amp; WC'!BG$30),0)</f>
        <v>0.15348045654974624</v>
      </c>
      <c r="BH161" s="6">
        <f ca="1">IFERROR(BH18*(12/'01 Major Assumptions'!BH$14)/(BH63+'06 Debt &amp; WC'!BH$30),0)</f>
        <v>0.15266510993198742</v>
      </c>
      <c r="BI161" s="6">
        <f ca="1">IFERROR(BI18*(12/'01 Major Assumptions'!BI$14)/(BI63+'06 Debt &amp; WC'!BI$30),0)</f>
        <v>0.15668702099085546</v>
      </c>
      <c r="BJ161" s="6">
        <f ca="1">IFERROR(BJ18*(12/'01 Major Assumptions'!BJ$14)/(BJ63+'06 Debt &amp; WC'!BJ$30),0)</f>
        <v>0.16040318712713694</v>
      </c>
      <c r="BK161" s="6">
        <f ca="1">IFERROR(BK18*(12/'01 Major Assumptions'!BK$14)/(BK63+'06 Debt &amp; WC'!BK$30),0)</f>
        <v>0.17114010650000427</v>
      </c>
      <c r="BL161" s="6">
        <f ca="1">IFERROR(BL18*(12/'01 Major Assumptions'!BL$14)/(BL63+'06 Debt &amp; WC'!BL$30),0)</f>
        <v>0.17532538190693536</v>
      </c>
      <c r="BM161" s="6">
        <f ca="1">IFERROR(BM18*(12/'01 Major Assumptions'!BM$14)/(BM63+'06 Debt &amp; WC'!BM$30),0)</f>
        <v>0.17602812172722926</v>
      </c>
      <c r="BN161" s="6">
        <f ca="1">IFERROR(BN18*(12/'01 Major Assumptions'!BN$14)/(BN63+'06 Debt &amp; WC'!BN$30),0)</f>
        <v>0.1661897405461169</v>
      </c>
      <c r="BO161" s="6">
        <f ca="1">IFERROR(BO18*(12/'01 Major Assumptions'!BO$14)/(BO63+'06 Debt &amp; WC'!BO$30),0)</f>
        <v>0.15556537971044609</v>
      </c>
    </row>
    <row r="162" spans="1:67">
      <c r="A162" s="11"/>
      <c r="B162" s="11"/>
      <c r="C162" s="11" t="s">
        <v>593</v>
      </c>
      <c r="D162" s="33"/>
      <c r="E162" s="6"/>
      <c r="F162" s="6"/>
      <c r="G162" s="6">
        <f>IFERROR(G22*(12/'01 Major Assumptions'!G$14)/G63,0)</f>
        <v>-0.1806561730880217</v>
      </c>
      <c r="H162" s="6">
        <f>IFERROR(H22*(12/'01 Major Assumptions'!H$14)/H63,0)</f>
        <v>-9.0704614636225797E-2</v>
      </c>
      <c r="I162" s="6">
        <f>IFERROR(I22*(12/'01 Major Assumptions'!I$14)/I63,0)</f>
        <v>-6.0493237686561084E-2</v>
      </c>
      <c r="J162" s="6">
        <f>IFERROR(J22*(12/'01 Major Assumptions'!J$14)/J63,0)</f>
        <v>-1.252576230631434E-2</v>
      </c>
      <c r="K162" s="6">
        <f>IFERROR(K22*(12/'01 Major Assumptions'!K$14)/K63,0)</f>
        <v>-1.0788788478511575E-2</v>
      </c>
      <c r="L162" s="6">
        <f>IFERROR(L22*(12/'01 Major Assumptions'!L$14)/L63,0)</f>
        <v>-9.475348486013814E-3</v>
      </c>
      <c r="M162" s="6">
        <f>IFERROR(M22*(12/'01 Major Assumptions'!M$14)/M63,0)</f>
        <v>-8.4464654970532634E-3</v>
      </c>
      <c r="N162" s="6">
        <f>IFERROR(N22*(12/'01 Major Assumptions'!N$14)/N63,0)</f>
        <v>-7.6192889167222338E-3</v>
      </c>
      <c r="O162" s="6">
        <f>IFERROR(O22*(12/'01 Major Assumptions'!O$14)/O63,0)</f>
        <v>-6.9397989028774244E-3</v>
      </c>
      <c r="P162" s="6">
        <f>IFERROR(P22*(12/'01 Major Assumptions'!P$14)/P63,0)</f>
        <v>-7.9282691239320347E-3</v>
      </c>
      <c r="Q162" s="6">
        <f>IFERROR(Q22*(12/'01 Major Assumptions'!Q$14)/Q63,0)</f>
        <v>-7.6576722756085793E-3</v>
      </c>
      <c r="R162" s="6">
        <f>IFERROR(R22*(12/'01 Major Assumptions'!R$14)/R63,0)</f>
        <v>-1.2029403172800003E-2</v>
      </c>
      <c r="S162" s="6">
        <f>IFERROR(S22*(12/'01 Major Assumptions'!S$14)/S63,0)</f>
        <v>-1.0266524164114428E-2</v>
      </c>
      <c r="T162" s="6">
        <f>IFERROR(T22*(12/'01 Major Assumptions'!T$14)/T63,0)</f>
        <v>-2.0246198081174137E-2</v>
      </c>
      <c r="U162" s="6">
        <f>IFERROR(U22*(12/'01 Major Assumptions'!U$14)/U63,0)</f>
        <v>-2.0243947778128782E-2</v>
      </c>
      <c r="V162" s="6">
        <f>IFERROR(V22*(12/'01 Major Assumptions'!V$14)/V63,0)</f>
        <v>-2.2053634940047695E-2</v>
      </c>
      <c r="W162" s="6">
        <f>IFERROR(W22*(12/'01 Major Assumptions'!W$14)/W63,0)</f>
        <v>-2.2052342989691838E-2</v>
      </c>
      <c r="X162" s="6">
        <f>IFERROR(X22*(12/'01 Major Assumptions'!X$14)/X63,0)</f>
        <v>-2.1875247148140303E-2</v>
      </c>
      <c r="Y162" s="6">
        <f>IFERROR(Y22*(12/'01 Major Assumptions'!Y$14)/Y63,0)</f>
        <v>-2.1873976136667573E-2</v>
      </c>
      <c r="Z162" s="6">
        <f>IFERROR(Z22*(12/'01 Major Assumptions'!Z$14)/Z63,0)</f>
        <v>-2.3169039502360916E-2</v>
      </c>
      <c r="AA162" s="6">
        <f>IFERROR(AA22*(12/'01 Major Assumptions'!AA$14)/AA63,0)</f>
        <v>-2.3176948339357024E-2</v>
      </c>
      <c r="AB162" s="6">
        <f>IFERROR(AB22*(12/'01 Major Assumptions'!AB$14)/AB63,0)</f>
        <v>-0.59558119644236707</v>
      </c>
      <c r="AC162" s="6">
        <f>IFERROR(AC22*(12/'01 Major Assumptions'!AC$14)/AC63,0)</f>
        <v>-0.26084705678495168</v>
      </c>
      <c r="AD162" s="6">
        <f>IFERROR(AD22*(12/'01 Major Assumptions'!AD$14)/AD63,0)</f>
        <v>-0.22195414532471283</v>
      </c>
      <c r="AE162" s="6">
        <f>IFERROR(AE22*(12/'01 Major Assumptions'!AE$14)/AE63,0)</f>
        <v>-0.17954540084339604</v>
      </c>
      <c r="AF162" s="6">
        <f>IFERROR(AF22*(12/'01 Major Assumptions'!AF$14)/AF63,0)</f>
        <v>-0.12258503480213553</v>
      </c>
      <c r="AG162" s="6">
        <f>IFERROR(AG22*(12/'01 Major Assumptions'!AG$14)/AG63,0)</f>
        <v>-7.7275156283656318E-2</v>
      </c>
      <c r="AH162" s="6">
        <f>IFERROR(AH22*(12/'01 Major Assumptions'!AH$14)/AH63,0)</f>
        <v>-2.9373284427315113E-2</v>
      </c>
      <c r="AI162" s="6">
        <f>IFERROR(AI22*(12/'01 Major Assumptions'!AI$14)/AI63,0)</f>
        <v>1.7694875270538035E-2</v>
      </c>
      <c r="AJ162" s="6">
        <f>IFERROR(AJ22*(12/'01 Major Assumptions'!AJ$14)/AJ63,0)</f>
        <v>6.4993144036463377E-2</v>
      </c>
      <c r="AK162" s="6">
        <f>IFERROR(AK22*(12/'01 Major Assumptions'!AK$14)/AK63,0)</f>
        <v>0.11123844192194866</v>
      </c>
      <c r="AL162" s="6">
        <f>IFERROR(AL22*(12/'01 Major Assumptions'!AL$14)/AL63,0)</f>
        <v>0.15670817844665919</v>
      </c>
      <c r="AM162" s="6">
        <f ca="1">IFERROR(AM22*(12/'01 Major Assumptions'!AM$14)/AM63,0)</f>
        <v>0.20029758467177539</v>
      </c>
      <c r="AN162" s="6">
        <f ca="1">IFERROR(AN22*(12/'01 Major Assumptions'!AN$14)/AN63,0)</f>
        <v>0.24154998312332807</v>
      </c>
      <c r="AO162" s="6">
        <f ca="1">IFERROR(AO22*(12/'01 Major Assumptions'!AO$14)/AO63,0)</f>
        <v>0.23837800082778987</v>
      </c>
      <c r="AP162" s="6">
        <f ca="1">IFERROR(AP22*(12/'01 Major Assumptions'!AP$14)/AP63,0)</f>
        <v>0.23654268785823726</v>
      </c>
      <c r="AQ162" s="6">
        <f ca="1">IFERROR(AQ22*(12/'01 Major Assumptions'!AQ$14)/AQ63,0)</f>
        <v>0.24341293770590963</v>
      </c>
      <c r="AR162" s="6">
        <f ca="1">IFERROR(AR22*(12/'01 Major Assumptions'!AR$14)/AR63,0)</f>
        <v>0.24024601549671321</v>
      </c>
      <c r="AS162" s="6">
        <f ca="1">IFERROR(AS22*(12/'01 Major Assumptions'!AS$14)/AS63,0)</f>
        <v>0.23657241932785839</v>
      </c>
      <c r="AT162" s="6">
        <f ca="1">IFERROR(AT22*(12/'01 Major Assumptions'!AT$14)/AT63,0)</f>
        <v>0.23267447156792864</v>
      </c>
      <c r="AU162" s="6">
        <f ca="1">IFERROR(AU22*(12/'01 Major Assumptions'!AU$14)/AU63,0)</f>
        <v>0.22881358996574616</v>
      </c>
      <c r="AV162" s="6">
        <f ca="1">IFERROR(AV22*(12/'01 Major Assumptions'!AV$14)/AV63,0)</f>
        <v>0.2250865938042135</v>
      </c>
      <c r="AW162" s="6">
        <f ca="1">IFERROR(AW22*(12/'01 Major Assumptions'!AW$14)/AW63,0)</f>
        <v>0.22148660482384877</v>
      </c>
      <c r="AX162" s="6">
        <f ca="1">IFERROR(AX22*(12/'01 Major Assumptions'!AX$14)/AX63,0)</f>
        <v>0.2180072081576194</v>
      </c>
      <c r="AY162" s="6">
        <f ca="1">IFERROR(AY22*(12/'01 Major Assumptions'!AY$14)/AY63,0)</f>
        <v>0.22350158869026507</v>
      </c>
      <c r="AZ162" s="6">
        <f ca="1">IFERROR(AZ22*(12/'01 Major Assumptions'!AZ$14)/AZ63,0)</f>
        <v>0.21995149828563643</v>
      </c>
      <c r="BA162" s="6">
        <f ca="1">IFERROR(BA22*(12/'01 Major Assumptions'!BA$14)/BA63,0)</f>
        <v>0.21651952290213733</v>
      </c>
      <c r="BB162" s="6">
        <f ca="1">IFERROR(BB22*(12/'01 Major Assumptions'!BB$14)/BB63,0)</f>
        <v>0.21319983486194569</v>
      </c>
      <c r="BC162" s="6">
        <f ca="1">IFERROR(BC22*(12/'01 Major Assumptions'!BC$14)/BC63,0)</f>
        <v>0.21786761576052446</v>
      </c>
      <c r="BD162" s="6">
        <f ca="1">IFERROR(BD22*(12/'01 Major Assumptions'!BD$14)/BD63,0)</f>
        <v>0.21448124239390434</v>
      </c>
      <c r="BE162" s="6">
        <f ca="1">IFERROR(BE22*(12/'01 Major Assumptions'!BE$14)/BE63,0)</f>
        <v>0.21120501736002092</v>
      </c>
      <c r="BF162" s="6">
        <f ca="1">IFERROR(BF22*(12/'01 Major Assumptions'!BF$14)/BF63,0)</f>
        <v>0.20803362692514435</v>
      </c>
      <c r="BG162" s="6">
        <f ca="1">IFERROR(BG22*(12/'01 Major Assumptions'!BG$14)/BG63,0)</f>
        <v>0.20496209386334718</v>
      </c>
      <c r="BH162" s="6">
        <f ca="1">IFERROR(BH22*(12/'01 Major Assumptions'!BH$14)/BH63,0)</f>
        <v>0.20198575123295773</v>
      </c>
      <c r="BI162" s="6">
        <f ca="1">IFERROR(BI22*(12/'01 Major Assumptions'!BI$14)/BI63,0)</f>
        <v>0.1878342746280392</v>
      </c>
      <c r="BJ162" s="6">
        <f ca="1">IFERROR(BJ22*(12/'01 Major Assumptions'!BJ$14)/BJ63,0)</f>
        <v>0.18164158462296998</v>
      </c>
      <c r="BK162" s="6">
        <f ca="1">IFERROR(BK22*(12/'01 Major Assumptions'!BK$14)/BK63,0)</f>
        <v>0.184711288913778</v>
      </c>
      <c r="BL162" s="6">
        <f ca="1">IFERROR(BL22*(12/'01 Major Assumptions'!BL$14)/BL63,0)</f>
        <v>0.18015754451224475</v>
      </c>
      <c r="BM162" s="6">
        <f ca="1">IFERROR(BM22*(12/'01 Major Assumptions'!BM$14)/BM63,0)</f>
        <v>0.17291419004176828</v>
      </c>
      <c r="BN162" s="6">
        <f ca="1">IFERROR(BN22*(12/'01 Major Assumptions'!BN$14)/BN63,0)</f>
        <v>0.14620598757278497</v>
      </c>
      <c r="BO162" s="6">
        <f ca="1">IFERROR(BO22*(12/'01 Major Assumptions'!BO$14)/BO63,0)</f>
        <v>0.12551669468047116</v>
      </c>
    </row>
    <row r="163" spans="1:67">
      <c r="A163" s="11"/>
      <c r="B163" s="11"/>
      <c r="C163" s="11"/>
      <c r="D163" s="33"/>
      <c r="E163" s="33"/>
      <c r="F163" s="33"/>
      <c r="G163" s="33"/>
      <c r="H163" s="33"/>
      <c r="I163" s="33"/>
      <c r="J163" s="33"/>
      <c r="K163" s="33"/>
      <c r="L163" s="33"/>
      <c r="M163" s="33"/>
      <c r="N163" s="33"/>
      <c r="O163" s="33"/>
      <c r="P163" s="33"/>
      <c r="Q163" s="33"/>
      <c r="R163" s="33"/>
      <c r="S163" s="33"/>
      <c r="T163" s="33"/>
      <c r="U163" s="33"/>
      <c r="V163" s="33"/>
      <c r="W163" s="33"/>
      <c r="X163" s="33"/>
      <c r="Y163" s="33"/>
      <c r="Z163" s="33"/>
      <c r="AA163" s="33"/>
      <c r="AB163" s="33"/>
      <c r="AC163" s="33"/>
      <c r="AD163" s="33"/>
      <c r="AE163" s="33"/>
      <c r="AF163" s="33"/>
      <c r="AG163" s="33"/>
      <c r="AH163" s="33"/>
      <c r="AI163" s="33"/>
      <c r="AJ163" s="33"/>
      <c r="AK163" s="33"/>
      <c r="AL163" s="33"/>
      <c r="AM163" s="33"/>
      <c r="AN163" s="33"/>
      <c r="AO163" s="33"/>
      <c r="AP163" s="33"/>
      <c r="AQ163" s="33"/>
      <c r="AR163" s="33"/>
      <c r="AS163" s="33"/>
      <c r="AT163" s="33"/>
      <c r="AU163" s="33"/>
      <c r="AV163" s="33"/>
      <c r="AW163" s="33"/>
      <c r="AX163" s="33"/>
      <c r="AY163" s="33"/>
      <c r="AZ163" s="33"/>
      <c r="BA163" s="33"/>
      <c r="BB163" s="33"/>
      <c r="BC163" s="33"/>
      <c r="BD163" s="33"/>
      <c r="BE163" s="33"/>
      <c r="BF163" s="33"/>
      <c r="BG163" s="33"/>
      <c r="BH163" s="33"/>
      <c r="BI163" s="33"/>
      <c r="BJ163" s="33"/>
      <c r="BK163" s="33"/>
      <c r="BL163" s="33"/>
      <c r="BM163" s="33"/>
      <c r="BN163" s="33"/>
      <c r="BO163" s="33"/>
    </row>
    <row r="164" spans="1:67">
      <c r="A164" s="11"/>
      <c r="B164" s="22" t="s">
        <v>594</v>
      </c>
      <c r="C164" s="11"/>
      <c r="D164" s="33"/>
      <c r="E164" s="33"/>
      <c r="F164" s="33"/>
      <c r="G164" s="33"/>
      <c r="H164" s="33"/>
      <c r="I164" s="33"/>
      <c r="J164" s="33"/>
      <c r="K164" s="33"/>
      <c r="L164" s="33"/>
      <c r="M164" s="33"/>
      <c r="N164" s="33"/>
      <c r="O164" s="33"/>
      <c r="P164" s="33"/>
      <c r="Q164" s="33"/>
      <c r="R164" s="33"/>
      <c r="S164" s="33"/>
      <c r="T164" s="33"/>
      <c r="U164" s="33"/>
      <c r="V164" s="33"/>
      <c r="W164" s="33"/>
      <c r="X164" s="33"/>
      <c r="Y164" s="33"/>
      <c r="Z164" s="33"/>
      <c r="AA164" s="33"/>
      <c r="AB164" s="33"/>
      <c r="AC164" s="33"/>
      <c r="AD164" s="33"/>
      <c r="AE164" s="33"/>
      <c r="AF164" s="33"/>
      <c r="AG164" s="33"/>
      <c r="AH164" s="33"/>
      <c r="AI164" s="33"/>
      <c r="AJ164" s="33"/>
      <c r="AK164" s="33"/>
      <c r="AL164" s="33"/>
      <c r="AM164" s="33"/>
      <c r="AN164" s="33"/>
      <c r="AO164" s="33"/>
      <c r="AP164" s="33"/>
      <c r="AQ164" s="33"/>
      <c r="AR164" s="33"/>
      <c r="AS164" s="33"/>
      <c r="AT164" s="33"/>
      <c r="AU164" s="33"/>
      <c r="AV164" s="33"/>
      <c r="AW164" s="33"/>
      <c r="AX164" s="33"/>
      <c r="AY164" s="33"/>
      <c r="AZ164" s="33"/>
      <c r="BA164" s="33"/>
      <c r="BB164" s="33"/>
      <c r="BC164" s="33"/>
      <c r="BD164" s="33"/>
      <c r="BE164" s="33"/>
      <c r="BF164" s="33"/>
      <c r="BG164" s="33"/>
      <c r="BH164" s="33"/>
      <c r="BI164" s="33"/>
      <c r="BJ164" s="33"/>
      <c r="BK164" s="33"/>
      <c r="BL164" s="33"/>
      <c r="BM164" s="33"/>
      <c r="BN164" s="33"/>
      <c r="BO164" s="33"/>
    </row>
    <row r="165" spans="1:67">
      <c r="A165" s="11"/>
      <c r="B165" s="11"/>
      <c r="C165" s="11" t="s">
        <v>595</v>
      </c>
      <c r="D165" s="33"/>
      <c r="E165" s="110"/>
      <c r="F165" s="110"/>
      <c r="G165" s="110">
        <f>IFERROR(G9*(12/'01 Major Assumptions'!G$14)/G39,0)</f>
        <v>0</v>
      </c>
      <c r="H165" s="110">
        <f>IFERROR(H9*(12/'01 Major Assumptions'!H$14)/H39,0)</f>
        <v>0</v>
      </c>
      <c r="I165" s="110">
        <f>IFERROR(I9*(12/'01 Major Assumptions'!I$14)/I39,0)</f>
        <v>0</v>
      </c>
      <c r="J165" s="110">
        <f>IFERROR(J9*(12/'01 Major Assumptions'!J$14)/J39,0)</f>
        <v>0</v>
      </c>
      <c r="K165" s="110">
        <f>IFERROR(K9*(12/'01 Major Assumptions'!K$14)/K39,0)</f>
        <v>0</v>
      </c>
      <c r="L165" s="110">
        <f>IFERROR(L9*(12/'01 Major Assumptions'!L$14)/L39,0)</f>
        <v>0</v>
      </c>
      <c r="M165" s="110">
        <f>IFERROR(M9*(12/'01 Major Assumptions'!M$14)/M39,0)</f>
        <v>0</v>
      </c>
      <c r="N165" s="110">
        <f>IFERROR(N9*(12/'01 Major Assumptions'!N$14)/N39,0)</f>
        <v>0</v>
      </c>
      <c r="O165" s="110">
        <f>IFERROR(O9*(12/'01 Major Assumptions'!O$14)/O39,0)</f>
        <v>0</v>
      </c>
      <c r="P165" s="110">
        <f>IFERROR(P9*(12/'01 Major Assumptions'!P$14)/P39,0)</f>
        <v>0</v>
      </c>
      <c r="Q165" s="110">
        <f>IFERROR(Q9*(12/'01 Major Assumptions'!Q$14)/Q39,0)</f>
        <v>0</v>
      </c>
      <c r="R165" s="110">
        <f>IFERROR(R9*(12/'01 Major Assumptions'!R$14)/R39,0)</f>
        <v>0</v>
      </c>
      <c r="S165" s="110">
        <f>IFERROR(S9*(12/'01 Major Assumptions'!S$14)/S39,0)</f>
        <v>0</v>
      </c>
      <c r="T165" s="110">
        <f>IFERROR(T9*(12/'01 Major Assumptions'!T$14)/T39,0)</f>
        <v>0</v>
      </c>
      <c r="U165" s="110">
        <f>IFERROR(U9*(12/'01 Major Assumptions'!U$14)/U39,0)</f>
        <v>0</v>
      </c>
      <c r="V165" s="110">
        <f>IFERROR(V9*(12/'01 Major Assumptions'!V$14)/V39,0)</f>
        <v>0</v>
      </c>
      <c r="W165" s="110">
        <f>IFERROR(W9*(12/'01 Major Assumptions'!W$14)/W39,0)</f>
        <v>0</v>
      </c>
      <c r="X165" s="110">
        <f>IFERROR(X9*(12/'01 Major Assumptions'!X$14)/X39,0)</f>
        <v>0</v>
      </c>
      <c r="Y165" s="110">
        <f>IFERROR(Y9*(12/'01 Major Assumptions'!Y$14)/Y39,0)</f>
        <v>0</v>
      </c>
      <c r="Z165" s="110">
        <f>IFERROR(Z9*(12/'01 Major Assumptions'!Z$14)/Z39,0)</f>
        <v>0</v>
      </c>
      <c r="AA165" s="110">
        <f>IFERROR(AA9*(12/'01 Major Assumptions'!AA$14)/AA39,0)</f>
        <v>0</v>
      </c>
      <c r="AB165" s="110">
        <f>IFERROR(AB9*(12/'01 Major Assumptions'!AB$14)/AB39,0)</f>
        <v>8.2666666666666675</v>
      </c>
      <c r="AC165" s="110">
        <f>IFERROR(AC9*(12/'01 Major Assumptions'!AC$14)/AC39,0)</f>
        <v>8</v>
      </c>
      <c r="AD165" s="110">
        <f>IFERROR(AD9*(12/'01 Major Assumptions'!AD$14)/AD39,0)</f>
        <v>8.2666666666666657</v>
      </c>
      <c r="AE165" s="110">
        <f>IFERROR(AE9*(12/'01 Major Assumptions'!AE$14)/AE39,0)</f>
        <v>8.2666666666666675</v>
      </c>
      <c r="AF165" s="110">
        <f>IFERROR(AF9*(12/'01 Major Assumptions'!AF$14)/AF39,0)</f>
        <v>7.4666666666666668</v>
      </c>
      <c r="AG165" s="110">
        <f>IFERROR(AG9*(12/'01 Major Assumptions'!AG$14)/AG39,0)</f>
        <v>8.2666666666666675</v>
      </c>
      <c r="AH165" s="110">
        <f>IFERROR(AH9*(12/'01 Major Assumptions'!AH$14)/AH39,0)</f>
        <v>8</v>
      </c>
      <c r="AI165" s="110">
        <f>IFERROR(AI9*(12/'01 Major Assumptions'!AI$14)/AI39,0)</f>
        <v>8.2666666666666675</v>
      </c>
      <c r="AJ165" s="110">
        <f>IFERROR(AJ9*(12/'01 Major Assumptions'!AJ$14)/AJ39,0)</f>
        <v>8</v>
      </c>
      <c r="AK165" s="110">
        <f>IFERROR(AK9*(12/'01 Major Assumptions'!AK$14)/AK39,0)</f>
        <v>8.2666666666666675</v>
      </c>
      <c r="AL165" s="110">
        <f>IFERROR(AL9*(12/'01 Major Assumptions'!AL$14)/AL39,0)</f>
        <v>8.2666666666666675</v>
      </c>
      <c r="AM165" s="110">
        <f>IFERROR(AM9*(12/'01 Major Assumptions'!AM$14)/AM39,0)</f>
        <v>8</v>
      </c>
      <c r="AN165" s="110">
        <f>IFERROR(AN9*(12/'01 Major Assumptions'!AN$14)/AN39,0)</f>
        <v>8.2666666666666657</v>
      </c>
      <c r="AO165" s="110">
        <f>IFERROR(AO9*(12/'01 Major Assumptions'!AO$14)/AO39,0)</f>
        <v>8</v>
      </c>
      <c r="AP165" s="110">
        <f>IFERROR(AP9*(12/'01 Major Assumptions'!AP$14)/AP39,0)</f>
        <v>8.2666666666666657</v>
      </c>
      <c r="AQ165" s="110">
        <f>IFERROR(AQ9*(12/'01 Major Assumptions'!AQ$14)/AQ39,0)</f>
        <v>8.2666666666666675</v>
      </c>
      <c r="AR165" s="110">
        <f>IFERROR(AR9*(12/'01 Major Assumptions'!AR$14)/AR39,0)</f>
        <v>7.4666666666666668</v>
      </c>
      <c r="AS165" s="110">
        <f>IFERROR(AS9*(12/'01 Major Assumptions'!AS$14)/AS39,0)</f>
        <v>8.2666666666666675</v>
      </c>
      <c r="AT165" s="110">
        <f>IFERROR(AT9*(12/'01 Major Assumptions'!AT$14)/AT39,0)</f>
        <v>8</v>
      </c>
      <c r="AU165" s="110">
        <f>IFERROR(AU9*(12/'01 Major Assumptions'!AU$14)/AU39,0)</f>
        <v>8.2666666666666675</v>
      </c>
      <c r="AV165" s="110">
        <f>IFERROR(AV9*(12/'01 Major Assumptions'!AV$14)/AV39,0)</f>
        <v>8</v>
      </c>
      <c r="AW165" s="110">
        <f>IFERROR(AW9*(12/'01 Major Assumptions'!AW$14)/AW39,0)</f>
        <v>8.2666666666666675</v>
      </c>
      <c r="AX165" s="110">
        <f>IFERROR(AX9*(12/'01 Major Assumptions'!AX$14)/AX39,0)</f>
        <v>8.2666666666666675</v>
      </c>
      <c r="AY165" s="110">
        <f>IFERROR(AY9*(12/'01 Major Assumptions'!AY$14)/AY39,0)</f>
        <v>8</v>
      </c>
      <c r="AZ165" s="110">
        <f>IFERROR(AZ9*(12/'01 Major Assumptions'!AZ$14)/AZ39,0)</f>
        <v>8.2666666666666675</v>
      </c>
      <c r="BA165" s="110">
        <f>IFERROR(BA9*(12/'01 Major Assumptions'!BA$14)/BA39,0)</f>
        <v>8</v>
      </c>
      <c r="BB165" s="110">
        <f>IFERROR(BB9*(12/'01 Major Assumptions'!BB$14)/BB39,0)</f>
        <v>8.2666666666666675</v>
      </c>
      <c r="BC165" s="110">
        <f>IFERROR(BC9*(12/'01 Major Assumptions'!BC$14)/BC39,0)</f>
        <v>8.2666666666666657</v>
      </c>
      <c r="BD165" s="110">
        <f>IFERROR(BD9*(12/'01 Major Assumptions'!BD$14)/BD39,0)</f>
        <v>7.4666666666666668</v>
      </c>
      <c r="BE165" s="110">
        <f>IFERROR(BE9*(12/'01 Major Assumptions'!BE$14)/BE39,0)</f>
        <v>8.2666666666666657</v>
      </c>
      <c r="BF165" s="110">
        <f>IFERROR(BF9*(12/'01 Major Assumptions'!BF$14)/BF39,0)</f>
        <v>8</v>
      </c>
      <c r="BG165" s="110">
        <f>IFERROR(BG9*(12/'01 Major Assumptions'!BG$14)/BG39,0)</f>
        <v>8.2666666666666657</v>
      </c>
      <c r="BH165" s="110">
        <f>IFERROR(BH9*(12/'01 Major Assumptions'!BH$14)/BH39,0)</f>
        <v>8</v>
      </c>
      <c r="BI165" s="110">
        <f>IFERROR(BI9*(12/'01 Major Assumptions'!BI$14)/BI39,0)</f>
        <v>8.1333333333333329</v>
      </c>
      <c r="BJ165" s="110">
        <f>IFERROR(BJ9*(12/'01 Major Assumptions'!BJ$14)/BJ39,0)</f>
        <v>8.1111111111111107</v>
      </c>
      <c r="BK165" s="110">
        <f>IFERROR(BK9*(12/'01 Major Assumptions'!BK$14)/BK39,0)</f>
        <v>8.1111111111111125</v>
      </c>
      <c r="BL165" s="110">
        <f>IFERROR(BL9*(12/'01 Major Assumptions'!BL$14)/BL39,0)</f>
        <v>8.1111111111111107</v>
      </c>
      <c r="BM165" s="110">
        <f>IFERROR(BM9*(12/'01 Major Assumptions'!BM$14)/BM39,0)</f>
        <v>8.1333333333333329</v>
      </c>
      <c r="BN165" s="110">
        <f>IFERROR(BN9*(12/'01 Major Assumptions'!BN$14)/BN39,0)</f>
        <v>8.1111111111111107</v>
      </c>
      <c r="BO165" s="110">
        <f>IFERROR(BO9*(12/'01 Major Assumptions'!BO$14)/BO39,0)</f>
        <v>8.1111111111111107</v>
      </c>
    </row>
    <row r="166" spans="1:67">
      <c r="A166" s="11"/>
      <c r="B166" s="11"/>
      <c r="C166" s="11" t="s">
        <v>596</v>
      </c>
      <c r="D166" s="33"/>
      <c r="E166" s="110"/>
      <c r="F166" s="110"/>
      <c r="G166" s="110">
        <f>IFERROR(G9*(12/'01 Major Assumptions'!G$14)/G46,0)</f>
        <v>0</v>
      </c>
      <c r="H166" s="110">
        <f>IFERROR(H9*(12/'01 Major Assumptions'!H$14)/H46,0)</f>
        <v>0</v>
      </c>
      <c r="I166" s="110">
        <f>IFERROR(I9*(12/'01 Major Assumptions'!I$14)/I46,0)</f>
        <v>0</v>
      </c>
      <c r="J166" s="110">
        <f>IFERROR(J9*(12/'01 Major Assumptions'!J$14)/J46,0)</f>
        <v>0</v>
      </c>
      <c r="K166" s="110">
        <f>IFERROR(K9*(12/'01 Major Assumptions'!K$14)/K46,0)</f>
        <v>0</v>
      </c>
      <c r="L166" s="110">
        <f>IFERROR(L9*(12/'01 Major Assumptions'!L$14)/L46,0)</f>
        <v>0</v>
      </c>
      <c r="M166" s="110">
        <f>IFERROR(M9*(12/'01 Major Assumptions'!M$14)/M46,0)</f>
        <v>0</v>
      </c>
      <c r="N166" s="110">
        <f>IFERROR(N9*(12/'01 Major Assumptions'!N$14)/N46,0)</f>
        <v>0</v>
      </c>
      <c r="O166" s="110">
        <f>IFERROR(O9*(12/'01 Major Assumptions'!O$14)/O46,0)</f>
        <v>0</v>
      </c>
      <c r="P166" s="110">
        <f>IFERROR(P9*(12/'01 Major Assumptions'!P$14)/P46,0)</f>
        <v>0</v>
      </c>
      <c r="Q166" s="110">
        <f>IFERROR(Q9*(12/'01 Major Assumptions'!Q$14)/Q46,0)</f>
        <v>0</v>
      </c>
      <c r="R166" s="110">
        <f>IFERROR(R9*(12/'01 Major Assumptions'!R$14)/R46,0)</f>
        <v>0</v>
      </c>
      <c r="S166" s="110">
        <f>IFERROR(S9*(12/'01 Major Assumptions'!S$14)/S46,0)</f>
        <v>0</v>
      </c>
      <c r="T166" s="110">
        <f>IFERROR(T9*(12/'01 Major Assumptions'!T$14)/T46,0)</f>
        <v>0</v>
      </c>
      <c r="U166" s="110">
        <f>IFERROR(U9*(12/'01 Major Assumptions'!U$14)/U46,0)</f>
        <v>0</v>
      </c>
      <c r="V166" s="110">
        <f>IFERROR(V9*(12/'01 Major Assumptions'!V$14)/V46,0)</f>
        <v>0</v>
      </c>
      <c r="W166" s="110">
        <f>IFERROR(W9*(12/'01 Major Assumptions'!W$14)/W46,0)</f>
        <v>0</v>
      </c>
      <c r="X166" s="110">
        <f>IFERROR(X9*(12/'01 Major Assumptions'!X$14)/X46,0)</f>
        <v>0</v>
      </c>
      <c r="Y166" s="110">
        <f>IFERROR(Y9*(12/'01 Major Assumptions'!Y$14)/Y46,0)</f>
        <v>0</v>
      </c>
      <c r="Z166" s="110">
        <f>IFERROR(Z9*(12/'01 Major Assumptions'!Z$14)/Z46,0)</f>
        <v>0</v>
      </c>
      <c r="AA166" s="110">
        <f>IFERROR(AA9*(12/'01 Major Assumptions'!AA$14)/AA46,0)</f>
        <v>0</v>
      </c>
      <c r="AB166" s="110">
        <f>IFERROR(AB9*(12/'01 Major Assumptions'!AB$14)/AB46,0)</f>
        <v>0.1040537811558661</v>
      </c>
      <c r="AC166" s="110">
        <f>IFERROR(AC9*(12/'01 Major Assumptions'!AC$14)/AC46,0)</f>
        <v>0.13858604516691037</v>
      </c>
      <c r="AD166" s="110">
        <f>IFERROR(AD9*(12/'01 Major Assumptions'!AD$14)/AD46,0)</f>
        <v>0.17280371996314126</v>
      </c>
      <c r="AE166" s="110">
        <f>IFERROR(AE9*(12/'01 Major Assumptions'!AE$14)/AE46,0)</f>
        <v>0.21129415899826892</v>
      </c>
      <c r="AF166" s="110">
        <f>IFERROR(AF9*(12/'01 Major Assumptions'!AF$14)/AF46,0)</f>
        <v>0.24515109718714309</v>
      </c>
      <c r="AG166" s="110">
        <f>IFERROR(AG9*(12/'01 Major Assumptions'!AG$14)/AG46,0)</f>
        <v>0.28107047105686178</v>
      </c>
      <c r="AH166" s="110">
        <f>IFERROR(AH9*(12/'01 Major Assumptions'!AH$14)/AH46,0)</f>
        <v>0.31549857299726403</v>
      </c>
      <c r="AI166" s="110">
        <f>IFERROR(AI9*(12/'01 Major Assumptions'!AI$14)/AI46,0)</f>
        <v>0.35097390626215469</v>
      </c>
      <c r="AJ166" s="110">
        <f>IFERROR(AJ9*(12/'01 Major Assumptions'!AJ$14)/AJ46,0)</f>
        <v>0.38523252907416361</v>
      </c>
      <c r="AK166" s="110">
        <f>IFERROR(AK9*(12/'01 Major Assumptions'!AK$14)/AK46,0)</f>
        <v>0.42101049068372465</v>
      </c>
      <c r="AL166" s="110">
        <f>IFERROR(AL9*(12/'01 Major Assumptions'!AL$14)/AL46,0)</f>
        <v>0.45608060871715989</v>
      </c>
      <c r="AM166" s="110">
        <f>IFERROR(AM9*(12/'01 Major Assumptions'!AM$14)/AM46,0)</f>
        <v>0.49000610088699559</v>
      </c>
      <c r="AN166" s="110">
        <f>IFERROR(AN9*(12/'01 Major Assumptions'!AN$14)/AN46,0)</f>
        <v>0.52632831050760398</v>
      </c>
      <c r="AO166" s="110">
        <f>IFERROR(AO9*(12/'01 Major Assumptions'!AO$14)/AO46,0)</f>
        <v>0.52777758953214371</v>
      </c>
      <c r="AP166" s="110">
        <f>IFERROR(AP9*(12/'01 Major Assumptions'!AP$14)/AP46,0)</f>
        <v>0.53198727685865055</v>
      </c>
      <c r="AQ166" s="110">
        <f>IFERROR(AQ9*(12/'01 Major Assumptions'!AQ$14)/AQ46,0)</f>
        <v>0.54555065140825121</v>
      </c>
      <c r="AR166" s="110">
        <f>IFERROR(AR9*(12/'01 Major Assumptions'!AR$14)/AR46,0)</f>
        <v>0.54383809656138982</v>
      </c>
      <c r="AS166" s="110">
        <f>IFERROR(AS9*(12/'01 Major Assumptions'!AS$14)/AS46,0)</f>
        <v>0.5436371535940967</v>
      </c>
      <c r="AT166" s="110">
        <f>IFERROR(AT9*(12/'01 Major Assumptions'!AT$14)/AT46,0)</f>
        <v>0.54110642946485177</v>
      </c>
      <c r="AU166" s="110">
        <f>IFERROR(AU9*(12/'01 Major Assumptions'!AU$14)/AU46,0)</f>
        <v>0.53948205081001532</v>
      </c>
      <c r="AV166" s="110">
        <f>IFERROR(AV9*(12/'01 Major Assumptions'!AV$14)/AV46,0)</f>
        <v>0.53696315773083581</v>
      </c>
      <c r="AW166" s="110">
        <f>IFERROR(AW9*(12/'01 Major Assumptions'!AW$14)/AW46,0)</f>
        <v>0.53533730721682615</v>
      </c>
      <c r="AX166" s="110">
        <f>IFERROR(AX9*(12/'01 Major Assumptions'!AX$14)/AX46,0)</f>
        <v>0.53326912685313366</v>
      </c>
      <c r="AY166" s="110">
        <f ca="1">IFERROR(AY9*(12/'01 Major Assumptions'!AY$14)/AY46,0)</f>
        <v>0.53076877295512181</v>
      </c>
      <c r="AZ166" s="110">
        <f ca="1">IFERROR(AZ9*(12/'01 Major Assumptions'!AZ$14)/AZ46,0)</f>
        <v>0.52914174254012691</v>
      </c>
      <c r="BA166" s="110">
        <f ca="1">IFERROR(BA9*(12/'01 Major Assumptions'!BA$14)/BA46,0)</f>
        <v>0.52665424827991658</v>
      </c>
      <c r="BB166" s="110">
        <f ca="1">IFERROR(BB9*(12/'01 Major Assumptions'!BB$14)/BB46,0)</f>
        <v>0.52502709192034769</v>
      </c>
      <c r="BC166" s="110">
        <f ca="1">IFERROR(BC9*(12/'01 Major Assumptions'!BC$14)/BC46,0)</f>
        <v>0.53397512984287732</v>
      </c>
      <c r="BD166" s="110">
        <f ca="1">IFERROR(BD9*(12/'01 Major Assumptions'!BD$14)/BD46,0)</f>
        <v>0.53028670462770044</v>
      </c>
      <c r="BE166" s="110">
        <f ca="1">IFERROR(BE9*(12/'01 Major Assumptions'!BE$14)/BE46,0)</f>
        <v>0.52940827906319476</v>
      </c>
      <c r="BF166" s="110">
        <f ca="1">IFERROR(BF9*(12/'01 Major Assumptions'!BF$14)/BF46,0)</f>
        <v>0.52670581082061696</v>
      </c>
      <c r="BG166" s="110">
        <f ca="1">IFERROR(BG9*(12/'01 Major Assumptions'!BG$14)/BG46,0)</f>
        <v>0.52486940094976497</v>
      </c>
      <c r="BH166" s="110">
        <f ca="1">IFERROR(BH9*(12/'01 Major Assumptions'!BH$14)/BH46,0)</f>
        <v>0.52218835627789884</v>
      </c>
      <c r="BI166" s="110">
        <f ca="1">IFERROR(BI9*(12/'01 Major Assumptions'!BI$14)/BI46,0)</f>
        <v>0.51189572085350332</v>
      </c>
      <c r="BJ166" s="110">
        <f ca="1">IFERROR(BJ9*(12/'01 Major Assumptions'!BJ$14)/BJ46,0)</f>
        <v>0.52220311116617779</v>
      </c>
      <c r="BK166" s="110">
        <f ca="1">IFERROR(BK9*(12/'01 Major Assumptions'!BK$14)/BK46,0)</f>
        <v>0.52677854783958566</v>
      </c>
      <c r="BL166" s="110">
        <f ca="1">IFERROR(BL9*(12/'01 Major Assumptions'!BL$14)/BL46,0)</f>
        <v>0.53015244775623449</v>
      </c>
      <c r="BM166" s="110">
        <f ca="1">IFERROR(BM9*(12/'01 Major Assumptions'!BM$14)/BM46,0)</f>
        <v>0.53238656954734431</v>
      </c>
      <c r="BN166" s="110">
        <f ca="1">IFERROR(BN9*(12/'01 Major Assumptions'!BN$14)/BN46,0)</f>
        <v>0.51172991027599812</v>
      </c>
      <c r="BO166" s="110">
        <f ca="1">IFERROR(BO9*(12/'01 Major Assumptions'!BO$14)/BO46,0)</f>
        <v>0.49269327678668334</v>
      </c>
    </row>
    <row r="167" spans="1:67">
      <c r="A167" s="11"/>
      <c r="B167" s="11"/>
      <c r="C167" s="11" t="s">
        <v>597</v>
      </c>
      <c r="D167" s="33"/>
      <c r="E167" s="110"/>
      <c r="F167" s="110"/>
      <c r="G167" s="110">
        <f>IFERROR(G9*(12/'01 Major Assumptions'!G$14)/G44,0)</f>
        <v>0</v>
      </c>
      <c r="H167" s="110">
        <f>IFERROR(H9*(12/'01 Major Assumptions'!H$14)/H44,0)</f>
        <v>0</v>
      </c>
      <c r="I167" s="110">
        <f>IFERROR(I9*(12/'01 Major Assumptions'!I$14)/I44,0)</f>
        <v>0</v>
      </c>
      <c r="J167" s="110">
        <f>IFERROR(J9*(12/'01 Major Assumptions'!J$14)/J44,0)</f>
        <v>0</v>
      </c>
      <c r="K167" s="110">
        <f>IFERROR(K9*(12/'01 Major Assumptions'!K$14)/K44,0)</f>
        <v>0</v>
      </c>
      <c r="L167" s="110">
        <f>IFERROR(L9*(12/'01 Major Assumptions'!L$14)/L44,0)</f>
        <v>0</v>
      </c>
      <c r="M167" s="110">
        <f>IFERROR(M9*(12/'01 Major Assumptions'!M$14)/M44,0)</f>
        <v>0</v>
      </c>
      <c r="N167" s="110">
        <f>IFERROR(N9*(12/'01 Major Assumptions'!N$14)/N44,0)</f>
        <v>0</v>
      </c>
      <c r="O167" s="110">
        <f>IFERROR(O9*(12/'01 Major Assumptions'!O$14)/O44,0)</f>
        <v>0</v>
      </c>
      <c r="P167" s="110">
        <f>IFERROR(P9*(12/'01 Major Assumptions'!P$14)/P44,0)</f>
        <v>0</v>
      </c>
      <c r="Q167" s="110">
        <f>IFERROR(Q9*(12/'01 Major Assumptions'!Q$14)/Q44,0)</f>
        <v>0</v>
      </c>
      <c r="R167" s="110">
        <f>IFERROR(R9*(12/'01 Major Assumptions'!R$14)/R44,0)</f>
        <v>0</v>
      </c>
      <c r="S167" s="110">
        <f>IFERROR(S9*(12/'01 Major Assumptions'!S$14)/S44,0)</f>
        <v>0</v>
      </c>
      <c r="T167" s="110">
        <f>IFERROR(T9*(12/'01 Major Assumptions'!T$14)/T44,0)</f>
        <v>0</v>
      </c>
      <c r="U167" s="110">
        <f>IFERROR(U9*(12/'01 Major Assumptions'!U$14)/U44,0)</f>
        <v>0</v>
      </c>
      <c r="V167" s="110">
        <f>IFERROR(V9*(12/'01 Major Assumptions'!V$14)/V44,0)</f>
        <v>0</v>
      </c>
      <c r="W167" s="110">
        <f>IFERROR(W9*(12/'01 Major Assumptions'!W$14)/W44,0)</f>
        <v>0</v>
      </c>
      <c r="X167" s="110">
        <f>IFERROR(X9*(12/'01 Major Assumptions'!X$14)/X44,0)</f>
        <v>0</v>
      </c>
      <c r="Y167" s="110">
        <f>IFERROR(Y9*(12/'01 Major Assumptions'!Y$14)/Y44,0)</f>
        <v>0</v>
      </c>
      <c r="Z167" s="110">
        <f>IFERROR(Z9*(12/'01 Major Assumptions'!Z$14)/Z44,0)</f>
        <v>0</v>
      </c>
      <c r="AA167" s="110">
        <f>IFERROR(AA9*(12/'01 Major Assumptions'!AA$14)/AA44,0)</f>
        <v>0</v>
      </c>
      <c r="AB167" s="110">
        <f>IFERROR(AB9*(12/'01 Major Assumptions'!AB$14)/AB44,0)</f>
        <v>0.10797281219972643</v>
      </c>
      <c r="AC167" s="110">
        <f>IFERROR(AC9*(12/'01 Major Assumptions'!AC$14)/AC44,0)</f>
        <v>0.14383825125531022</v>
      </c>
      <c r="AD167" s="110">
        <f>IFERROR(AD9*(12/'01 Major Assumptions'!AD$14)/AD44,0)</f>
        <v>0.18009528808118364</v>
      </c>
      <c r="AE167" s="110">
        <f>IFERROR(AE9*(12/'01 Major Assumptions'!AE$14)/AE44,0)</f>
        <v>0.22152146787452384</v>
      </c>
      <c r="AF167" s="110">
        <f>IFERROR(AF9*(12/'01 Major Assumptions'!AF$14)/AF44,0)</f>
        <v>0.2593991754144036</v>
      </c>
      <c r="AG167" s="110">
        <f>IFERROR(AG9*(12/'01 Major Assumptions'!AG$14)/AG44,0)</f>
        <v>0.29769974484714584</v>
      </c>
      <c r="AH167" s="110">
        <f>IFERROR(AH9*(12/'01 Major Assumptions'!AH$14)/AH44,0)</f>
        <v>0.33643109946859073</v>
      </c>
      <c r="AI167" s="110">
        <f>IFERROR(AI9*(12/'01 Major Assumptions'!AI$14)/AI44,0)</f>
        <v>0.37560135967911196</v>
      </c>
      <c r="AJ167" s="110">
        <f>IFERROR(AJ9*(12/'01 Major Assumptions'!AJ$14)/AJ44,0)</f>
        <v>0.41521884915718116</v>
      </c>
      <c r="AK167" s="110">
        <f>IFERROR(AK9*(12/'01 Major Assumptions'!AK$14)/AK44,0)</f>
        <v>0.45529210126641162</v>
      </c>
      <c r="AL167" s="110">
        <f>IFERROR(AL9*(12/'01 Major Assumptions'!AL$14)/AL44,0)</f>
        <v>0.49582986570644677</v>
      </c>
      <c r="AM167" s="110">
        <f>IFERROR(AM9*(12/'01 Major Assumptions'!AM$14)/AM44,0)</f>
        <v>0.53684111541858992</v>
      </c>
      <c r="AN167" s="110">
        <f>IFERROR(AN9*(12/'01 Major Assumptions'!AN$14)/AN44,0)</f>
        <v>0.57833505375762972</v>
      </c>
      <c r="AO167" s="110">
        <f>IFERROR(AO9*(12/'01 Major Assumptions'!AO$14)/AO44,0)</f>
        <v>0.58173655454840001</v>
      </c>
      <c r="AP167" s="110">
        <f>IFERROR(AP9*(12/'01 Major Assumptions'!AP$14)/AP44,0)</f>
        <v>0.58518272671934246</v>
      </c>
      <c r="AQ167" s="110">
        <f>IFERROR(AQ9*(12/'01 Major Assumptions'!AQ$14)/AQ44,0)</f>
        <v>0.60163135403340551</v>
      </c>
      <c r="AR167" s="110">
        <f>IFERROR(AR9*(12/'01 Major Assumptions'!AR$14)/AR44,0)</f>
        <v>0.60524740000176758</v>
      </c>
      <c r="AS167" s="110">
        <f>IFERROR(AS9*(12/'01 Major Assumptions'!AS$14)/AS44,0)</f>
        <v>0.60891186192537494</v>
      </c>
      <c r="AT167" s="110">
        <f>IFERROR(AT9*(12/'01 Major Assumptions'!AT$14)/AT44,0)</f>
        <v>0.61262570967542862</v>
      </c>
      <c r="AU167" s="110">
        <f>IFERROR(AU9*(12/'01 Major Assumptions'!AU$14)/AU44,0)</f>
        <v>0.61638993922303331</v>
      </c>
      <c r="AV167" s="110">
        <f>IFERROR(AV9*(12/'01 Major Assumptions'!AV$14)/AV44,0)</f>
        <v>0.62020557352304062</v>
      </c>
      <c r="AW167" s="110">
        <f>IFERROR(AW9*(12/'01 Major Assumptions'!AW$14)/AW44,0)</f>
        <v>0.62407366343405335</v>
      </c>
      <c r="AX167" s="110">
        <f>IFERROR(AX9*(12/'01 Major Assumptions'!AX$14)/AX44,0)</f>
        <v>0.62799528867632903</v>
      </c>
      <c r="AY167" s="110">
        <f>IFERROR(AY9*(12/'01 Major Assumptions'!AY$14)/AY44,0)</f>
        <v>0.63197155882941769</v>
      </c>
      <c r="AZ167" s="110">
        <f>IFERROR(AZ9*(12/'01 Major Assumptions'!AZ$14)/AZ44,0)</f>
        <v>0.63600361437146791</v>
      </c>
      <c r="BA167" s="110">
        <f>IFERROR(BA9*(12/'01 Major Assumptions'!BA$14)/BA44,0)</f>
        <v>0.64009262776224962</v>
      </c>
      <c r="BB167" s="110">
        <f>IFERROR(BB9*(12/'01 Major Assumptions'!BB$14)/BB44,0)</f>
        <v>0.6442398045720491</v>
      </c>
      <c r="BC167" s="110">
        <f>IFERROR(BC9*(12/'01 Major Assumptions'!BC$14)/BC44,0)</f>
        <v>0.66272015235765935</v>
      </c>
      <c r="BD167" s="110">
        <f>IFERROR(BD9*(12/'01 Major Assumptions'!BD$14)/BD44,0)</f>
        <v>0.66708134308518729</v>
      </c>
      <c r="BE167" s="110">
        <f>IFERROR(BE9*(12/'01 Major Assumptions'!BE$14)/BE44,0)</f>
        <v>0.67150588918941279</v>
      </c>
      <c r="BF167" s="110">
        <f>IFERROR(BF9*(12/'01 Major Assumptions'!BF$14)/BF44,0)</f>
        <v>0.67599517069504778</v>
      </c>
      <c r="BG167" s="110">
        <f>IFERROR(BG9*(12/'01 Major Assumptions'!BG$14)/BG44,0)</f>
        <v>0.68055060802469025</v>
      </c>
      <c r="BH167" s="110">
        <f>IFERROR(BH9*(12/'01 Major Assumptions'!BH$14)/BH44,0)</f>
        <v>0.68517366348787556</v>
      </c>
      <c r="BI167" s="110">
        <f>IFERROR(BI9*(12/'01 Major Assumptions'!BI$14)/BI44,0)</f>
        <v>0.76342055208376836</v>
      </c>
      <c r="BJ167" s="110">
        <f>IFERROR(BJ9*(12/'01 Major Assumptions'!BJ$14)/BJ44,0)</f>
        <v>0.85883770509712132</v>
      </c>
      <c r="BK167" s="110">
        <f>IFERROR(BK9*(12/'01 Major Assumptions'!BK$14)/BK44,0)</f>
        <v>0.96434312164308356</v>
      </c>
      <c r="BL167" s="110">
        <f>IFERROR(BL9*(12/'01 Major Assumptions'!BL$14)/BL44,0)</f>
        <v>1.0898998139951077</v>
      </c>
      <c r="BM167" s="110">
        <f>IFERROR(BM9*(12/'01 Major Assumptions'!BM$14)/BM44,0)</f>
        <v>1.2482466547421709</v>
      </c>
      <c r="BN167" s="110">
        <f>IFERROR(BN9*(12/'01 Major Assumptions'!BN$14)/BN44,0)</f>
        <v>1.4539995638246752</v>
      </c>
      <c r="BO167" s="110">
        <f>IFERROR(BO9*(12/'01 Major Assumptions'!BO$14)/BO44,0)</f>
        <v>1.7209660253646428</v>
      </c>
    </row>
    <row r="168" spans="1:67">
      <c r="A168" s="11"/>
      <c r="B168" s="11"/>
      <c r="C168" s="11" t="s">
        <v>598</v>
      </c>
      <c r="D168" s="33"/>
      <c r="E168" s="110"/>
      <c r="F168" s="110"/>
      <c r="G168" s="110">
        <f>IFERROR(-G11*(12/'01 Major Assumptions'!G$14)/G40,0)</f>
        <v>0</v>
      </c>
      <c r="H168" s="110">
        <f>IFERROR(-H11*(12/'01 Major Assumptions'!H$14)/H40,0)</f>
        <v>0</v>
      </c>
      <c r="I168" s="110">
        <f>IFERROR(-I11*(12/'01 Major Assumptions'!I$14)/I40,0)</f>
        <v>0</v>
      </c>
      <c r="J168" s="110">
        <f>IFERROR(-J11*(12/'01 Major Assumptions'!J$14)/J40,0)</f>
        <v>0</v>
      </c>
      <c r="K168" s="110">
        <f>IFERROR(-K11*(12/'01 Major Assumptions'!K$14)/K40,0)</f>
        <v>0</v>
      </c>
      <c r="L168" s="110">
        <f>IFERROR(-L11*(12/'01 Major Assumptions'!L$14)/L40,0)</f>
        <v>0</v>
      </c>
      <c r="M168" s="110">
        <f>IFERROR(-M11*(12/'01 Major Assumptions'!M$14)/M40,0)</f>
        <v>0</v>
      </c>
      <c r="N168" s="110">
        <f>IFERROR(-N11*(12/'01 Major Assumptions'!N$14)/N40,0)</f>
        <v>0</v>
      </c>
      <c r="O168" s="110">
        <f>IFERROR(-O11*(12/'01 Major Assumptions'!O$14)/O40,0)</f>
        <v>0</v>
      </c>
      <c r="P168" s="110">
        <f>IFERROR(-P11*(12/'01 Major Assumptions'!P$14)/P40,0)</f>
        <v>0</v>
      </c>
      <c r="Q168" s="110">
        <f>IFERROR(-Q11*(12/'01 Major Assumptions'!Q$14)/Q40,0)</f>
        <v>0</v>
      </c>
      <c r="R168" s="110">
        <f>IFERROR(-R11*(12/'01 Major Assumptions'!R$14)/R40,0)</f>
        <v>0</v>
      </c>
      <c r="S168" s="110">
        <f>IFERROR(-S11*(12/'01 Major Assumptions'!S$14)/S40,0)</f>
        <v>0</v>
      </c>
      <c r="T168" s="110">
        <f>IFERROR(-T11*(12/'01 Major Assumptions'!T$14)/T40,0)</f>
        <v>0</v>
      </c>
      <c r="U168" s="110">
        <f>IFERROR(-U11*(12/'01 Major Assumptions'!U$14)/U40,0)</f>
        <v>0</v>
      </c>
      <c r="V168" s="110">
        <f>IFERROR(-V11*(12/'01 Major Assumptions'!V$14)/V40,0)</f>
        <v>0</v>
      </c>
      <c r="W168" s="110">
        <f>IFERROR(-W11*(12/'01 Major Assumptions'!W$14)/W40,0)</f>
        <v>0</v>
      </c>
      <c r="X168" s="110">
        <f>IFERROR(-X11*(12/'01 Major Assumptions'!X$14)/X40,0)</f>
        <v>0</v>
      </c>
      <c r="Y168" s="110">
        <f>IFERROR(-Y11*(12/'01 Major Assumptions'!Y$14)/Y40,0)</f>
        <v>0</v>
      </c>
      <c r="Z168" s="110">
        <f>IFERROR(-Z11*(12/'01 Major Assumptions'!Z$14)/Z40,0)</f>
        <v>0</v>
      </c>
      <c r="AA168" s="110">
        <f>IFERROR(-AA11*(12/'01 Major Assumptions'!AA$14)/AA40,0)</f>
        <v>0</v>
      </c>
      <c r="AB168" s="110">
        <f>IFERROR(-AB11*(12/'01 Major Assumptions'!AB$14)/AB40,0)</f>
        <v>9.1080872998929276</v>
      </c>
      <c r="AC168" s="110">
        <f>IFERROR(-AC11*(12/'01 Major Assumptions'!AC$14)/AC40,0)</f>
        <v>5.200473741650959</v>
      </c>
      <c r="AD168" s="110">
        <f>IFERROR(-AD11*(12/'01 Major Assumptions'!AD$14)/AD40,0)</f>
        <v>6.188628611694968</v>
      </c>
      <c r="AE168" s="110">
        <f>IFERROR(-AE11*(12/'01 Major Assumptions'!AE$14)/AE40,0)</f>
        <v>7.048664802592242</v>
      </c>
      <c r="AF168" s="110">
        <f>IFERROR(-AF11*(12/'01 Major Assumptions'!AF$14)/AF40,0)</f>
        <v>7.518902243726628</v>
      </c>
      <c r="AG168" s="110">
        <f>IFERROR(-AG11*(12/'01 Major Assumptions'!AG$14)/AG40,0)</f>
        <v>8.6456492847965123</v>
      </c>
      <c r="AH168" s="110">
        <f>IFERROR(-AH11*(12/'01 Major Assumptions'!AH$14)/AH40,0)</f>
        <v>9.2406343990179494</v>
      </c>
      <c r="AI168" s="110">
        <f>IFERROR(-AI11*(12/'01 Major Assumptions'!AI$14)/AI40,0)</f>
        <v>10.084539937192176</v>
      </c>
      <c r="AJ168" s="110">
        <f>IFERROR(-AJ11*(12/'01 Major Assumptions'!AJ$14)/AJ40,0)</f>
        <v>10.579320505003015</v>
      </c>
      <c r="AK168" s="110">
        <f>IFERROR(-AK11*(12/'01 Major Assumptions'!AK$14)/AK40,0)</f>
        <v>11.388080195345156</v>
      </c>
      <c r="AL168" s="110">
        <f>IFERROR(-AL11*(12/'01 Major Assumptions'!AL$14)/AL40,0)</f>
        <v>11.995036309163121</v>
      </c>
      <c r="AM168" s="110">
        <f>IFERROR(-AM11*(12/'01 Major Assumptions'!AM$14)/AM40,0)</f>
        <v>12.358716583040279</v>
      </c>
      <c r="AN168" s="110">
        <f>IFERROR(-AN11*(12/'01 Major Assumptions'!AN$14)/AN40,0)</f>
        <v>13.129344418545841</v>
      </c>
      <c r="AO168" s="110">
        <f>IFERROR(-AO11*(12/'01 Major Assumptions'!AO$14)/AO40,0)</f>
        <v>12.900604062904947</v>
      </c>
      <c r="AP168" s="110">
        <f>IFERROR(-AP11*(12/'01 Major Assumptions'!AP$14)/AP40,0)</f>
        <v>13.132325274529469</v>
      </c>
      <c r="AQ168" s="110">
        <f>IFERROR(-AQ11*(12/'01 Major Assumptions'!AQ$14)/AQ40,0)</f>
        <v>13.093493842877516</v>
      </c>
      <c r="AR168" s="110">
        <f>IFERROR(-AR11*(12/'01 Major Assumptions'!AR$14)/AR40,0)</f>
        <v>12.384700536965063</v>
      </c>
      <c r="AS168" s="110">
        <f>IFERROR(-AS11*(12/'01 Major Assumptions'!AS$14)/AS40,0)</f>
        <v>13.096392898645304</v>
      </c>
      <c r="AT168" s="110">
        <f>IFERROR(-AT11*(12/'01 Major Assumptions'!AT$14)/AT40,0)</f>
        <v>12.868156246900826</v>
      </c>
      <c r="AU168" s="110">
        <f>IFERROR(-AU11*(12/'01 Major Assumptions'!AU$14)/AU40,0)</f>
        <v>13.099289194546337</v>
      </c>
      <c r="AV168" s="110">
        <f>IFERROR(-AV11*(12/'01 Major Assumptions'!AV$14)/AV40,0)</f>
        <v>12.870907220768482</v>
      </c>
      <c r="AW168" s="110">
        <f>IFERROR(-AW11*(12/'01 Major Assumptions'!AW$14)/AW40,0)</f>
        <v>13.102182734519797</v>
      </c>
      <c r="AX168" s="110">
        <f>IFERROR(-AX11*(12/'01 Major Assumptions'!AX$14)/AX40,0)</f>
        <v>13.103628472262614</v>
      </c>
      <c r="AY168" s="110">
        <f>IFERROR(-AY11*(12/'01 Major Assumptions'!AY$14)/AY40,0)</f>
        <v>12.875028701273246</v>
      </c>
      <c r="AZ168" s="110">
        <f>IFERROR(-AZ11*(12/'01 Major Assumptions'!AZ$14)/AZ40,0)</f>
        <v>13.106517885714238</v>
      </c>
      <c r="BA168" s="110">
        <f>IFERROR(-BA11*(12/'01 Major Assumptions'!BA$14)/BA40,0)</f>
        <v>12.877773040352652</v>
      </c>
      <c r="BB168" s="110">
        <f>IFERROR(-BB11*(12/'01 Major Assumptions'!BB$14)/BB40,0)</f>
        <v>13.109404553053453</v>
      </c>
      <c r="BC168" s="110">
        <f>IFERROR(-BC11*(12/'01 Major Assumptions'!BC$14)/BC40,0)</f>
        <v>13.071593671484253</v>
      </c>
      <c r="BD168" s="110">
        <f>IFERROR(-BD11*(12/'01 Major Assumptions'!BD$14)/BD40,0)</f>
        <v>12.362871968114575</v>
      </c>
      <c r="BE168" s="110">
        <f>IFERROR(-BE11*(12/'01 Major Assumptions'!BE$14)/BE40,0)</f>
        <v>13.074400477627149</v>
      </c>
      <c r="BF168" s="110">
        <f>IFERROR(-BF11*(12/'01 Major Assumptions'!BF$14)/BF40,0)</f>
        <v>12.846145531577948</v>
      </c>
      <c r="BG168" s="110">
        <f>IFERROR(-BG11*(12/'01 Major Assumptions'!BG$14)/BG40,0)</f>
        <v>13.077204650071414</v>
      </c>
      <c r="BH168" s="110">
        <f>IFERROR(-BH11*(12/'01 Major Assumptions'!BH$14)/BH40,0)</f>
        <v>12.848807647926579</v>
      </c>
      <c r="BI168" s="110">
        <f>IFERROR(-BI11*(12/'01 Major Assumptions'!BI$14)/BI40,0)</f>
        <v>12.94717834486886</v>
      </c>
      <c r="BJ168" s="110">
        <f>IFERROR(-BJ11*(12/'01 Major Assumptions'!BJ$14)/BJ40,0)</f>
        <v>12.906866728831632</v>
      </c>
      <c r="BK168" s="110">
        <f>IFERROR(-BK11*(12/'01 Major Assumptions'!BK$14)/BK40,0)</f>
        <v>12.844623528101414</v>
      </c>
      <c r="BL168" s="110">
        <f>IFERROR(-BL11*(12/'01 Major Assumptions'!BL$14)/BL40,0)</f>
        <v>12.812105427932654</v>
      </c>
      <c r="BM168" s="110">
        <f>IFERROR(-BM11*(12/'01 Major Assumptions'!BM$14)/BM40,0)</f>
        <v>12.813165582638762</v>
      </c>
      <c r="BN168" s="110">
        <f>IFERROR(-BN11*(12/'01 Major Assumptions'!BN$14)/BN40,0)</f>
        <v>12.780646615496858</v>
      </c>
      <c r="BO168" s="110">
        <f>IFERROR(-BO11*(12/'01 Major Assumptions'!BO$14)/BO40,0)</f>
        <v>12.767294106671072</v>
      </c>
    </row>
    <row r="169" spans="1:67">
      <c r="A169" s="11"/>
      <c r="B169" s="11"/>
      <c r="C169" s="11" t="s">
        <v>599</v>
      </c>
      <c r="D169" s="33"/>
      <c r="E169" s="110"/>
      <c r="F169" s="110"/>
      <c r="G169" s="110">
        <f>IFERROR('05 Opex'!G$94*(12/'01 Major Assumptions'!G$14)/G49,0)</f>
        <v>12.4</v>
      </c>
      <c r="H169" s="110">
        <f>IFERROR('05 Opex'!H$94*(12/'01 Major Assumptions'!H$14)/H49,0)</f>
        <v>11.2</v>
      </c>
      <c r="I169" s="110">
        <f>IFERROR('05 Opex'!I$94*(12/'01 Major Assumptions'!I$14)/I49,0)</f>
        <v>12.4</v>
      </c>
      <c r="J169" s="110">
        <f>IFERROR('05 Opex'!J$94*(12/'01 Major Assumptions'!J$14)/J49,0)</f>
        <v>12</v>
      </c>
      <c r="K169" s="110">
        <f>IFERROR('05 Opex'!K$94*(12/'01 Major Assumptions'!K$14)/K49,0)</f>
        <v>12.4</v>
      </c>
      <c r="L169" s="110">
        <f>IFERROR('05 Opex'!L$94*(12/'01 Major Assumptions'!L$14)/L49,0)</f>
        <v>12</v>
      </c>
      <c r="M169" s="110">
        <f>IFERROR('05 Opex'!M$94*(12/'01 Major Assumptions'!M$14)/M49,0)</f>
        <v>12.4</v>
      </c>
      <c r="N169" s="110">
        <f>IFERROR('05 Opex'!N$94*(12/'01 Major Assumptions'!N$14)/N49,0)</f>
        <v>12.4</v>
      </c>
      <c r="O169" s="110">
        <f>IFERROR('05 Opex'!O$94*(12/'01 Major Assumptions'!O$14)/O49,0)</f>
        <v>12</v>
      </c>
      <c r="P169" s="110">
        <f>IFERROR('05 Opex'!P$94*(12/'01 Major Assumptions'!P$14)/P49,0)</f>
        <v>12.4</v>
      </c>
      <c r="Q169" s="110">
        <f>IFERROR('05 Opex'!Q$94*(12/'01 Major Assumptions'!Q$14)/Q49,0)</f>
        <v>12</v>
      </c>
      <c r="R169" s="110">
        <f>IFERROR('05 Opex'!R$94*(12/'01 Major Assumptions'!R$14)/R49,0)</f>
        <v>12.4</v>
      </c>
      <c r="S169" s="110">
        <f>IFERROR('05 Opex'!S$94*(12/'01 Major Assumptions'!S$14)/S49,0)</f>
        <v>12.399999999999999</v>
      </c>
      <c r="T169" s="110">
        <f>IFERROR('05 Opex'!T$94*(12/'01 Major Assumptions'!T$14)/T49,0)</f>
        <v>11.600000000000001</v>
      </c>
      <c r="U169" s="110">
        <f>IFERROR('05 Opex'!U$94*(12/'01 Major Assumptions'!U$14)/U49,0)</f>
        <v>12.4</v>
      </c>
      <c r="V169" s="110">
        <f>IFERROR('05 Opex'!V$94*(12/'01 Major Assumptions'!V$14)/V49,0)</f>
        <v>12</v>
      </c>
      <c r="W169" s="110">
        <f>IFERROR('05 Opex'!W$94*(12/'01 Major Assumptions'!W$14)/W49,0)</f>
        <v>12.4</v>
      </c>
      <c r="X169" s="110">
        <f>IFERROR('05 Opex'!X$94*(12/'01 Major Assumptions'!X$14)/X49,0)</f>
        <v>12</v>
      </c>
      <c r="Y169" s="110">
        <f>IFERROR('05 Opex'!Y$94*(12/'01 Major Assumptions'!Y$14)/Y49,0)</f>
        <v>12.4</v>
      </c>
      <c r="Z169" s="110">
        <f>IFERROR('05 Opex'!Z$94*(12/'01 Major Assumptions'!Z$14)/Z49,0)</f>
        <v>12.399999999999999</v>
      </c>
      <c r="AA169" s="110">
        <f>IFERROR('05 Opex'!AA$94*(12/'01 Major Assumptions'!AA$14)/AA49,0)</f>
        <v>12</v>
      </c>
      <c r="AB169" s="110">
        <f>IFERROR('05 Opex'!AB$94*(12/'01 Major Assumptions'!AB$14)/AB49,0)</f>
        <v>12.4</v>
      </c>
      <c r="AC169" s="110">
        <f>IFERROR('05 Opex'!AC$94*(12/'01 Major Assumptions'!AC$14)/AC49,0)</f>
        <v>12</v>
      </c>
      <c r="AD169" s="110">
        <f>IFERROR('05 Opex'!AD$94*(12/'01 Major Assumptions'!AD$14)/AD49,0)</f>
        <v>12.4</v>
      </c>
      <c r="AE169" s="110">
        <f>IFERROR('05 Opex'!AE$94*(12/'01 Major Assumptions'!AE$14)/AE49,0)</f>
        <v>12.399999999999999</v>
      </c>
      <c r="AF169" s="110">
        <f>IFERROR('05 Opex'!AF$94*(12/'01 Major Assumptions'!AF$14)/AF49,0)</f>
        <v>11.2</v>
      </c>
      <c r="AG169" s="110">
        <f>IFERROR('05 Opex'!AG$94*(12/'01 Major Assumptions'!AG$14)/AG49,0)</f>
        <v>12.4</v>
      </c>
      <c r="AH169" s="110">
        <f>IFERROR('05 Opex'!AH$94*(12/'01 Major Assumptions'!AH$14)/AH49,0)</f>
        <v>12</v>
      </c>
      <c r="AI169" s="110">
        <f>IFERROR('05 Opex'!AI$94*(12/'01 Major Assumptions'!AI$14)/AI49,0)</f>
        <v>12.4</v>
      </c>
      <c r="AJ169" s="110">
        <f>IFERROR('05 Opex'!AJ$94*(12/'01 Major Assumptions'!AJ$14)/AJ49,0)</f>
        <v>11.999999999999998</v>
      </c>
      <c r="AK169" s="110">
        <f>IFERROR('05 Opex'!AK$94*(12/'01 Major Assumptions'!AK$14)/AK49,0)</f>
        <v>12.4</v>
      </c>
      <c r="AL169" s="110">
        <f>IFERROR('05 Opex'!AL$94*(12/'01 Major Assumptions'!AL$14)/AL49,0)</f>
        <v>12.400000000000002</v>
      </c>
      <c r="AM169" s="110">
        <f>IFERROR('05 Opex'!AM$94*(12/'01 Major Assumptions'!AM$14)/AM49,0)</f>
        <v>12</v>
      </c>
      <c r="AN169" s="110">
        <f>IFERROR('05 Opex'!AN$94*(12/'01 Major Assumptions'!AN$14)/AN49,0)</f>
        <v>12.399999999999999</v>
      </c>
      <c r="AO169" s="110">
        <f>IFERROR('05 Opex'!AO$94*(12/'01 Major Assumptions'!AO$14)/AO49,0)</f>
        <v>12</v>
      </c>
      <c r="AP169" s="110">
        <f>IFERROR('05 Opex'!AP$94*(12/'01 Major Assumptions'!AP$14)/AP49,0)</f>
        <v>12.399999999999999</v>
      </c>
      <c r="AQ169" s="110">
        <f>IFERROR('05 Opex'!AQ$94*(12/'01 Major Assumptions'!AQ$14)/AQ49,0)</f>
        <v>12.4</v>
      </c>
      <c r="AR169" s="110">
        <f>IFERROR('05 Opex'!AR$94*(12/'01 Major Assumptions'!AR$14)/AR49,0)</f>
        <v>11.2</v>
      </c>
      <c r="AS169" s="110">
        <f>IFERROR('05 Opex'!AS$94*(12/'01 Major Assumptions'!AS$14)/AS49,0)</f>
        <v>12.399999999999999</v>
      </c>
      <c r="AT169" s="110">
        <f>IFERROR('05 Opex'!AT$94*(12/'01 Major Assumptions'!AT$14)/AT49,0)</f>
        <v>12</v>
      </c>
      <c r="AU169" s="110">
        <f>IFERROR('05 Opex'!AU$94*(12/'01 Major Assumptions'!AU$14)/AU49,0)</f>
        <v>12.399999999999999</v>
      </c>
      <c r="AV169" s="110">
        <f>IFERROR('05 Opex'!AV$94*(12/'01 Major Assumptions'!AV$14)/AV49,0)</f>
        <v>11.999999999999998</v>
      </c>
      <c r="AW169" s="110">
        <f>IFERROR('05 Opex'!AW$94*(12/'01 Major Assumptions'!AW$14)/AW49,0)</f>
        <v>12.399999999999999</v>
      </c>
      <c r="AX169" s="110">
        <f>IFERROR('05 Opex'!AX$94*(12/'01 Major Assumptions'!AX$14)/AX49,0)</f>
        <v>12.399999999999999</v>
      </c>
      <c r="AY169" s="110">
        <f>IFERROR('05 Opex'!AY$94*(12/'01 Major Assumptions'!AY$14)/AY49,0)</f>
        <v>12</v>
      </c>
      <c r="AZ169" s="110">
        <f>IFERROR('05 Opex'!AZ$94*(12/'01 Major Assumptions'!AZ$14)/AZ49,0)</f>
        <v>12.399999999999999</v>
      </c>
      <c r="BA169" s="110">
        <f>IFERROR('05 Opex'!BA$94*(12/'01 Major Assumptions'!BA$14)/BA49,0)</f>
        <v>12</v>
      </c>
      <c r="BB169" s="110">
        <f>IFERROR('05 Opex'!BB$94*(12/'01 Major Assumptions'!BB$14)/BB49,0)</f>
        <v>12.4</v>
      </c>
      <c r="BC169" s="110">
        <f>IFERROR('05 Opex'!BC$94*(12/'01 Major Assumptions'!BC$14)/BC49,0)</f>
        <v>12.400000000000002</v>
      </c>
      <c r="BD169" s="110">
        <f>IFERROR('05 Opex'!BD$94*(12/'01 Major Assumptions'!BD$14)/BD49,0)</f>
        <v>11.2</v>
      </c>
      <c r="BE169" s="110">
        <f>IFERROR('05 Opex'!BE$94*(12/'01 Major Assumptions'!BE$14)/BE49,0)</f>
        <v>12.399999999999999</v>
      </c>
      <c r="BF169" s="110">
        <f>IFERROR('05 Opex'!BF$94*(12/'01 Major Assumptions'!BF$14)/BF49,0)</f>
        <v>12</v>
      </c>
      <c r="BG169" s="110">
        <f>IFERROR('05 Opex'!BG$94*(12/'01 Major Assumptions'!BG$14)/BG49,0)</f>
        <v>12.4</v>
      </c>
      <c r="BH169" s="110">
        <f>IFERROR('05 Opex'!BH$94*(12/'01 Major Assumptions'!BH$14)/BH49,0)</f>
        <v>12</v>
      </c>
      <c r="BI169" s="110">
        <f>IFERROR('05 Opex'!BI$94*(12/'01 Major Assumptions'!BI$14)/BI49,0)</f>
        <v>12.2</v>
      </c>
      <c r="BJ169" s="110">
        <f>IFERROR('05 Opex'!BJ$94*(12/'01 Major Assumptions'!BJ$14)/BJ49,0)</f>
        <v>12.166666666666668</v>
      </c>
      <c r="BK169" s="110">
        <f>IFERROR('05 Opex'!BK$94*(12/'01 Major Assumptions'!BK$14)/BK49,0)</f>
        <v>12.166666666666666</v>
      </c>
      <c r="BL169" s="110">
        <f>IFERROR('05 Opex'!BL$94*(12/'01 Major Assumptions'!BL$14)/BL49,0)</f>
        <v>12.166666666666668</v>
      </c>
      <c r="BM169" s="110">
        <f>IFERROR('05 Opex'!BM$94*(12/'01 Major Assumptions'!BM$14)/BM49,0)</f>
        <v>12.2</v>
      </c>
      <c r="BN169" s="110">
        <f>IFERROR('05 Opex'!BN$94*(12/'01 Major Assumptions'!BN$14)/BN49,0)</f>
        <v>12.166666666666666</v>
      </c>
      <c r="BO169" s="110">
        <f>IFERROR('05 Opex'!BO$94*(12/'01 Major Assumptions'!BO$14)/BO49,0)</f>
        <v>12.166666666666666</v>
      </c>
    </row>
    <row r="170" spans="1:67">
      <c r="A170" s="11"/>
      <c r="B170" s="11"/>
      <c r="C170" s="11"/>
      <c r="D170" s="33"/>
      <c r="E170" s="33"/>
      <c r="F170" s="33"/>
      <c r="G170" s="33"/>
      <c r="H170" s="33"/>
      <c r="I170" s="33"/>
      <c r="J170" s="33"/>
      <c r="K170" s="33"/>
      <c r="L170" s="33"/>
      <c r="M170" s="33"/>
      <c r="N170" s="33"/>
      <c r="O170" s="33"/>
      <c r="P170" s="33"/>
      <c r="Q170" s="33"/>
      <c r="R170" s="33"/>
      <c r="S170" s="33"/>
      <c r="T170" s="33"/>
      <c r="U170" s="33"/>
      <c r="V170" s="33"/>
      <c r="W170" s="33"/>
      <c r="X170" s="33"/>
      <c r="Y170" s="33"/>
      <c r="Z170" s="33"/>
      <c r="AA170" s="33"/>
      <c r="AB170" s="33"/>
      <c r="AC170" s="33"/>
      <c r="AD170" s="33"/>
      <c r="AE170" s="33"/>
      <c r="AF170" s="33"/>
      <c r="AG170" s="33"/>
      <c r="AH170" s="33"/>
      <c r="AI170" s="33"/>
      <c r="AJ170" s="33"/>
      <c r="AK170" s="33"/>
      <c r="AL170" s="33"/>
      <c r="AM170" s="33"/>
      <c r="AN170" s="33"/>
      <c r="AO170" s="33"/>
      <c r="AP170" s="33"/>
      <c r="AQ170" s="33"/>
      <c r="AR170" s="33"/>
      <c r="AS170" s="33"/>
      <c r="AT170" s="33"/>
      <c r="AU170" s="33"/>
      <c r="AV170" s="33"/>
      <c r="AW170" s="33"/>
      <c r="AX170" s="33"/>
      <c r="AY170" s="33"/>
      <c r="AZ170" s="33"/>
      <c r="BA170" s="33"/>
      <c r="BB170" s="33"/>
      <c r="BC170" s="33"/>
      <c r="BD170" s="33"/>
      <c r="BE170" s="33"/>
      <c r="BF170" s="33"/>
      <c r="BG170" s="33"/>
      <c r="BH170" s="33"/>
      <c r="BI170" s="33"/>
      <c r="BJ170" s="33"/>
      <c r="BK170" s="33"/>
      <c r="BL170" s="33"/>
      <c r="BM170" s="33"/>
      <c r="BN170" s="33"/>
      <c r="BO170" s="33"/>
    </row>
    <row r="171" spans="1:67">
      <c r="A171" s="11"/>
      <c r="B171" s="22" t="s">
        <v>600</v>
      </c>
      <c r="C171" s="11"/>
      <c r="D171" s="33"/>
      <c r="E171" s="33"/>
      <c r="F171" s="33"/>
      <c r="G171" s="33"/>
      <c r="H171" s="33"/>
      <c r="I171" s="33"/>
      <c r="J171" s="33"/>
      <c r="K171" s="33"/>
      <c r="L171" s="33"/>
      <c r="M171" s="33"/>
      <c r="N171" s="33"/>
      <c r="O171" s="33"/>
      <c r="P171" s="33"/>
      <c r="Q171" s="33"/>
      <c r="R171" s="33"/>
      <c r="S171" s="33"/>
      <c r="T171" s="33"/>
      <c r="U171" s="33"/>
      <c r="V171" s="33"/>
      <c r="W171" s="33"/>
      <c r="X171" s="33"/>
      <c r="Y171" s="33"/>
      <c r="Z171" s="33"/>
      <c r="AA171" s="33"/>
      <c r="AB171" s="33"/>
      <c r="AC171" s="33"/>
      <c r="AD171" s="33"/>
      <c r="AE171" s="33"/>
      <c r="AF171" s="33"/>
      <c r="AG171" s="33"/>
      <c r="AH171" s="33"/>
      <c r="AI171" s="33"/>
      <c r="AJ171" s="33"/>
      <c r="AK171" s="33"/>
      <c r="AL171" s="33"/>
      <c r="AM171" s="33"/>
      <c r="AN171" s="33"/>
      <c r="AO171" s="33"/>
      <c r="AP171" s="33"/>
      <c r="AQ171" s="33"/>
      <c r="AR171" s="33"/>
      <c r="AS171" s="33"/>
      <c r="AT171" s="33"/>
      <c r="AU171" s="33"/>
      <c r="AV171" s="33"/>
      <c r="AW171" s="33"/>
      <c r="AX171" s="33"/>
      <c r="AY171" s="33"/>
      <c r="AZ171" s="33"/>
      <c r="BA171" s="33"/>
      <c r="BB171" s="33"/>
      <c r="BC171" s="33"/>
      <c r="BD171" s="33"/>
      <c r="BE171" s="33"/>
      <c r="BF171" s="33"/>
      <c r="BG171" s="33"/>
      <c r="BH171" s="33"/>
      <c r="BI171" s="33"/>
      <c r="BJ171" s="33"/>
      <c r="BK171" s="33"/>
      <c r="BL171" s="33"/>
      <c r="BM171" s="33"/>
      <c r="BN171" s="33"/>
      <c r="BO171" s="33"/>
    </row>
    <row r="172" spans="1:67">
      <c r="A172" s="11"/>
      <c r="B172" s="11"/>
      <c r="C172" s="11" t="s">
        <v>601</v>
      </c>
      <c r="D172" s="33"/>
      <c r="E172" s="110"/>
      <c r="F172" s="110"/>
      <c r="G172" s="110">
        <f>IFERROR(G18/'06 Debt &amp; WC'!G$24,0)</f>
        <v>0</v>
      </c>
      <c r="H172" s="110">
        <f>IFERROR(H18/'06 Debt &amp; WC'!H$24,0)</f>
        <v>0</v>
      </c>
      <c r="I172" s="110">
        <f>IFERROR(I18/'06 Debt &amp; WC'!I$24,0)</f>
        <v>0</v>
      </c>
      <c r="J172" s="110">
        <f>IFERROR(J18/'06 Debt &amp; WC'!J$24,0)</f>
        <v>0</v>
      </c>
      <c r="K172" s="110">
        <f>IFERROR(K18/'06 Debt &amp; WC'!K$24,0)</f>
        <v>0</v>
      </c>
      <c r="L172" s="110">
        <f>IFERROR(L18/'06 Debt &amp; WC'!L$24,0)</f>
        <v>0</v>
      </c>
      <c r="M172" s="110">
        <f>IFERROR(M18/'06 Debt &amp; WC'!M$24,0)</f>
        <v>0</v>
      </c>
      <c r="N172" s="110">
        <f>IFERROR(N18/'06 Debt &amp; WC'!N$24,0)</f>
        <v>0</v>
      </c>
      <c r="O172" s="110">
        <f>IFERROR(O18/'06 Debt &amp; WC'!O$24,0)</f>
        <v>0</v>
      </c>
      <c r="P172" s="110">
        <f>IFERROR(P18/'06 Debt &amp; WC'!P$24,0)</f>
        <v>0</v>
      </c>
      <c r="Q172" s="110">
        <f>IFERROR(Q18/'06 Debt &amp; WC'!Q$24,0)</f>
        <v>0</v>
      </c>
      <c r="R172" s="110">
        <f>IFERROR(R18/'06 Debt &amp; WC'!R$24,0)</f>
        <v>0</v>
      </c>
      <c r="S172" s="110">
        <f>IFERROR(S18/'06 Debt &amp; WC'!S$24,0)</f>
        <v>0</v>
      </c>
      <c r="T172" s="110">
        <f>IFERROR(T18/'06 Debt &amp; WC'!T$24,0)</f>
        <v>0</v>
      </c>
      <c r="U172" s="110">
        <f>IFERROR(U18/'06 Debt &amp; WC'!U$24,0)</f>
        <v>0</v>
      </c>
      <c r="V172" s="110">
        <f>IFERROR(V18/'06 Debt &amp; WC'!V$24,0)</f>
        <v>0</v>
      </c>
      <c r="W172" s="110">
        <f>IFERROR(W18/'06 Debt &amp; WC'!W$24,0)</f>
        <v>0</v>
      </c>
      <c r="X172" s="110">
        <f>IFERROR(X18/'06 Debt &amp; WC'!X$24,0)</f>
        <v>0</v>
      </c>
      <c r="Y172" s="110">
        <f>IFERROR(Y18/'06 Debt &amp; WC'!Y$24,0)</f>
        <v>0</v>
      </c>
      <c r="Z172" s="110">
        <f>IFERROR(Z18/'06 Debt &amp; WC'!Z$24,0)</f>
        <v>0</v>
      </c>
      <c r="AA172" s="110">
        <f>IFERROR(AA18/'06 Debt &amp; WC'!AA$24,0)</f>
        <v>0</v>
      </c>
      <c r="AB172" s="110">
        <f>IFERROR(AB18/'06 Debt &amp; WC'!AB$24,0)</f>
        <v>-6.61473816310217</v>
      </c>
      <c r="AC172" s="110">
        <f>IFERROR(AC18/'06 Debt &amp; WC'!AC$24,0)</f>
        <v>-2.1992125541359528</v>
      </c>
      <c r="AD172" s="110">
        <f>IFERROR(AD18/'06 Debt &amp; WC'!AD$24,0)</f>
        <v>-1.634044039226739</v>
      </c>
      <c r="AE172" s="110">
        <f>IFERROR(AE18/'06 Debt &amp; WC'!AE$24,0)</f>
        <v>-1.0687575229063175</v>
      </c>
      <c r="AF172" s="110">
        <f>IFERROR(AF18/'06 Debt &amp; WC'!AF$24,0)</f>
        <v>-0.35371768984396884</v>
      </c>
      <c r="AG172" s="110">
        <f>IFERROR(AG18/'06 Debt &amp; WC'!AG$24,0)</f>
        <v>0.20642641236974227</v>
      </c>
      <c r="AH172" s="110">
        <f>IFERROR(AH18/'06 Debt &amp; WC'!AH$24,0)</f>
        <v>0.77450653042323025</v>
      </c>
      <c r="AI172" s="110">
        <f>IFERROR(AI18/'06 Debt &amp; WC'!AI$24,0)</f>
        <v>1.3346506326369432</v>
      </c>
      <c r="AJ172" s="110">
        <f>IFERROR(AJ18/'06 Debt &amp; WC'!AJ$24,0)</f>
        <v>1.8947947348506551</v>
      </c>
      <c r="AK172" s="110">
        <f>IFERROR(AK18/'06 Debt &amp; WC'!AK$24,0)</f>
        <v>2.4549388370643701</v>
      </c>
      <c r="AL172" s="110">
        <f>IFERROR(AL18/'06 Debt &amp; WC'!AL$24,0)</f>
        <v>3.0150829392780776</v>
      </c>
      <c r="AM172" s="110">
        <f>IFERROR(AM18/'06 Debt &amp; WC'!AM$24,0)</f>
        <v>3.5752270414917922</v>
      </c>
      <c r="AN172" s="110">
        <f>IFERROR(AN18/'06 Debt &amp; WC'!AN$24,0)</f>
        <v>4.1353711437055072</v>
      </c>
      <c r="AO172" s="110">
        <f>IFERROR(AO18/'06 Debt &amp; WC'!AO$24,0)</f>
        <v>4.1816601037070473</v>
      </c>
      <c r="AP172" s="110">
        <f>IFERROR(AP18/'06 Debt &amp; WC'!AP$24,0)</f>
        <v>4.2457290039895534</v>
      </c>
      <c r="AQ172" s="110">
        <f>IFERROR(AQ18/'06 Debt &amp; WC'!AQ$24,0)</f>
        <v>4.427950550169574</v>
      </c>
      <c r="AR172" s="110">
        <f>IFERROR(AR18/'06 Debt &amp; WC'!AR$24,0)</f>
        <v>4.4796214513025232</v>
      </c>
      <c r="AS172" s="110">
        <f>IFERROR(AS18/'06 Debt &amp; WC'!AS$24,0)</f>
        <v>4.5326004765147907</v>
      </c>
      <c r="AT172" s="110">
        <f>IFERROR(AT18/'06 Debt &amp; WC'!AT$24,0)</f>
        <v>4.5869379382709612</v>
      </c>
      <c r="AU172" s="110">
        <f>IFERROR(AU18/'06 Debt &amp; WC'!AU$24,0)</f>
        <v>4.6426867626701487</v>
      </c>
      <c r="AV172" s="110">
        <f>IFERROR(AV18/'06 Debt &amp; WC'!AV$24,0)</f>
        <v>4.6999026613956287</v>
      </c>
      <c r="AW172" s="110">
        <f>IFERROR(AW18/'06 Debt &amp; WC'!AW$24,0)</f>
        <v>4.7586443174204565</v>
      </c>
      <c r="AX172" s="110">
        <f>IFERROR(AX18/'06 Debt &amp; WC'!AX$24,0)</f>
        <v>4.8189735857702818</v>
      </c>
      <c r="AY172" s="110">
        <f>IFERROR(AY18/'06 Debt &amp; WC'!AY$24,0)</f>
        <v>4.8809557107872221</v>
      </c>
      <c r="AZ172" s="110">
        <f>IFERROR(AZ18/'06 Debt &amp; WC'!AZ$24,0)</f>
        <v>4.9446595614990807</v>
      </c>
      <c r="BA172" s="110">
        <f>IFERROR(BA18/'06 Debt &amp; WC'!BA$24,0)</f>
        <v>5.0101578868788774</v>
      </c>
      <c r="BB172" s="110">
        <f>IFERROR(BB18/'06 Debt &amp; WC'!BB$24,0)</f>
        <v>5.0775275929838086</v>
      </c>
      <c r="BC172" s="110">
        <f>IFERROR(BC18/'06 Debt &amp; WC'!BC$24,0)</f>
        <v>5.3053555485101347</v>
      </c>
      <c r="BD172" s="110">
        <f>IFERROR(BD18/'06 Debt &amp; WC'!BD$24,0)</f>
        <v>5.3790346247316201</v>
      </c>
      <c r="BE172" s="110">
        <f>IFERROR(BE18/'06 Debt &amp; WC'!BE$24,0)</f>
        <v>5.4549130763627041</v>
      </c>
      <c r="BF172" s="110">
        <f>IFERROR(BF18/'06 Debt &amp; WC'!BF$24,0)</f>
        <v>5.5330908750129133</v>
      </c>
      <c r="BG172" s="110">
        <f>IFERROR(BG18/'06 Debt &amp; WC'!BG$24,0)</f>
        <v>5.6136741443908171</v>
      </c>
      <c r="BH172" s="110">
        <f>IFERROR(BH18/'06 Debt &amp; WC'!BH$24,0)</f>
        <v>5.696775640936786</v>
      </c>
      <c r="BI172" s="110">
        <f>IFERROR(BI18/'06 Debt &amp; WC'!BI$24,0)</f>
        <v>5.8969473113102566</v>
      </c>
      <c r="BJ172" s="110">
        <f>IFERROR(BJ18/'06 Debt &amp; WC'!BJ$24,0)</f>
        <v>7.4340843389306608</v>
      </c>
      <c r="BK172" s="110">
        <f>IFERROR(BK18/'06 Debt &amp; WC'!BK$24,0)</f>
        <v>10.426593164867658</v>
      </c>
      <c r="BL172" s="110">
        <f>IFERROR(BL18/'06 Debt &amp; WC'!BL$24,0)</f>
        <v>15.595226032083238</v>
      </c>
      <c r="BM172" s="110">
        <f>IFERROR(BM18/'06 Debt &amp; WC'!BM$24,0)</f>
        <v>28.601492224706561</v>
      </c>
      <c r="BN172" s="110">
        <f>IFERROR(BN18/'06 Debt &amp; WC'!BN$24,0)</f>
        <v>145.47579598186471</v>
      </c>
      <c r="BO172" s="110">
        <f>IFERROR(BO18/'06 Debt &amp; WC'!BO$24,0)</f>
        <v>145.14526411436174</v>
      </c>
    </row>
    <row r="173" spans="1:67">
      <c r="A173" s="11"/>
      <c r="B173" s="11"/>
      <c r="C173" s="11" t="s">
        <v>602</v>
      </c>
      <c r="D173" s="33"/>
      <c r="E173" s="110"/>
      <c r="F173" s="110"/>
      <c r="G173" s="110">
        <f>IFERROR((G24-G33+G71)/('06 Debt &amp; WC'!G$24+'06 Debt &amp; WC'!G$29),0)</f>
        <v>0</v>
      </c>
      <c r="H173" s="110">
        <f>IFERROR((H24-H33+H71)/('06 Debt &amp; WC'!H$24+'06 Debt &amp; WC'!H$29),0)</f>
        <v>0</v>
      </c>
      <c r="I173" s="110">
        <f>IFERROR((I24-I33+I71)/('06 Debt &amp; WC'!I$24+'06 Debt &amp; WC'!I$29),0)</f>
        <v>0</v>
      </c>
      <c r="J173" s="110">
        <f>IFERROR((J24-J33+J71)/('06 Debt &amp; WC'!J$24+'06 Debt &amp; WC'!J$29),0)</f>
        <v>0</v>
      </c>
      <c r="K173" s="110">
        <f>IFERROR((K24-K33+K71)/('06 Debt &amp; WC'!K$24+'06 Debt &amp; WC'!K$29),0)</f>
        <v>0</v>
      </c>
      <c r="L173" s="110">
        <f>IFERROR((L24-L33+L71)/('06 Debt &amp; WC'!L$24+'06 Debt &amp; WC'!L$29),0)</f>
        <v>0</v>
      </c>
      <c r="M173" s="110">
        <f>IFERROR((M24-M33+M71)/('06 Debt &amp; WC'!M$24+'06 Debt &amp; WC'!M$29),0)</f>
        <v>0</v>
      </c>
      <c r="N173" s="110">
        <f>IFERROR((N24-N33+N71)/('06 Debt &amp; WC'!N$24+'06 Debt &amp; WC'!N$29),0)</f>
        <v>0</v>
      </c>
      <c r="O173" s="110">
        <f>IFERROR((O24-O33+O71)/('06 Debt &amp; WC'!O$24+'06 Debt &amp; WC'!O$29),0)</f>
        <v>0</v>
      </c>
      <c r="P173" s="110">
        <f>IFERROR((P24-P33+P71)/('06 Debt &amp; WC'!P$24+'06 Debt &amp; WC'!P$29),0)</f>
        <v>0</v>
      </c>
      <c r="Q173" s="110">
        <f>IFERROR((Q24-Q33+Q71)/('06 Debt &amp; WC'!Q$24+'06 Debt &amp; WC'!Q$29),0)</f>
        <v>0</v>
      </c>
      <c r="R173" s="110">
        <f>IFERROR((R24-R33+R71)/('06 Debt &amp; WC'!R$24+'06 Debt &amp; WC'!R$29),0)</f>
        <v>0</v>
      </c>
      <c r="S173" s="110">
        <f>IFERROR((S24-S33+S71)/('06 Debt &amp; WC'!S$24+'06 Debt &amp; WC'!S$29),0)</f>
        <v>0</v>
      </c>
      <c r="T173" s="110">
        <f>IFERROR((T24-T33+T71)/('06 Debt &amp; WC'!T$24+'06 Debt &amp; WC'!T$29),0)</f>
        <v>0</v>
      </c>
      <c r="U173" s="110">
        <f>IFERROR((U24-U33+U71)/('06 Debt &amp; WC'!U$24+'06 Debt &amp; WC'!U$29),0)</f>
        <v>0</v>
      </c>
      <c r="V173" s="110">
        <f>IFERROR((V24-V33+V71)/('06 Debt &amp; WC'!V$24+'06 Debt &amp; WC'!V$29),0)</f>
        <v>0</v>
      </c>
      <c r="W173" s="110">
        <f>IFERROR((W24-W33+W71)/('06 Debt &amp; WC'!W$24+'06 Debt &amp; WC'!W$29),0)</f>
        <v>0</v>
      </c>
      <c r="X173" s="110">
        <f>IFERROR((X24-X33+X71)/('06 Debt &amp; WC'!X$24+'06 Debt &amp; WC'!X$29),0)</f>
        <v>0</v>
      </c>
      <c r="Y173" s="110">
        <f>IFERROR((Y24-Y33+Y71)/('06 Debt &amp; WC'!Y$24+'06 Debt &amp; WC'!Y$29),0)</f>
        <v>0</v>
      </c>
      <c r="Z173" s="110">
        <f>IFERROR((Z24-Z33+Z71)/('06 Debt &amp; WC'!Z$24+'06 Debt &amp; WC'!Z$29),0)</f>
        <v>0</v>
      </c>
      <c r="AA173" s="110">
        <f>IFERROR((AA24-AA33+AA71)/('06 Debt &amp; WC'!AA$24+'06 Debt &amp; WC'!AA$29),0)</f>
        <v>0</v>
      </c>
      <c r="AB173" s="110">
        <f>IFERROR((AB24-AB33+AB71)/('06 Debt &amp; WC'!AB$24+'06 Debt &amp; WC'!AB$29),0)</f>
        <v>-9.7040991021347125</v>
      </c>
      <c r="AC173" s="110">
        <f>IFERROR((AC24-AC33+AC71)/('06 Debt &amp; WC'!AC$24+'06 Debt &amp; WC'!AC$29),0)</f>
        <v>-3.3274827590123182</v>
      </c>
      <c r="AD173" s="110">
        <f>IFERROR((AD24-AD33+AD71)/('06 Debt &amp; WC'!AD$24+'06 Debt &amp; WC'!AD$29),0)</f>
        <v>-0.50170698764708255</v>
      </c>
      <c r="AE173" s="110">
        <f>IFERROR((AE24-AE33+AE71)/('06 Debt &amp; WC'!AE$24+'06 Debt &amp; WC'!AE$29),0)</f>
        <v>-0.28425250502102978</v>
      </c>
      <c r="AF173" s="110">
        <f>IFERROR((AF24-AF33+AF71)/('06 Debt &amp; WC'!AF$24+'06 Debt &amp; WC'!AF$29),0)</f>
        <v>-0.40411261048176911</v>
      </c>
      <c r="AG173" s="110">
        <f>IFERROR((AG24-AG33+AG71)/('06 Debt &amp; WC'!AG$24+'06 Debt &amp; WC'!AG$29),0)</f>
        <v>2.0722363308696101</v>
      </c>
      <c r="AH173" s="110">
        <f>IFERROR((AH24-AH33+AH71)/('06 Debt &amp; WC'!AH$24+'06 Debt &amp; WC'!AH$29),0)</f>
        <v>1.4002212621712742</v>
      </c>
      <c r="AI173" s="110">
        <f>IFERROR((AI24-AI33+AI71)/('06 Debt &amp; WC'!AI$24+'06 Debt &amp; WC'!AI$29),0)</f>
        <v>2.6802215186136973</v>
      </c>
      <c r="AJ173" s="110">
        <f>IFERROR((AJ24-AJ33+AJ71)/('06 Debt &amp; WC'!AJ$24+'06 Debt &amp; WC'!AJ$29),0)</f>
        <v>2.4521676364696305</v>
      </c>
      <c r="AK173" s="110">
        <f>IFERROR((AK24-AK33+AK71)/('06 Debt &amp; WC'!AK$24+'06 Debt &amp; WC'!AK$29),0)</f>
        <v>3.886012398345815</v>
      </c>
      <c r="AL173" s="110">
        <f>IFERROR((AL24-AL33+AL71)/('06 Debt &amp; WC'!AL$24+'06 Debt &amp; WC'!AL$29),0)</f>
        <v>4.0127722017426581</v>
      </c>
      <c r="AM173" s="110">
        <f>IFERROR((AM24-AM33+AM71)/('06 Debt &amp; WC'!AM$24+'06 Debt &amp; WC'!AM$29),0)</f>
        <v>4.0182100542111758</v>
      </c>
      <c r="AN173" s="110">
        <f>IFERROR((AN24-AN33+AN71)/('06 Debt &amp; WC'!AN$24+'06 Debt &amp; WC'!AN$29),0)</f>
        <v>1.872753269659432</v>
      </c>
      <c r="AO173" s="110">
        <f>IFERROR((AO24-AO33+AO71)/('06 Debt &amp; WC'!AO$24+'06 Debt &amp; WC'!AO$29),0)</f>
        <v>1.9011259246684495</v>
      </c>
      <c r="AP173" s="110">
        <f>IFERROR((AP24-AP33+AP71)/('06 Debt &amp; WC'!AP$24+'06 Debt &amp; WC'!AP$29),0)</f>
        <v>2.3043278381213543</v>
      </c>
      <c r="AQ173" s="110">
        <f>IFERROR((AQ24-AQ33+AQ71)/('06 Debt &amp; WC'!AQ$24+'06 Debt &amp; WC'!AQ$29),0)</f>
        <v>2.0062589173657881</v>
      </c>
      <c r="AR173" s="110">
        <f>IFERROR((AR24-AR33+AR71)/('06 Debt &amp; WC'!AR$24+'06 Debt &amp; WC'!AR$29),0)</f>
        <v>1.5148190999259403</v>
      </c>
      <c r="AS173" s="110">
        <f>IFERROR((AS24-AS33+AS71)/('06 Debt &amp; WC'!AS$24+'06 Debt &amp; WC'!AS$29),0)</f>
        <v>2.8373649826635865</v>
      </c>
      <c r="AT173" s="110">
        <f>IFERROR((AT24-AT33+AT71)/('06 Debt &amp; WC'!AT$24+'06 Debt &amp; WC'!AT$29),0)</f>
        <v>1.9815579011887992</v>
      </c>
      <c r="AU173" s="110">
        <f>IFERROR((AU24-AU33+AU71)/('06 Debt &amp; WC'!AU$24+'06 Debt &amp; WC'!AU$29),0)</f>
        <v>2.4021720958981394</v>
      </c>
      <c r="AV173" s="110">
        <f>IFERROR((AV24-AV33+AV71)/('06 Debt &amp; WC'!AV$24+'06 Debt &amp; WC'!AV$29),0)</f>
        <v>1.9967445302770461</v>
      </c>
      <c r="AW173" s="110">
        <f>IFERROR((AW24-AW33+AW71)/('06 Debt &amp; WC'!AW$24+'06 Debt &amp; WC'!AW$29),0)</f>
        <v>2.4208758165601347</v>
      </c>
      <c r="AX173" s="110">
        <f>IFERROR((AX24-AX33+AX71)/('06 Debt &amp; WC'!AX$24+'06 Debt &amp; WC'!AX$29),0)</f>
        <v>2.2212655747464396</v>
      </c>
      <c r="AY173" s="110">
        <f>IFERROR((AY24-AY33+AY71)/('06 Debt &amp; WC'!AY$24+'06 Debt &amp; WC'!AY$29),0)</f>
        <v>2.0199904575605805</v>
      </c>
      <c r="AZ173" s="110">
        <f>IFERROR((AZ24-AZ33+AZ71)/('06 Debt &amp; WC'!AZ$24+'06 Debt &amp; WC'!AZ$29),0)</f>
        <v>2.449507656552401</v>
      </c>
      <c r="BA173" s="110">
        <f>IFERROR((BA24-BA33+BA71)/('06 Debt &amp; WC'!BA$24+'06 Debt &amp; WC'!BA$29),0)</f>
        <v>2.0358073682088165</v>
      </c>
      <c r="BB173" s="110">
        <f>IFERROR((BB24-BB33+BB71)/('06 Debt &amp; WC'!BB$24+'06 Debt &amp; WC'!BB$29),0)</f>
        <v>2.4689908612808664</v>
      </c>
      <c r="BC173" s="110">
        <f>IFERROR((BC24-BC33+BC71)/('06 Debt &amp; WC'!BC$24+'06 Debt &amp; WC'!BC$29),0)</f>
        <v>2.1434669499177281</v>
      </c>
      <c r="BD173" s="110">
        <f>IFERROR((BD24-BD33+BD71)/('06 Debt &amp; WC'!BD$24+'06 Debt &amp; WC'!BD$29),0)</f>
        <v>1.6164589445590387</v>
      </c>
      <c r="BE173" s="110">
        <f>IFERROR((BE24-BE33+BE71)/('06 Debt &amp; WC'!BE$24+'06 Debt &amp; WC'!BE$29),0)</f>
        <v>3.0359811161247023</v>
      </c>
      <c r="BF173" s="110">
        <f>IFERROR((BF24-BF33+BF71)/('06 Debt &amp; WC'!BF$24+'06 Debt &amp; WC'!BF$29),0)</f>
        <v>2.1180094000927414</v>
      </c>
      <c r="BG173" s="110">
        <f>IFERROR((BG24-BG33+BG71)/('06 Debt &amp; WC'!BG$24+'06 Debt &amp; WC'!BG$29),0)</f>
        <v>2.5699551621370906</v>
      </c>
      <c r="BH173" s="110">
        <f>IFERROR((BH24-BH33+BH71)/('06 Debt &amp; WC'!BH$24+'06 Debt &amp; WC'!BH$29),0)</f>
        <v>2.1351213888509699</v>
      </c>
      <c r="BI173" s="110">
        <f>IFERROR((BI24-BI33+BI71)/('06 Debt &amp; WC'!BI$24+'06 Debt &amp; WC'!BI$29),0)</f>
        <v>2.3881262496313624</v>
      </c>
      <c r="BJ173" s="110">
        <f>IFERROR((BJ24-BJ33+BJ71)/('06 Debt &amp; WC'!BJ$24+'06 Debt &amp; WC'!BJ$29),0)</f>
        <v>2.5642692054912928</v>
      </c>
      <c r="BK173" s="110">
        <f>IFERROR((BK24-BK33+BK71)/('06 Debt &amp; WC'!BK$24+'06 Debt &amp; WC'!BK$29),0)</f>
        <v>2.759789043966888</v>
      </c>
      <c r="BL173" s="110">
        <f>IFERROR((BL24-BL33+BL71)/('06 Debt &amp; WC'!BL$24+'06 Debt &amp; WC'!BL$29),0)</f>
        <v>2.9776120791226357</v>
      </c>
      <c r="BM173" s="110">
        <f>IFERROR((BM24-BM33+BM71)/('06 Debt &amp; WC'!BM$24+'06 Debt &amp; WC'!BM$29),0)</f>
        <v>3.2262022772092025</v>
      </c>
      <c r="BN173" s="110">
        <f ca="1">IFERROR((BN24-BN33+BN71)/('06 Debt &amp; WC'!BN$24+'06 Debt &amp; WC'!BN$29),0)</f>
        <v>184.86829234785557</v>
      </c>
      <c r="BO173" s="110">
        <f ca="1">IFERROR((BO24-BO33+BO71)/('06 Debt &amp; WC'!BO$24+'06 Debt &amp; WC'!BO$29),0)</f>
        <v>175.6219598925091</v>
      </c>
    </row>
    <row r="174" spans="1:67">
      <c r="A174" s="11"/>
      <c r="B174" s="11"/>
      <c r="C174" s="11"/>
      <c r="D174" s="33"/>
      <c r="E174" s="33"/>
      <c r="F174" s="33"/>
      <c r="G174" s="33"/>
      <c r="H174" s="33"/>
      <c r="I174" s="33"/>
      <c r="J174" s="33"/>
      <c r="K174" s="33"/>
      <c r="L174" s="33"/>
      <c r="M174" s="33"/>
      <c r="N174" s="33"/>
      <c r="O174" s="33"/>
      <c r="P174" s="33"/>
      <c r="Q174" s="33"/>
      <c r="R174" s="33"/>
      <c r="S174" s="33"/>
      <c r="T174" s="33"/>
      <c r="U174" s="33"/>
      <c r="V174" s="33"/>
      <c r="W174" s="33"/>
      <c r="X174" s="33"/>
      <c r="Y174" s="33"/>
      <c r="Z174" s="33"/>
      <c r="AA174" s="33"/>
      <c r="AB174" s="33"/>
      <c r="AC174" s="33"/>
      <c r="AD174" s="33"/>
      <c r="AE174" s="33"/>
      <c r="AF174" s="33"/>
      <c r="AG174" s="33"/>
      <c r="AH174" s="33"/>
      <c r="AI174" s="33"/>
      <c r="AJ174" s="33"/>
      <c r="AK174" s="33"/>
      <c r="AL174" s="33"/>
      <c r="AM174" s="33"/>
      <c r="AN174" s="33"/>
      <c r="AO174" s="33"/>
      <c r="AP174" s="33"/>
      <c r="AQ174" s="33"/>
      <c r="AR174" s="33"/>
      <c r="AS174" s="33"/>
      <c r="AT174" s="33"/>
      <c r="AU174" s="33"/>
      <c r="AV174" s="33"/>
      <c r="AW174" s="33"/>
      <c r="AX174" s="33"/>
      <c r="AY174" s="33"/>
      <c r="AZ174" s="33"/>
      <c r="BA174" s="33"/>
      <c r="BB174" s="33"/>
      <c r="BC174" s="33"/>
      <c r="BD174" s="33"/>
      <c r="BE174" s="33"/>
      <c r="BF174" s="33"/>
      <c r="BG174" s="33"/>
      <c r="BH174" s="33"/>
      <c r="BI174" s="33"/>
      <c r="BJ174" s="33"/>
      <c r="BK174" s="33"/>
      <c r="BL174" s="33"/>
      <c r="BM174" s="33"/>
      <c r="BN174" s="33"/>
      <c r="BO174" s="33"/>
    </row>
    <row r="175" spans="1:67">
      <c r="A175" s="18" t="s">
        <v>603</v>
      </c>
      <c r="B175" s="18"/>
      <c r="C175" s="18"/>
      <c r="D175" s="39"/>
      <c r="E175" s="39"/>
      <c r="F175" s="39"/>
      <c r="G175" s="39"/>
      <c r="H175" s="39"/>
      <c r="I175" s="39"/>
      <c r="J175" s="39"/>
      <c r="K175" s="39"/>
      <c r="L175" s="39"/>
      <c r="M175" s="39"/>
      <c r="N175" s="39"/>
      <c r="O175" s="39"/>
      <c r="P175" s="39"/>
      <c r="Q175" s="39"/>
      <c r="R175" s="39"/>
      <c r="S175" s="39"/>
      <c r="T175" s="39"/>
      <c r="U175" s="39"/>
      <c r="V175" s="39"/>
      <c r="W175" s="39"/>
      <c r="X175" s="39"/>
      <c r="Y175" s="39"/>
      <c r="Z175" s="39"/>
      <c r="AA175" s="39"/>
      <c r="AB175" s="39"/>
      <c r="AC175" s="39"/>
      <c r="AD175" s="39"/>
      <c r="AE175" s="39"/>
      <c r="AF175" s="39"/>
      <c r="AG175" s="39"/>
      <c r="AH175" s="39"/>
      <c r="AI175" s="39"/>
      <c r="AJ175" s="39"/>
      <c r="AK175" s="39"/>
      <c r="AL175" s="39"/>
      <c r="AM175" s="39"/>
      <c r="AN175" s="39"/>
      <c r="AO175" s="39"/>
      <c r="AP175" s="39"/>
      <c r="AQ175" s="39"/>
      <c r="AR175" s="39"/>
      <c r="AS175" s="39"/>
      <c r="AT175" s="39"/>
      <c r="AU175" s="39"/>
      <c r="AV175" s="39"/>
      <c r="AW175" s="39"/>
      <c r="AX175" s="39"/>
      <c r="AY175" s="39"/>
      <c r="AZ175" s="39"/>
      <c r="BA175" s="39"/>
      <c r="BB175" s="39"/>
      <c r="BC175" s="39"/>
      <c r="BD175" s="39"/>
      <c r="BE175" s="39"/>
      <c r="BF175" s="39"/>
      <c r="BG175" s="39"/>
      <c r="BH175" s="39"/>
      <c r="BI175" s="39"/>
      <c r="BJ175" s="39"/>
      <c r="BK175" s="39"/>
      <c r="BL175" s="39"/>
      <c r="BM175" s="39"/>
      <c r="BN175" s="39"/>
      <c r="BO175" s="39"/>
    </row>
    <row r="176" spans="1:67">
      <c r="A176" s="11"/>
      <c r="B176" s="11"/>
      <c r="C176" s="11" t="s">
        <v>473</v>
      </c>
      <c r="D176" s="33"/>
      <c r="E176" s="90"/>
      <c r="F176" s="90"/>
      <c r="G176" s="90">
        <f>G9</f>
        <v>0</v>
      </c>
      <c r="H176" s="90">
        <f t="shared" ref="H176:BI176" si="260">H9</f>
        <v>0</v>
      </c>
      <c r="I176" s="90">
        <f t="shared" si="260"/>
        <v>0</v>
      </c>
      <c r="J176" s="90">
        <f t="shared" si="260"/>
        <v>0</v>
      </c>
      <c r="K176" s="90">
        <f t="shared" si="260"/>
        <v>0</v>
      </c>
      <c r="L176" s="90">
        <f t="shared" si="260"/>
        <v>0</v>
      </c>
      <c r="M176" s="90">
        <f t="shared" si="260"/>
        <v>0</v>
      </c>
      <c r="N176" s="90">
        <f t="shared" si="260"/>
        <v>0</v>
      </c>
      <c r="O176" s="90">
        <f t="shared" si="260"/>
        <v>0</v>
      </c>
      <c r="P176" s="90">
        <f t="shared" si="260"/>
        <v>0</v>
      </c>
      <c r="Q176" s="90">
        <f t="shared" si="260"/>
        <v>0</v>
      </c>
      <c r="R176" s="90">
        <f t="shared" si="260"/>
        <v>0</v>
      </c>
      <c r="S176" s="90">
        <f t="shared" si="260"/>
        <v>0</v>
      </c>
      <c r="T176" s="90">
        <f t="shared" si="260"/>
        <v>0</v>
      </c>
      <c r="U176" s="90">
        <f t="shared" si="260"/>
        <v>0</v>
      </c>
      <c r="V176" s="90">
        <f t="shared" si="260"/>
        <v>0</v>
      </c>
      <c r="W176" s="90">
        <f t="shared" si="260"/>
        <v>0</v>
      </c>
      <c r="X176" s="90">
        <f t="shared" si="260"/>
        <v>0</v>
      </c>
      <c r="Y176" s="90">
        <f t="shared" si="260"/>
        <v>0</v>
      </c>
      <c r="Z176" s="90">
        <f t="shared" si="260"/>
        <v>0</v>
      </c>
      <c r="AA176" s="90">
        <f t="shared" si="260"/>
        <v>0</v>
      </c>
      <c r="AB176" s="90">
        <f t="shared" si="260"/>
        <v>12974266.175197721</v>
      </c>
      <c r="AC176" s="90">
        <f t="shared" si="260"/>
        <v>17190902.682136975</v>
      </c>
      <c r="AD176" s="90">
        <f t="shared" si="260"/>
        <v>21407539.189076237</v>
      </c>
      <c r="AE176" s="90">
        <f t="shared" si="260"/>
        <v>26188121.789491151</v>
      </c>
      <c r="AF176" s="90">
        <f t="shared" si="260"/>
        <v>30497559.552318797</v>
      </c>
      <c r="AG176" s="90">
        <f t="shared" si="260"/>
        <v>34806997.315146454</v>
      </c>
      <c r="AH176" s="90">
        <f t="shared" si="260"/>
        <v>39116435.077974103</v>
      </c>
      <c r="AI176" s="90">
        <f t="shared" si="260"/>
        <v>43425872.840801761</v>
      </c>
      <c r="AJ176" s="90">
        <f t="shared" si="260"/>
        <v>47735310.603629425</v>
      </c>
      <c r="AK176" s="90">
        <f t="shared" si="260"/>
        <v>52044748.366457075</v>
      </c>
      <c r="AL176" s="90">
        <f t="shared" si="260"/>
        <v>56354186.129284717</v>
      </c>
      <c r="AM176" s="90">
        <f t="shared" si="260"/>
        <v>60663623.892112389</v>
      </c>
      <c r="AN176" s="90">
        <f t="shared" si="260"/>
        <v>64973061.654940039</v>
      </c>
      <c r="AO176" s="90">
        <f t="shared" si="260"/>
        <v>64973061.654940039</v>
      </c>
      <c r="AP176" s="90">
        <f t="shared" si="260"/>
        <v>64973061.654940039</v>
      </c>
      <c r="AQ176" s="90">
        <f t="shared" si="260"/>
        <v>66403138.823500626</v>
      </c>
      <c r="AR176" s="90">
        <f t="shared" si="260"/>
        <v>66403138.823500626</v>
      </c>
      <c r="AS176" s="90">
        <f t="shared" si="260"/>
        <v>66403138.823500626</v>
      </c>
      <c r="AT176" s="90">
        <f t="shared" si="260"/>
        <v>66403138.823500626</v>
      </c>
      <c r="AU176" s="90">
        <f t="shared" si="260"/>
        <v>66403138.823500626</v>
      </c>
      <c r="AV176" s="90">
        <f t="shared" si="260"/>
        <v>66403138.823500626</v>
      </c>
      <c r="AW176" s="90">
        <f t="shared" si="260"/>
        <v>66403138.823500626</v>
      </c>
      <c r="AX176" s="90">
        <f t="shared" si="260"/>
        <v>66403138.823500626</v>
      </c>
      <c r="AY176" s="90">
        <f t="shared" si="260"/>
        <v>66403138.823500626</v>
      </c>
      <c r="AZ176" s="90">
        <f t="shared" si="260"/>
        <v>66403138.823500626</v>
      </c>
      <c r="BA176" s="90">
        <f t="shared" si="260"/>
        <v>66403138.823500626</v>
      </c>
      <c r="BB176" s="90">
        <f t="shared" si="260"/>
        <v>66403138.823500626</v>
      </c>
      <c r="BC176" s="90">
        <f t="shared" si="260"/>
        <v>67864821.701948047</v>
      </c>
      <c r="BD176" s="90">
        <f t="shared" si="260"/>
        <v>67864821.701948047</v>
      </c>
      <c r="BE176" s="90">
        <f t="shared" si="260"/>
        <v>67864821.701948047</v>
      </c>
      <c r="BF176" s="90">
        <f t="shared" si="260"/>
        <v>67864821.701948047</v>
      </c>
      <c r="BG176" s="90">
        <f t="shared" si="260"/>
        <v>67864821.701948047</v>
      </c>
      <c r="BH176" s="90">
        <f t="shared" si="260"/>
        <v>67864821.701948047</v>
      </c>
      <c r="BI176" s="90">
        <f t="shared" si="260"/>
        <v>832305738.00371873</v>
      </c>
      <c r="BJ176" s="90">
        <f t="shared" ref="BJ176:BO176" si="261">BJ9</f>
        <v>850629900.5042212</v>
      </c>
      <c r="BK176" s="90">
        <f t="shared" si="261"/>
        <v>869359141.35276306</v>
      </c>
      <c r="BL176" s="90">
        <f t="shared" si="261"/>
        <v>888502449.80356038</v>
      </c>
      <c r="BM176" s="90">
        <f t="shared" si="261"/>
        <v>908069015.31271982</v>
      </c>
      <c r="BN176" s="90">
        <f t="shared" si="261"/>
        <v>928068232.01186347</v>
      </c>
      <c r="BO176" s="90">
        <f t="shared" si="261"/>
        <v>942482382.84129453</v>
      </c>
    </row>
    <row r="177" spans="1:67">
      <c r="A177" s="11"/>
      <c r="B177" s="11"/>
      <c r="C177" s="11" t="s">
        <v>21</v>
      </c>
      <c r="D177" s="33"/>
      <c r="E177" s="90"/>
      <c r="F177" s="90"/>
      <c r="G177" s="90">
        <f>G13</f>
        <v>-29800</v>
      </c>
      <c r="H177" s="90">
        <f t="shared" ref="H177:BI177" si="262">H13</f>
        <v>-29800</v>
      </c>
      <c r="I177" s="90">
        <f t="shared" si="262"/>
        <v>-29800</v>
      </c>
      <c r="J177" s="90">
        <f t="shared" si="262"/>
        <v>-29800</v>
      </c>
      <c r="K177" s="90">
        <f t="shared" si="262"/>
        <v>-29800</v>
      </c>
      <c r="L177" s="90">
        <f t="shared" si="262"/>
        <v>-29800</v>
      </c>
      <c r="M177" s="90">
        <f t="shared" si="262"/>
        <v>-29800</v>
      </c>
      <c r="N177" s="90">
        <f t="shared" si="262"/>
        <v>-29800</v>
      </c>
      <c r="O177" s="90">
        <f t="shared" si="262"/>
        <v>-29800</v>
      </c>
      <c r="P177" s="90">
        <f t="shared" si="262"/>
        <v>-29800</v>
      </c>
      <c r="Q177" s="90">
        <f t="shared" si="262"/>
        <v>-29800</v>
      </c>
      <c r="R177" s="90">
        <f t="shared" si="262"/>
        <v>-29800</v>
      </c>
      <c r="S177" s="90">
        <f t="shared" si="262"/>
        <v>-30396</v>
      </c>
      <c r="T177" s="90">
        <f t="shared" si="262"/>
        <v>-30396</v>
      </c>
      <c r="U177" s="90">
        <f t="shared" si="262"/>
        <v>-30396</v>
      </c>
      <c r="V177" s="90">
        <f t="shared" si="262"/>
        <v>-30396</v>
      </c>
      <c r="W177" s="90">
        <f t="shared" si="262"/>
        <v>-30396</v>
      </c>
      <c r="X177" s="90">
        <f t="shared" si="262"/>
        <v>-30396</v>
      </c>
      <c r="Y177" s="90">
        <f t="shared" si="262"/>
        <v>-30396</v>
      </c>
      <c r="Z177" s="90">
        <f t="shared" si="262"/>
        <v>-30396</v>
      </c>
      <c r="AA177" s="90">
        <f t="shared" si="262"/>
        <v>-30396</v>
      </c>
      <c r="AB177" s="90">
        <f t="shared" si="262"/>
        <v>-23898450.736700818</v>
      </c>
      <c r="AC177" s="90">
        <f t="shared" si="262"/>
        <v>-4502622.7911944427</v>
      </c>
      <c r="AD177" s="90">
        <f t="shared" si="262"/>
        <v>-1960766.2495429888</v>
      </c>
      <c r="AE177" s="90">
        <f t="shared" si="262"/>
        <v>731927.78584892675</v>
      </c>
      <c r="AF177" s="90">
        <f t="shared" si="262"/>
        <v>3330372.5241839439</v>
      </c>
      <c r="AG177" s="90">
        <f t="shared" si="262"/>
        <v>5928817.2625189573</v>
      </c>
      <c r="AH177" s="90">
        <f t="shared" si="262"/>
        <v>8527262.0008539744</v>
      </c>
      <c r="AI177" s="90">
        <f t="shared" si="262"/>
        <v>11125706.739188995</v>
      </c>
      <c r="AJ177" s="90">
        <f t="shared" si="262"/>
        <v>13724151.477524012</v>
      </c>
      <c r="AK177" s="90">
        <f t="shared" si="262"/>
        <v>16322596.215859041</v>
      </c>
      <c r="AL177" s="90">
        <f t="shared" si="262"/>
        <v>18921040.954194039</v>
      </c>
      <c r="AM177" s="90">
        <f t="shared" si="262"/>
        <v>21519485.692529067</v>
      </c>
      <c r="AN177" s="90">
        <f t="shared" si="262"/>
        <v>24117930.430864096</v>
      </c>
      <c r="AO177" s="90">
        <f t="shared" si="262"/>
        <v>24103238.658294648</v>
      </c>
      <c r="AP177" s="90">
        <f t="shared" si="262"/>
        <v>24088546.8857252</v>
      </c>
      <c r="AQ177" s="90">
        <f t="shared" si="262"/>
        <v>24744316.193775646</v>
      </c>
      <c r="AR177" s="90">
        <f t="shared" si="262"/>
        <v>24729578.197924949</v>
      </c>
      <c r="AS177" s="90">
        <f t="shared" si="262"/>
        <v>24714840.20207426</v>
      </c>
      <c r="AT177" s="90">
        <f t="shared" si="262"/>
        <v>24700102.20622357</v>
      </c>
      <c r="AU177" s="90">
        <f t="shared" si="262"/>
        <v>24685364.210372873</v>
      </c>
      <c r="AV177" s="90">
        <f t="shared" si="262"/>
        <v>24670626.214522175</v>
      </c>
      <c r="AW177" s="90">
        <f t="shared" si="262"/>
        <v>24655888.218671478</v>
      </c>
      <c r="AX177" s="90">
        <f t="shared" si="262"/>
        <v>24641150.222820789</v>
      </c>
      <c r="AY177" s="90">
        <f t="shared" si="262"/>
        <v>24626412.226970091</v>
      </c>
      <c r="AZ177" s="90">
        <f t="shared" si="262"/>
        <v>24611674.231119402</v>
      </c>
      <c r="BA177" s="90">
        <f t="shared" si="262"/>
        <v>24596936.235268705</v>
      </c>
      <c r="BB177" s="90">
        <f t="shared" si="262"/>
        <v>24582198.239418007</v>
      </c>
      <c r="BC177" s="90">
        <f t="shared" si="262"/>
        <v>25247840.25132443</v>
      </c>
      <c r="BD177" s="90">
        <f t="shared" si="262"/>
        <v>25233055.56995967</v>
      </c>
      <c r="BE177" s="90">
        <f t="shared" si="262"/>
        <v>25218270.888594911</v>
      </c>
      <c r="BF177" s="90">
        <f t="shared" si="262"/>
        <v>25203486.207230158</v>
      </c>
      <c r="BG177" s="90">
        <f t="shared" si="262"/>
        <v>25188701.525865398</v>
      </c>
      <c r="BH177" s="90">
        <f t="shared" si="262"/>
        <v>25173916.844500646</v>
      </c>
      <c r="BI177" s="90">
        <f t="shared" si="262"/>
        <v>307863165.77223074</v>
      </c>
      <c r="BJ177" s="90">
        <f t="shared" ref="BJ177:BO177" si="263">BJ13</f>
        <v>314126635.70780396</v>
      </c>
      <c r="BK177" s="90">
        <f t="shared" si="263"/>
        <v>322301449.36607289</v>
      </c>
      <c r="BL177" s="90">
        <f t="shared" si="263"/>
        <v>329386960.62814331</v>
      </c>
      <c r="BM177" s="90">
        <f t="shared" si="263"/>
        <v>335982348.47209078</v>
      </c>
      <c r="BN177" s="90">
        <f t="shared" si="263"/>
        <v>342284841.37410599</v>
      </c>
      <c r="BO177" s="90">
        <f t="shared" si="263"/>
        <v>343342654.35377145</v>
      </c>
    </row>
    <row r="178" spans="1:67">
      <c r="A178" s="11"/>
      <c r="B178" s="11"/>
      <c r="C178" s="11" t="s">
        <v>586</v>
      </c>
      <c r="D178" s="33"/>
      <c r="E178" s="6"/>
      <c r="F178" s="6"/>
      <c r="G178" s="6">
        <f>IFERROR(G13/G9,0)</f>
        <v>0</v>
      </c>
      <c r="H178" s="6">
        <f t="shared" ref="H178:BI178" si="264">IFERROR(H13/H9,0)</f>
        <v>0</v>
      </c>
      <c r="I178" s="6">
        <f t="shared" si="264"/>
        <v>0</v>
      </c>
      <c r="J178" s="6">
        <f t="shared" si="264"/>
        <v>0</v>
      </c>
      <c r="K178" s="6">
        <f t="shared" si="264"/>
        <v>0</v>
      </c>
      <c r="L178" s="6">
        <f t="shared" si="264"/>
        <v>0</v>
      </c>
      <c r="M178" s="6">
        <f t="shared" si="264"/>
        <v>0</v>
      </c>
      <c r="N178" s="6">
        <f t="shared" si="264"/>
        <v>0</v>
      </c>
      <c r="O178" s="6">
        <f t="shared" si="264"/>
        <v>0</v>
      </c>
      <c r="P178" s="6">
        <f t="shared" si="264"/>
        <v>0</v>
      </c>
      <c r="Q178" s="6">
        <f t="shared" si="264"/>
        <v>0</v>
      </c>
      <c r="R178" s="6">
        <f t="shared" si="264"/>
        <v>0</v>
      </c>
      <c r="S178" s="6">
        <f t="shared" si="264"/>
        <v>0</v>
      </c>
      <c r="T178" s="6">
        <f t="shared" si="264"/>
        <v>0</v>
      </c>
      <c r="U178" s="6">
        <f t="shared" si="264"/>
        <v>0</v>
      </c>
      <c r="V178" s="6">
        <f t="shared" si="264"/>
        <v>0</v>
      </c>
      <c r="W178" s="6">
        <f t="shared" si="264"/>
        <v>0</v>
      </c>
      <c r="X178" s="6">
        <f t="shared" si="264"/>
        <v>0</v>
      </c>
      <c r="Y178" s="6">
        <f t="shared" si="264"/>
        <v>0</v>
      </c>
      <c r="Z178" s="6">
        <f t="shared" si="264"/>
        <v>0</v>
      </c>
      <c r="AA178" s="6">
        <f t="shared" si="264"/>
        <v>0</v>
      </c>
      <c r="AB178" s="6">
        <f t="shared" si="264"/>
        <v>-1.8419886268701913</v>
      </c>
      <c r="AC178" s="6">
        <f t="shared" si="264"/>
        <v>-0.2619189273797185</v>
      </c>
      <c r="AD178" s="6">
        <f t="shared" si="264"/>
        <v>-9.1592323257010388E-2</v>
      </c>
      <c r="AE178" s="6">
        <f t="shared" si="264"/>
        <v>2.7948846111699274E-2</v>
      </c>
      <c r="AF178" s="6">
        <f t="shared" si="264"/>
        <v>0.10920127948174556</v>
      </c>
      <c r="AG178" s="6">
        <f t="shared" si="264"/>
        <v>0.17033406268397075</v>
      </c>
      <c r="AH178" s="6">
        <f t="shared" si="264"/>
        <v>0.21799691060434984</v>
      </c>
      <c r="AI178" s="6">
        <f t="shared" si="264"/>
        <v>0.25619995664740181</v>
      </c>
      <c r="AJ178" s="6">
        <f t="shared" si="264"/>
        <v>0.28750523048823595</v>
      </c>
      <c r="AK178" s="6">
        <f t="shared" si="264"/>
        <v>0.31362619146370935</v>
      </c>
      <c r="AL178" s="6">
        <f t="shared" si="264"/>
        <v>0.33575218193705103</v>
      </c>
      <c r="AM178" s="6">
        <f t="shared" si="264"/>
        <v>0.35473458906445376</v>
      </c>
      <c r="AN178" s="6">
        <f t="shared" si="264"/>
        <v>0.37119892177699709</v>
      </c>
      <c r="AO178" s="6">
        <f t="shared" si="264"/>
        <v>0.37097280079400458</v>
      </c>
      <c r="AP178" s="6">
        <f t="shared" si="264"/>
        <v>0.37074667981101206</v>
      </c>
      <c r="AQ178" s="6">
        <f t="shared" si="264"/>
        <v>0.37263774924173354</v>
      </c>
      <c r="AR178" s="6">
        <f t="shared" si="264"/>
        <v>0.37241580196466473</v>
      </c>
      <c r="AS178" s="6">
        <f t="shared" si="264"/>
        <v>0.37219385468759603</v>
      </c>
      <c r="AT178" s="6">
        <f t="shared" si="264"/>
        <v>0.37197190741052738</v>
      </c>
      <c r="AU178" s="6">
        <f t="shared" si="264"/>
        <v>0.37174996013345857</v>
      </c>
      <c r="AV178" s="6">
        <f t="shared" si="264"/>
        <v>0.37152801285638976</v>
      </c>
      <c r="AW178" s="6">
        <f t="shared" si="264"/>
        <v>0.371306065579321</v>
      </c>
      <c r="AX178" s="6">
        <f t="shared" si="264"/>
        <v>0.3710841183022523</v>
      </c>
      <c r="AY178" s="6">
        <f t="shared" si="264"/>
        <v>0.37086217102518348</v>
      </c>
      <c r="AZ178" s="6">
        <f t="shared" si="264"/>
        <v>0.37064022374811484</v>
      </c>
      <c r="BA178" s="6">
        <f t="shared" si="264"/>
        <v>0.37041827647104603</v>
      </c>
      <c r="BB178" s="6">
        <f t="shared" si="264"/>
        <v>0.37019632919397721</v>
      </c>
      <c r="BC178" s="6">
        <f t="shared" si="264"/>
        <v>0.37203133550116874</v>
      </c>
      <c r="BD178" s="6">
        <f t="shared" si="264"/>
        <v>0.37181348063919484</v>
      </c>
      <c r="BE178" s="6">
        <f t="shared" si="264"/>
        <v>0.37159562577722099</v>
      </c>
      <c r="BF178" s="6">
        <f t="shared" si="264"/>
        <v>0.37137777091524721</v>
      </c>
      <c r="BG178" s="6">
        <f t="shared" si="264"/>
        <v>0.37115991605327331</v>
      </c>
      <c r="BH178" s="6">
        <f t="shared" si="264"/>
        <v>0.37094206119129958</v>
      </c>
      <c r="BI178" s="6">
        <f t="shared" si="264"/>
        <v>0.36989191797552551</v>
      </c>
      <c r="BJ178" s="6">
        <f t="shared" ref="BJ178:BO178" si="265">IFERROR(BJ13/BJ9,0)</f>
        <v>0.36928708422029555</v>
      </c>
      <c r="BK178" s="6">
        <f t="shared" si="265"/>
        <v>0.37073452619886982</v>
      </c>
      <c r="BL178" s="6">
        <f t="shared" si="265"/>
        <v>0.37072149964354933</v>
      </c>
      <c r="BM178" s="6">
        <f t="shared" si="265"/>
        <v>0.36999649014165026</v>
      </c>
      <c r="BN178" s="6">
        <f t="shared" si="265"/>
        <v>0.3688143064999671</v>
      </c>
      <c r="BO178" s="6">
        <f t="shared" si="265"/>
        <v>0.36429609784184924</v>
      </c>
    </row>
    <row r="179" spans="1:67">
      <c r="A179" s="11"/>
      <c r="B179" s="11"/>
      <c r="C179" s="11" t="s">
        <v>9</v>
      </c>
      <c r="D179" s="33"/>
      <c r="E179" s="90"/>
      <c r="F179" s="90"/>
      <c r="G179" s="90">
        <f>G24</f>
        <v>-354800</v>
      </c>
      <c r="H179" s="90">
        <f t="shared" ref="H179:BI179" si="266">H24</f>
        <v>-354800</v>
      </c>
      <c r="I179" s="90">
        <f t="shared" si="266"/>
        <v>-354800</v>
      </c>
      <c r="J179" s="90">
        <f t="shared" si="266"/>
        <v>-354800</v>
      </c>
      <c r="K179" s="90">
        <f t="shared" si="266"/>
        <v>-354800</v>
      </c>
      <c r="L179" s="90">
        <f t="shared" si="266"/>
        <v>-354800</v>
      </c>
      <c r="M179" s="90">
        <f t="shared" si="266"/>
        <v>-354800</v>
      </c>
      <c r="N179" s="90">
        <f t="shared" si="266"/>
        <v>-354800</v>
      </c>
      <c r="O179" s="90">
        <f t="shared" si="266"/>
        <v>-354800</v>
      </c>
      <c r="P179" s="90">
        <f t="shared" si="266"/>
        <v>-448550</v>
      </c>
      <c r="Q179" s="90">
        <f t="shared" si="266"/>
        <v>-448550</v>
      </c>
      <c r="R179" s="90">
        <f t="shared" si="266"/>
        <v>-704383.33333333337</v>
      </c>
      <c r="S179" s="90">
        <f t="shared" si="266"/>
        <v>-601246</v>
      </c>
      <c r="T179" s="90">
        <f t="shared" si="266"/>
        <v>-1184579.3333333333</v>
      </c>
      <c r="U179" s="90">
        <f t="shared" si="266"/>
        <v>-1184579.3333333333</v>
      </c>
      <c r="V179" s="90">
        <f t="shared" si="266"/>
        <v>-1290204.3333333335</v>
      </c>
      <c r="W179" s="90">
        <f t="shared" si="266"/>
        <v>-1290204.3333333335</v>
      </c>
      <c r="X179" s="90">
        <f t="shared" si="266"/>
        <v>-1279787.6666666667</v>
      </c>
      <c r="Y179" s="90">
        <f t="shared" si="266"/>
        <v>-1279787.6666666667</v>
      </c>
      <c r="Z179" s="90">
        <f t="shared" si="266"/>
        <v>-1355412.6666666667</v>
      </c>
      <c r="AA179" s="90">
        <f t="shared" si="266"/>
        <v>-1355412.6666666667</v>
      </c>
      <c r="AB179" s="90">
        <f t="shared" si="266"/>
        <v>-19261133.847994663</v>
      </c>
      <c r="AC179" s="90">
        <f t="shared" si="266"/>
        <v>-9218.4874435067177</v>
      </c>
      <c r="AD179" s="90">
        <f t="shared" si="266"/>
        <v>2463725.4692527279</v>
      </c>
      <c r="AE179" s="90">
        <f t="shared" si="266"/>
        <v>4937183.648982279</v>
      </c>
      <c r="AF179" s="90">
        <f t="shared" si="266"/>
        <v>8063232.369761534</v>
      </c>
      <c r="AG179" s="90">
        <f t="shared" si="266"/>
        <v>10514281.090540783</v>
      </c>
      <c r="AH179" s="90">
        <f t="shared" si="266"/>
        <v>12999913.144653372</v>
      </c>
      <c r="AI179" s="90">
        <f t="shared" si="266"/>
        <v>15450961.865432631</v>
      </c>
      <c r="AJ179" s="90">
        <f t="shared" si="266"/>
        <v>17902010.586211883</v>
      </c>
      <c r="AK179" s="90">
        <f t="shared" si="266"/>
        <v>20353059.306991149</v>
      </c>
      <c r="AL179" s="90">
        <f t="shared" si="266"/>
        <v>22804108.027770385</v>
      </c>
      <c r="AM179" s="90">
        <f t="shared" si="266"/>
        <v>25255156.748549648</v>
      </c>
      <c r="AN179" s="90">
        <f t="shared" si="266"/>
        <v>27706205.469328914</v>
      </c>
      <c r="AO179" s="90">
        <f t="shared" si="266"/>
        <v>27701054.495370578</v>
      </c>
      <c r="AP179" s="90">
        <f t="shared" si="266"/>
        <v>27766736.854745574</v>
      </c>
      <c r="AQ179" s="90">
        <f t="shared" si="266"/>
        <v>28322265.08719261</v>
      </c>
      <c r="AR179" s="90">
        <f t="shared" si="266"/>
        <v>28317067.889953025</v>
      </c>
      <c r="AS179" s="90">
        <f t="shared" si="266"/>
        <v>28311870.692713439</v>
      </c>
      <c r="AT179" s="90">
        <f t="shared" si="266"/>
        <v>28306673.495473862</v>
      </c>
      <c r="AU179" s="90">
        <f t="shared" si="266"/>
        <v>28301476.298234276</v>
      </c>
      <c r="AV179" s="90">
        <f t="shared" si="266"/>
        <v>28296279.100994691</v>
      </c>
      <c r="AW179" s="90">
        <f t="shared" si="266"/>
        <v>28291081.903755106</v>
      </c>
      <c r="AX179" s="90">
        <f t="shared" si="266"/>
        <v>28285884.706515528</v>
      </c>
      <c r="AY179" s="90">
        <f t="shared" si="266"/>
        <v>28280687.509275939</v>
      </c>
      <c r="AZ179" s="90">
        <f t="shared" si="266"/>
        <v>28275490.312036365</v>
      </c>
      <c r="BA179" s="90">
        <f t="shared" si="266"/>
        <v>28270293.11479678</v>
      </c>
      <c r="BB179" s="90">
        <f t="shared" si="266"/>
        <v>28265095.917557187</v>
      </c>
      <c r="BC179" s="90">
        <f t="shared" si="266"/>
        <v>28827284.540129095</v>
      </c>
      <c r="BD179" s="90">
        <f t="shared" si="266"/>
        <v>28822040.65737544</v>
      </c>
      <c r="BE179" s="90">
        <f t="shared" si="266"/>
        <v>28816796.774621796</v>
      </c>
      <c r="BF179" s="90">
        <f t="shared" si="266"/>
        <v>28811552.891868155</v>
      </c>
      <c r="BG179" s="90">
        <f t="shared" si="266"/>
        <v>28806309.009114504</v>
      </c>
      <c r="BH179" s="90">
        <f t="shared" si="266"/>
        <v>28801065.126360863</v>
      </c>
      <c r="BI179" s="90">
        <f t="shared" si="266"/>
        <v>351367038.04465085</v>
      </c>
      <c r="BJ179" s="90">
        <f t="shared" ref="BJ179:BO179" si="267">BJ24</f>
        <v>357567393.95550406</v>
      </c>
      <c r="BK179" s="90">
        <f t="shared" si="267"/>
        <v>363836478.42031312</v>
      </c>
      <c r="BL179" s="90">
        <f t="shared" si="267"/>
        <v>370172181.5457055</v>
      </c>
      <c r="BM179" s="90">
        <f t="shared" si="267"/>
        <v>376572160.57909513</v>
      </c>
      <c r="BN179" s="90">
        <f t="shared" si="267"/>
        <v>382632061.76020479</v>
      </c>
      <c r="BO179" s="90">
        <f t="shared" si="267"/>
        <v>383464755.22205222</v>
      </c>
    </row>
    <row r="180" spans="1:67">
      <c r="A180" s="11"/>
      <c r="B180" s="11"/>
      <c r="C180" s="11" t="s">
        <v>10</v>
      </c>
      <c r="D180" s="33"/>
      <c r="E180" s="6"/>
      <c r="F180" s="6"/>
      <c r="G180" s="6">
        <f>IFERROR(G24/G9,0)</f>
        <v>0</v>
      </c>
      <c r="H180" s="6">
        <f t="shared" ref="H180:BI180" si="268">IFERROR(H24/H9,0)</f>
        <v>0</v>
      </c>
      <c r="I180" s="6">
        <f t="shared" si="268"/>
        <v>0</v>
      </c>
      <c r="J180" s="6">
        <f t="shared" si="268"/>
        <v>0</v>
      </c>
      <c r="K180" s="6">
        <f t="shared" si="268"/>
        <v>0</v>
      </c>
      <c r="L180" s="6">
        <f t="shared" si="268"/>
        <v>0</v>
      </c>
      <c r="M180" s="6">
        <f t="shared" si="268"/>
        <v>0</v>
      </c>
      <c r="N180" s="6">
        <f t="shared" si="268"/>
        <v>0</v>
      </c>
      <c r="O180" s="6">
        <f t="shared" si="268"/>
        <v>0</v>
      </c>
      <c r="P180" s="6">
        <f t="shared" si="268"/>
        <v>0</v>
      </c>
      <c r="Q180" s="6">
        <f t="shared" si="268"/>
        <v>0</v>
      </c>
      <c r="R180" s="6">
        <f t="shared" si="268"/>
        <v>0</v>
      </c>
      <c r="S180" s="6">
        <f t="shared" si="268"/>
        <v>0</v>
      </c>
      <c r="T180" s="6">
        <f t="shared" si="268"/>
        <v>0</v>
      </c>
      <c r="U180" s="6">
        <f t="shared" si="268"/>
        <v>0</v>
      </c>
      <c r="V180" s="6">
        <f t="shared" si="268"/>
        <v>0</v>
      </c>
      <c r="W180" s="6">
        <f t="shared" si="268"/>
        <v>0</v>
      </c>
      <c r="X180" s="6">
        <f t="shared" si="268"/>
        <v>0</v>
      </c>
      <c r="Y180" s="6">
        <f t="shared" si="268"/>
        <v>0</v>
      </c>
      <c r="Z180" s="6">
        <f t="shared" si="268"/>
        <v>0</v>
      </c>
      <c r="AA180" s="6">
        <f t="shared" si="268"/>
        <v>0</v>
      </c>
      <c r="AB180" s="6">
        <f t="shared" si="268"/>
        <v>-1.4845644129619635</v>
      </c>
      <c r="AC180" s="6">
        <f t="shared" si="268"/>
        <v>-5.362421982113612E-4</v>
      </c>
      <c r="AD180" s="6">
        <f t="shared" si="268"/>
        <v>0.11508681345821892</v>
      </c>
      <c r="AE180" s="6">
        <f t="shared" si="268"/>
        <v>0.18852759616245129</v>
      </c>
      <c r="AF180" s="6">
        <f t="shared" si="268"/>
        <v>0.26438942945349436</v>
      </c>
      <c r="AG180" s="6">
        <f t="shared" si="268"/>
        <v>0.30207377543495939</v>
      </c>
      <c r="AH180" s="6">
        <f t="shared" si="268"/>
        <v>0.33233890355139839</v>
      </c>
      <c r="AI180" s="6">
        <f t="shared" si="268"/>
        <v>0.35580083610697932</v>
      </c>
      <c r="AJ180" s="6">
        <f t="shared" si="268"/>
        <v>0.37502658639558012</v>
      </c>
      <c r="AK180" s="6">
        <f t="shared" si="268"/>
        <v>0.39106845447078248</v>
      </c>
      <c r="AL180" s="6">
        <f t="shared" si="268"/>
        <v>0.40465686036977694</v>
      </c>
      <c r="AM180" s="6">
        <f t="shared" si="268"/>
        <v>0.41631467308093634</v>
      </c>
      <c r="AN180" s="6">
        <f t="shared" si="268"/>
        <v>0.42642604124877886</v>
      </c>
      <c r="AO180" s="6">
        <f t="shared" si="268"/>
        <v>0.42634676263965787</v>
      </c>
      <c r="AP180" s="6">
        <f t="shared" si="268"/>
        <v>0.42735767943658864</v>
      </c>
      <c r="AQ180" s="6">
        <f t="shared" si="268"/>
        <v>0.42651997464266139</v>
      </c>
      <c r="AR180" s="6">
        <f t="shared" si="268"/>
        <v>0.42644170729970643</v>
      </c>
      <c r="AS180" s="6">
        <f t="shared" si="268"/>
        <v>0.42636343995675147</v>
      </c>
      <c r="AT180" s="6">
        <f t="shared" si="268"/>
        <v>0.42628517261379656</v>
      </c>
      <c r="AU180" s="6">
        <f t="shared" si="268"/>
        <v>0.4262069052708416</v>
      </c>
      <c r="AV180" s="6">
        <f t="shared" si="268"/>
        <v>0.42612863792788663</v>
      </c>
      <c r="AW180" s="6">
        <f t="shared" si="268"/>
        <v>0.42605037058493167</v>
      </c>
      <c r="AX180" s="6">
        <f t="shared" si="268"/>
        <v>0.42597210324197682</v>
      </c>
      <c r="AY180" s="6">
        <f t="shared" si="268"/>
        <v>0.4258938358990218</v>
      </c>
      <c r="AZ180" s="6">
        <f t="shared" si="268"/>
        <v>0.425815568556067</v>
      </c>
      <c r="BA180" s="6">
        <f t="shared" si="268"/>
        <v>0.42573730121311204</v>
      </c>
      <c r="BB180" s="6">
        <f t="shared" si="268"/>
        <v>0.42565903387015697</v>
      </c>
      <c r="BC180" s="6">
        <f t="shared" si="268"/>
        <v>0.42477507222717148</v>
      </c>
      <c r="BD180" s="6">
        <f t="shared" si="268"/>
        <v>0.42469780269898078</v>
      </c>
      <c r="BE180" s="6">
        <f t="shared" si="268"/>
        <v>0.42462053317079024</v>
      </c>
      <c r="BF180" s="6">
        <f t="shared" si="268"/>
        <v>0.42454326364259976</v>
      </c>
      <c r="BG180" s="6">
        <f t="shared" si="268"/>
        <v>0.42446599411440911</v>
      </c>
      <c r="BH180" s="6">
        <f t="shared" si="268"/>
        <v>0.42438872458621862</v>
      </c>
      <c r="BI180" s="6">
        <f t="shared" si="268"/>
        <v>0.42216101848270682</v>
      </c>
      <c r="BJ180" s="6">
        <f t="shared" ref="BJ180:BO180" si="269">IFERROR(BJ24/BJ9,0)</f>
        <v>0.4203560135183958</v>
      </c>
      <c r="BK180" s="6">
        <f t="shared" si="269"/>
        <v>0.41851113206696916</v>
      </c>
      <c r="BL180" s="6">
        <f t="shared" si="269"/>
        <v>0.41662482937165468</v>
      </c>
      <c r="BM180" s="6">
        <f t="shared" si="269"/>
        <v>0.41469552889590844</v>
      </c>
      <c r="BN180" s="6">
        <f t="shared" si="269"/>
        <v>0.41228871818049001</v>
      </c>
      <c r="BO180" s="6">
        <f t="shared" si="269"/>
        <v>0.40686676186564241</v>
      </c>
    </row>
    <row r="181" spans="1:67">
      <c r="A181" s="11"/>
      <c r="B181" s="11"/>
      <c r="C181" s="11" t="s">
        <v>23</v>
      </c>
      <c r="D181" s="33"/>
      <c r="E181" s="90"/>
      <c r="F181" s="90"/>
      <c r="G181" s="90">
        <f>G22</f>
        <v>-354800</v>
      </c>
      <c r="H181" s="90">
        <f t="shared" ref="H181:BI181" si="270">H22</f>
        <v>-354800</v>
      </c>
      <c r="I181" s="90">
        <f t="shared" si="270"/>
        <v>-354800</v>
      </c>
      <c r="J181" s="90">
        <f t="shared" si="270"/>
        <v>-354800</v>
      </c>
      <c r="K181" s="90">
        <f t="shared" si="270"/>
        <v>-354800</v>
      </c>
      <c r="L181" s="90">
        <f t="shared" si="270"/>
        <v>-354800</v>
      </c>
      <c r="M181" s="90">
        <f t="shared" si="270"/>
        <v>-354800</v>
      </c>
      <c r="N181" s="90">
        <f t="shared" si="270"/>
        <v>-354800</v>
      </c>
      <c r="O181" s="90">
        <f t="shared" si="270"/>
        <v>-354800</v>
      </c>
      <c r="P181" s="90">
        <f t="shared" si="270"/>
        <v>-448550</v>
      </c>
      <c r="Q181" s="90">
        <f t="shared" si="270"/>
        <v>-448550</v>
      </c>
      <c r="R181" s="90">
        <f t="shared" si="270"/>
        <v>-704383.33333333337</v>
      </c>
      <c r="S181" s="90">
        <f t="shared" si="270"/>
        <v>-601246</v>
      </c>
      <c r="T181" s="90">
        <f t="shared" si="270"/>
        <v>-1184579.3333333333</v>
      </c>
      <c r="U181" s="90">
        <f t="shared" si="270"/>
        <v>-1184579.3333333333</v>
      </c>
      <c r="V181" s="90">
        <f t="shared" si="270"/>
        <v>-1290204.3333333335</v>
      </c>
      <c r="W181" s="90">
        <f t="shared" si="270"/>
        <v>-1290204.3333333335</v>
      </c>
      <c r="X181" s="90">
        <f t="shared" si="270"/>
        <v>-1279787.6666666667</v>
      </c>
      <c r="Y181" s="90">
        <f t="shared" si="270"/>
        <v>-1279787.6666666667</v>
      </c>
      <c r="Z181" s="90">
        <f t="shared" si="270"/>
        <v>-1355412.6666666667</v>
      </c>
      <c r="AA181" s="90">
        <f t="shared" si="270"/>
        <v>-1355412.6666666667</v>
      </c>
      <c r="AB181" s="90">
        <f t="shared" si="270"/>
        <v>-33183279.04799848</v>
      </c>
      <c r="AC181" s="90">
        <f t="shared" si="270"/>
        <v>-14224107.739055265</v>
      </c>
      <c r="AD181" s="90">
        <f t="shared" si="270"/>
        <v>-11883461.101893414</v>
      </c>
      <c r="AE181" s="90">
        <f t="shared" si="270"/>
        <v>-9471181.0958542358</v>
      </c>
      <c r="AF181" s="90">
        <f t="shared" si="270"/>
        <v>-6401080.9191445261</v>
      </c>
      <c r="AG181" s="90">
        <f t="shared" si="270"/>
        <v>-4009295.2534911539</v>
      </c>
      <c r="AH181" s="90">
        <f t="shared" si="270"/>
        <v>-1520263.6194417328</v>
      </c>
      <c r="AI181" s="90">
        <f t="shared" si="270"/>
        <v>917180.40834800806</v>
      </c>
      <c r="AJ181" s="90">
        <f t="shared" si="270"/>
        <v>3387141.8378667766</v>
      </c>
      <c r="AK181" s="90">
        <f t="shared" si="270"/>
        <v>5851475.1258781161</v>
      </c>
      <c r="AL181" s="90">
        <f t="shared" si="270"/>
        <v>8352393.4471434951</v>
      </c>
      <c r="AM181" s="90">
        <f t="shared" si="270"/>
        <v>10856883.688384838</v>
      </c>
      <c r="AN181" s="90">
        <f t="shared" si="270"/>
        <v>13361882.6422382</v>
      </c>
      <c r="AO181" s="90">
        <f t="shared" si="270"/>
        <v>13453672.238119666</v>
      </c>
      <c r="AP181" s="90">
        <f t="shared" si="270"/>
        <v>13618537.233007617</v>
      </c>
      <c r="AQ181" s="90">
        <f t="shared" si="270"/>
        <v>14304232.964556919</v>
      </c>
      <c r="AR181" s="90">
        <f t="shared" si="270"/>
        <v>14406554.287046215</v>
      </c>
      <c r="AS181" s="90">
        <f t="shared" si="270"/>
        <v>14471561.701426068</v>
      </c>
      <c r="AT181" s="90">
        <f t="shared" si="270"/>
        <v>14514547.595470317</v>
      </c>
      <c r="AU181" s="90">
        <f t="shared" si="270"/>
        <v>14551159.170453001</v>
      </c>
      <c r="AV181" s="90">
        <f t="shared" si="270"/>
        <v>14587770.745435679</v>
      </c>
      <c r="AW181" s="90">
        <f t="shared" si="270"/>
        <v>14624382.320418363</v>
      </c>
      <c r="AX181" s="90">
        <f t="shared" si="270"/>
        <v>14660993.895401053</v>
      </c>
      <c r="AY181" s="90">
        <f t="shared" si="270"/>
        <v>14697605.470383734</v>
      </c>
      <c r="AZ181" s="90">
        <f t="shared" ca="1" si="270"/>
        <v>14734217.045366423</v>
      </c>
      <c r="BA181" s="90">
        <f t="shared" ca="1" si="270"/>
        <v>14770828.620349107</v>
      </c>
      <c r="BB181" s="90">
        <f t="shared" ca="1" si="270"/>
        <v>14807440.195331786</v>
      </c>
      <c r="BC181" s="90">
        <f t="shared" ca="1" si="270"/>
        <v>15411437.590125959</v>
      </c>
      <c r="BD181" s="90">
        <f t="shared" ca="1" si="270"/>
        <v>15448002.479594575</v>
      </c>
      <c r="BE181" s="90">
        <f t="shared" ca="1" si="270"/>
        <v>15484567.369063197</v>
      </c>
      <c r="BF181" s="90">
        <f t="shared" ca="1" si="270"/>
        <v>15521132.258531824</v>
      </c>
      <c r="BG181" s="90">
        <f t="shared" ca="1" si="270"/>
        <v>15557697.14800044</v>
      </c>
      <c r="BH181" s="90">
        <f t="shared" ca="1" si="270"/>
        <v>15594262.037469069</v>
      </c>
      <c r="BI181" s="90">
        <f t="shared" ca="1" si="270"/>
        <v>192057939.57794985</v>
      </c>
      <c r="BJ181" s="90">
        <f t="shared" ref="BJ181:BO181" ca="1" si="271">BJ22</f>
        <v>204278758.68880963</v>
      </c>
      <c r="BK181" s="90">
        <f t="shared" ca="1" si="271"/>
        <v>228868306.35362518</v>
      </c>
      <c r="BL181" s="90">
        <f t="shared" ca="1" si="271"/>
        <v>245324472.67902416</v>
      </c>
      <c r="BM181" s="90">
        <f t="shared" ca="1" si="271"/>
        <v>257744914.91242033</v>
      </c>
      <c r="BN181" s="90">
        <f t="shared" ca="1" si="271"/>
        <v>235121936.65687171</v>
      </c>
      <c r="BO181" s="90">
        <f t="shared" ca="1" si="271"/>
        <v>215366378.20430723</v>
      </c>
    </row>
    <row r="182" spans="1:67">
      <c r="A182" s="11"/>
      <c r="B182" s="11"/>
      <c r="C182" s="11" t="s">
        <v>590</v>
      </c>
      <c r="D182" s="33"/>
      <c r="E182" s="6"/>
      <c r="F182" s="6"/>
      <c r="G182" s="6">
        <f>IFERROR(G22/G9,0)</f>
        <v>0</v>
      </c>
      <c r="H182" s="6">
        <f t="shared" ref="H182:BI182" si="272">IFERROR(H22/H9,0)</f>
        <v>0</v>
      </c>
      <c r="I182" s="6">
        <f t="shared" si="272"/>
        <v>0</v>
      </c>
      <c r="J182" s="6">
        <f t="shared" si="272"/>
        <v>0</v>
      </c>
      <c r="K182" s="6">
        <f t="shared" si="272"/>
        <v>0</v>
      </c>
      <c r="L182" s="6">
        <f t="shared" si="272"/>
        <v>0</v>
      </c>
      <c r="M182" s="6">
        <f t="shared" si="272"/>
        <v>0</v>
      </c>
      <c r="N182" s="6">
        <f t="shared" si="272"/>
        <v>0</v>
      </c>
      <c r="O182" s="6">
        <f t="shared" si="272"/>
        <v>0</v>
      </c>
      <c r="P182" s="6">
        <f t="shared" si="272"/>
        <v>0</v>
      </c>
      <c r="Q182" s="6">
        <f t="shared" si="272"/>
        <v>0</v>
      </c>
      <c r="R182" s="6">
        <f t="shared" si="272"/>
        <v>0</v>
      </c>
      <c r="S182" s="6">
        <f t="shared" si="272"/>
        <v>0</v>
      </c>
      <c r="T182" s="6">
        <f t="shared" si="272"/>
        <v>0</v>
      </c>
      <c r="U182" s="6">
        <f t="shared" si="272"/>
        <v>0</v>
      </c>
      <c r="V182" s="6">
        <f t="shared" si="272"/>
        <v>0</v>
      </c>
      <c r="W182" s="6">
        <f t="shared" si="272"/>
        <v>0</v>
      </c>
      <c r="X182" s="6">
        <f t="shared" si="272"/>
        <v>0</v>
      </c>
      <c r="Y182" s="6">
        <f t="shared" si="272"/>
        <v>0</v>
      </c>
      <c r="Z182" s="6">
        <f t="shared" si="272"/>
        <v>0</v>
      </c>
      <c r="AA182" s="6">
        <f t="shared" si="272"/>
        <v>0</v>
      </c>
      <c r="AB182" s="6">
        <f t="shared" si="272"/>
        <v>-2.5576228050133083</v>
      </c>
      <c r="AC182" s="6">
        <f t="shared" si="272"/>
        <v>-0.82742064230492673</v>
      </c>
      <c r="AD182" s="6">
        <f t="shared" si="272"/>
        <v>-0.55510635748163262</v>
      </c>
      <c r="AE182" s="6">
        <f t="shared" si="272"/>
        <v>-0.36165942605532175</v>
      </c>
      <c r="AF182" s="6">
        <f t="shared" si="272"/>
        <v>-0.20988829969045303</v>
      </c>
      <c r="AG182" s="6">
        <f t="shared" si="272"/>
        <v>-0.11518647291492988</v>
      </c>
      <c r="AH182" s="6">
        <f t="shared" si="272"/>
        <v>-3.8865086156528901E-2</v>
      </c>
      <c r="AI182" s="6">
        <f t="shared" si="272"/>
        <v>2.1120598121547724E-2</v>
      </c>
      <c r="AJ182" s="6">
        <f t="shared" si="272"/>
        <v>7.0956736114947253E-2</v>
      </c>
      <c r="AK182" s="6">
        <f t="shared" si="272"/>
        <v>0.11243161528376995</v>
      </c>
      <c r="AL182" s="6">
        <f t="shared" si="272"/>
        <v>0.14821247578630428</v>
      </c>
      <c r="AM182" s="6">
        <f t="shared" si="272"/>
        <v>0.17896859751889094</v>
      </c>
      <c r="AN182" s="6">
        <f t="shared" si="272"/>
        <v>0.20565265514499989</v>
      </c>
      <c r="AO182" s="6">
        <f t="shared" si="272"/>
        <v>0.20706538826151738</v>
      </c>
      <c r="AP182" s="6">
        <f t="shared" si="272"/>
        <v>0.2096028244033375</v>
      </c>
      <c r="AQ182" s="6">
        <f t="shared" si="272"/>
        <v>0.21541501227189777</v>
      </c>
      <c r="AR182" s="6">
        <f t="shared" si="272"/>
        <v>0.21695592320325097</v>
      </c>
      <c r="AS182" s="6">
        <f t="shared" si="272"/>
        <v>0.21793490425040662</v>
      </c>
      <c r="AT182" s="6">
        <f t="shared" si="272"/>
        <v>0.21858225157172084</v>
      </c>
      <c r="AU182" s="6">
        <f t="shared" si="272"/>
        <v>0.21913360464977333</v>
      </c>
      <c r="AV182" s="6">
        <f t="shared" si="272"/>
        <v>0.21968495772782573</v>
      </c>
      <c r="AW182" s="6">
        <f t="shared" si="272"/>
        <v>0.22023631080587824</v>
      </c>
      <c r="AX182" s="6">
        <f t="shared" si="272"/>
        <v>0.22078766388393081</v>
      </c>
      <c r="AY182" s="6">
        <f t="shared" si="272"/>
        <v>0.22133901696198324</v>
      </c>
      <c r="AZ182" s="6">
        <f t="shared" ca="1" si="272"/>
        <v>0.22189037004003584</v>
      </c>
      <c r="BA182" s="6">
        <f t="shared" ca="1" si="272"/>
        <v>0.22244172311808832</v>
      </c>
      <c r="BB182" s="6">
        <f t="shared" ca="1" si="272"/>
        <v>0.22299307619614073</v>
      </c>
      <c r="BC182" s="6">
        <f t="shared" ca="1" si="272"/>
        <v>0.22709022441421337</v>
      </c>
      <c r="BD182" s="6">
        <f t="shared" ca="1" si="272"/>
        <v>0.22762901444639239</v>
      </c>
      <c r="BE182" s="6">
        <f t="shared" ca="1" si="272"/>
        <v>0.22816780447857149</v>
      </c>
      <c r="BF182" s="6">
        <f t="shared" ca="1" si="272"/>
        <v>0.22870659451075068</v>
      </c>
      <c r="BG182" s="6">
        <f t="shared" ca="1" si="272"/>
        <v>0.22924538454292967</v>
      </c>
      <c r="BH182" s="6">
        <f t="shared" ca="1" si="272"/>
        <v>0.22978417457510888</v>
      </c>
      <c r="BI182" s="6">
        <f t="shared" ca="1" si="272"/>
        <v>0.23075407366360334</v>
      </c>
      <c r="BJ182" s="6">
        <f t="shared" ref="BJ182:BO182" ca="1" si="273">IFERROR(BJ22/BJ9,0)</f>
        <v>0.24014998599005385</v>
      </c>
      <c r="BK182" s="6">
        <f t="shared" ca="1" si="273"/>
        <v>0.26326094184446658</v>
      </c>
      <c r="BL182" s="6">
        <f t="shared" ca="1" si="273"/>
        <v>0.27611006895170981</v>
      </c>
      <c r="BM182" s="6">
        <f t="shared" ca="1" si="273"/>
        <v>0.28383846444056726</v>
      </c>
      <c r="BN182" s="6">
        <f t="shared" ca="1" si="273"/>
        <v>0.25334552842863189</v>
      </c>
      <c r="BO182" s="6">
        <f t="shared" ca="1" si="273"/>
        <v>0.22850971235668494</v>
      </c>
    </row>
    <row r="183" spans="1:67">
      <c r="A183" s="11"/>
      <c r="B183" s="11"/>
      <c r="C183" s="11" t="s">
        <v>591</v>
      </c>
      <c r="D183" s="33"/>
      <c r="E183" s="6"/>
      <c r="F183" s="6"/>
      <c r="G183" s="6">
        <f>IFERROR(G22*(12/'01 Major Assumptions'!G$14)/G46,0)</f>
        <v>-0.17798274997168148</v>
      </c>
      <c r="H183" s="6">
        <f>IFERROR(H22*(12/'01 Major Assumptions'!H$14)/H46,0)</f>
        <v>-8.9955698557015004E-2</v>
      </c>
      <c r="I183" s="6">
        <f>IFERROR(I22*(12/'01 Major Assumptions'!I$14)/I46,0)</f>
        <v>-6.01904963430284E-2</v>
      </c>
      <c r="J183" s="6">
        <f>IFERROR(J22*(12/'01 Major Assumptions'!J$14)/J46,0)</f>
        <v>-1.2512309972378052E-2</v>
      </c>
      <c r="K183" s="6">
        <f>IFERROR(K22*(12/'01 Major Assumptions'!K$14)/K46,0)</f>
        <v>-1.0779119225280711E-2</v>
      </c>
      <c r="L183" s="6">
        <f>IFERROR(L22*(12/'01 Major Assumptions'!L$14)/L46,0)</f>
        <v>-9.4676484404833013E-3</v>
      </c>
      <c r="M183" s="6">
        <f>IFERROR(M22*(12/'01 Major Assumptions'!M$14)/M46,0)</f>
        <v>-8.4405378530357979E-3</v>
      </c>
      <c r="N183" s="6">
        <f>IFERROR(N22*(12/'01 Major Assumptions'!N$14)/N46,0)</f>
        <v>-7.6144650997353814E-3</v>
      </c>
      <c r="O183" s="6">
        <f>IFERROR(O22*(12/'01 Major Assumptions'!O$14)/O46,0)</f>
        <v>-6.9356675610212064E-3</v>
      </c>
      <c r="P183" s="6">
        <f>IFERROR(P22*(12/'01 Major Assumptions'!P$14)/P46,0)</f>
        <v>-7.9230462738934717E-3</v>
      </c>
      <c r="Q183" s="6">
        <f>IFERROR(Q22*(12/'01 Major Assumptions'!Q$14)/Q46,0)</f>
        <v>-7.0247939344655914E-3</v>
      </c>
      <c r="R183" s="6">
        <f>IFERROR(R22*(12/'01 Major Assumptions'!R$14)/R46,0)</f>
        <v>-1.015507977196793E-2</v>
      </c>
      <c r="S183" s="6">
        <f>IFERROR(S22*(12/'01 Major Assumptions'!S$14)/S46,0)</f>
        <v>-8.0210647183779921E-3</v>
      </c>
      <c r="T183" s="6">
        <f>IFERROR(T22*(12/'01 Major Assumptions'!T$14)/T46,0)</f>
        <v>-1.4699846895426198E-2</v>
      </c>
      <c r="U183" s="6">
        <f>IFERROR(U22*(12/'01 Major Assumptions'!U$14)/U46,0)</f>
        <v>-1.3735708387140468E-2</v>
      </c>
      <c r="V183" s="6">
        <f>IFERROR(V22*(12/'01 Major Assumptions'!V$14)/V46,0)</f>
        <v>-1.4034940733838033E-2</v>
      </c>
      <c r="W183" s="6">
        <f>IFERROR(W22*(12/'01 Major Assumptions'!W$14)/W46,0)</f>
        <v>-1.3213092160736219E-2</v>
      </c>
      <c r="X183" s="6">
        <f>IFERROR(X22*(12/'01 Major Assumptions'!X$14)/X46,0)</f>
        <v>-1.2377674302563419E-2</v>
      </c>
      <c r="Y183" s="6">
        <f>IFERROR(Y22*(12/'01 Major Assumptions'!Y$14)/Y46,0)</f>
        <v>-1.1722368593679746E-2</v>
      </c>
      <c r="Z183" s="6">
        <f>IFERROR(Z22*(12/'01 Major Assumptions'!Z$14)/Z46,0)</f>
        <v>-1.1787613664078277E-2</v>
      </c>
      <c r="AA183" s="6">
        <f>IFERROR(AA22*(12/'01 Major Assumptions'!AA$14)/AA46,0)</f>
        <v>-1.1215543749942138E-2</v>
      </c>
      <c r="AB183" s="6">
        <f>IFERROR(AB22*(12/'01 Major Assumptions'!AB$14)/AB46,0)</f>
        <v>-0.26613032363210715</v>
      </c>
      <c r="AC183" s="6">
        <f>IFERROR(AC22*(12/'01 Major Assumptions'!AC$14)/AC46,0)</f>
        <v>-0.11466895450650458</v>
      </c>
      <c r="AD183" s="6">
        <f>IFERROR(AD22*(12/'01 Major Assumptions'!AD$14)/AD46,0)</f>
        <v>-9.5924443548015437E-2</v>
      </c>
      <c r="AE183" s="6">
        <f>IFERROR(AE22*(12/'01 Major Assumptions'!AE$14)/AE46,0)</f>
        <v>-7.6416524272155839E-2</v>
      </c>
      <c r="AF183" s="6">
        <f>IFERROR(AF22*(12/'01 Major Assumptions'!AF$14)/AF46,0)</f>
        <v>-5.1454346955858467E-2</v>
      </c>
      <c r="AG183" s="6">
        <f>IFERROR(AG22*(12/'01 Major Assumptions'!AG$14)/AG46,0)</f>
        <v>-3.2375516201577789E-2</v>
      </c>
      <c r="AH183" s="6">
        <f>IFERROR(AH22*(12/'01 Major Assumptions'!AH$14)/AH46,0)</f>
        <v>-1.2261879221800588E-2</v>
      </c>
      <c r="AI183" s="6">
        <f>IFERROR(AI22*(12/'01 Major Assumptions'!AI$14)/AI46,0)</f>
        <v>7.4127788253127323E-3</v>
      </c>
      <c r="AJ183" s="6">
        <f>IFERROR(AJ22*(12/'01 Major Assumptions'!AJ$14)/AJ46,0)</f>
        <v>2.7334842908409172E-2</v>
      </c>
      <c r="AK183" s="6">
        <f>IFERROR(AK22*(12/'01 Major Assumptions'!AK$14)/AK46,0)</f>
        <v>4.7334889518983736E-2</v>
      </c>
      <c r="AL183" s="6">
        <f>IFERROR(AL22*(12/'01 Major Assumptions'!AL$14)/AL46,0)</f>
        <v>6.7596836176094965E-2</v>
      </c>
      <c r="AM183" s="6">
        <f>IFERROR(AM22*(12/'01 Major Assumptions'!AM$14)/AM46,0)</f>
        <v>8.7695704651445772E-2</v>
      </c>
      <c r="AN183" s="6">
        <f>IFERROR(AN22*(12/'01 Major Assumptions'!AN$14)/AN46,0)</f>
        <v>0.1082408145338707</v>
      </c>
      <c r="AO183" s="6">
        <f>IFERROR(AO22*(12/'01 Major Assumptions'!AO$14)/AO46,0)</f>
        <v>0.10928447149220108</v>
      </c>
      <c r="AP183" s="6">
        <f>IFERROR(AP22*(12/'01 Major Assumptions'!AP$14)/AP46,0)</f>
        <v>0.1115060357762134</v>
      </c>
      <c r="AQ183" s="6">
        <f>IFERROR(AQ22*(12/'01 Major Assumptions'!AQ$14)/AQ46,0)</f>
        <v>0.11751980026805027</v>
      </c>
      <c r="AR183" s="6">
        <f>IFERROR(AR22*(12/'01 Major Assumptions'!AR$14)/AR46,0)</f>
        <v>0.11798889631257507</v>
      </c>
      <c r="AS183" s="6">
        <f>IFERROR(AS22*(12/'01 Major Assumptions'!AS$14)/AS46,0)</f>
        <v>0.11847751101549307</v>
      </c>
      <c r="AT183" s="6">
        <f>IFERROR(AT22*(12/'01 Major Assumptions'!AT$14)/AT46,0)</f>
        <v>0.11827626169236184</v>
      </c>
      <c r="AU183" s="6">
        <f>IFERROR(AU22*(12/'01 Major Assumptions'!AU$14)/AU46,0)</f>
        <v>0.11821864643785084</v>
      </c>
      <c r="AV183" s="6">
        <f>IFERROR(AV22*(12/'01 Major Assumptions'!AV$14)/AV46,0)</f>
        <v>0.11796272860749848</v>
      </c>
      <c r="AW183" s="6">
        <f>IFERROR(AW22*(12/'01 Major Assumptions'!AW$14)/AW46,0)</f>
        <v>0.11790071357818686</v>
      </c>
      <c r="AX183" s="6">
        <f>IFERROR(AX22*(12/'01 Major Assumptions'!AX$14)/AX46,0)</f>
        <v>0.11773924473932694</v>
      </c>
      <c r="AY183" s="6">
        <f ca="1">IFERROR(AY22*(12/'01 Major Assumptions'!AY$14)/AY46,0)</f>
        <v>0.11747983844000476</v>
      </c>
      <c r="AZ183" s="6">
        <f ca="1">IFERROR(AZ22*(12/'01 Major Assumptions'!AZ$14)/AZ46,0)</f>
        <v>0.11741145705585813</v>
      </c>
      <c r="BA183" s="6">
        <f ca="1">IFERROR(BA22*(12/'01 Major Assumptions'!BA$14)/BA46,0)</f>
        <v>0.11714987847484615</v>
      </c>
      <c r="BB183" s="6">
        <f ca="1">IFERROR(BB22*(12/'01 Major Assumptions'!BB$14)/BB46,0)</f>
        <v>0.11707740631363228</v>
      </c>
      <c r="BC183" s="6">
        <f ca="1">IFERROR(BC22*(12/'01 Major Assumptions'!BC$14)/BC46,0)</f>
        <v>0.12126053206762773</v>
      </c>
      <c r="BD183" s="6">
        <f ca="1">IFERROR(BD22*(12/'01 Major Assumptions'!BD$14)/BD46,0)</f>
        <v>0.12070863994842865</v>
      </c>
      <c r="BE183" s="6">
        <f ca="1">IFERROR(BE22*(12/'01 Major Assumptions'!BE$14)/BE46,0)</f>
        <v>0.12079392470662803</v>
      </c>
      <c r="BF183" s="6">
        <f ca="1">IFERROR(BF22*(12/'01 Major Assumptions'!BF$14)/BF46,0)</f>
        <v>0.120461092301807</v>
      </c>
      <c r="BG183" s="6">
        <f ca="1">IFERROR(BG22*(12/'01 Major Assumptions'!BG$14)/BG46,0)</f>
        <v>0.12032388765554601</v>
      </c>
      <c r="BH183" s="6">
        <f ca="1">IFERROR(BH22*(12/'01 Major Assumptions'!BH$14)/BH46,0)</f>
        <v>0.11999062042004988</v>
      </c>
      <c r="BI183" s="6">
        <f ca="1">IFERROR(BI22*(12/'01 Major Assumptions'!BI$14)/BI46,0)</f>
        <v>0.11812202287791264</v>
      </c>
      <c r="BJ183" s="6">
        <f ca="1">IFERROR(BJ22*(12/'01 Major Assumptions'!BJ$14)/BJ46,0)</f>
        <v>0.12540706983052013</v>
      </c>
      <c r="BK183" s="6">
        <f ca="1">IFERROR(BK22*(12/'01 Major Assumptions'!BK$14)/BK46,0)</f>
        <v>0.13868021664770974</v>
      </c>
      <c r="BL183" s="6">
        <f ca="1">IFERROR(BL22*(12/'01 Major Assumptions'!BL$14)/BL46,0)</f>
        <v>0.14638042890489164</v>
      </c>
      <c r="BM183" s="6">
        <f ca="1">IFERROR(BM22*(12/'01 Major Assumptions'!BM$14)/BM46,0)</f>
        <v>0.15111178638909947</v>
      </c>
      <c r="BN183" s="6">
        <f ca="1">IFERROR(BN22*(12/'01 Major Assumptions'!BN$14)/BN46,0)</f>
        <v>0.12964448453160912</v>
      </c>
      <c r="BO183" s="6">
        <f ca="1">IFERROR(BO22*(12/'01 Major Assumptions'!BO$14)/BO46,0)</f>
        <v>0.11258519895859756</v>
      </c>
    </row>
    <row r="184" spans="1:67">
      <c r="A184" s="11"/>
      <c r="B184" s="11"/>
      <c r="C184" s="11" t="s">
        <v>521</v>
      </c>
      <c r="D184" s="33"/>
      <c r="E184" s="90"/>
      <c r="F184" s="90"/>
      <c r="G184" s="90">
        <f>G46</f>
        <v>23921419.35483871</v>
      </c>
      <c r="H184" s="90">
        <f t="shared" ref="H184:BI184" si="274">H46</f>
        <v>47329964.285714284</v>
      </c>
      <c r="I184" s="90">
        <f t="shared" si="274"/>
        <v>70735419.354838714</v>
      </c>
      <c r="J184" s="90">
        <f t="shared" si="274"/>
        <v>340272900</v>
      </c>
      <c r="K184" s="90">
        <f t="shared" si="274"/>
        <v>394985889.94307399</v>
      </c>
      <c r="L184" s="90">
        <f t="shared" si="274"/>
        <v>449699841.17647058</v>
      </c>
      <c r="M184" s="90">
        <f t="shared" si="274"/>
        <v>504422831.11954463</v>
      </c>
      <c r="N184" s="90">
        <f t="shared" si="274"/>
        <v>559146301.70777988</v>
      </c>
      <c r="O184" s="90">
        <f t="shared" si="274"/>
        <v>613870252.94117641</v>
      </c>
      <c r="P184" s="90">
        <f t="shared" si="274"/>
        <v>679359909.55091715</v>
      </c>
      <c r="Q184" s="90">
        <f t="shared" si="274"/>
        <v>766228881.61764693</v>
      </c>
      <c r="R184" s="90">
        <f t="shared" si="274"/>
        <v>832351905.62781668</v>
      </c>
      <c r="S184" s="90">
        <f t="shared" si="274"/>
        <v>899500534.32046068</v>
      </c>
      <c r="T184" s="90">
        <f t="shared" si="274"/>
        <v>967013609.12969303</v>
      </c>
      <c r="U184" s="90">
        <f t="shared" si="274"/>
        <v>1034890345.6124772</v>
      </c>
      <c r="V184" s="90">
        <f t="shared" si="274"/>
        <v>1103136257.8305757</v>
      </c>
      <c r="W184" s="90">
        <f t="shared" si="274"/>
        <v>1171750852.2348289</v>
      </c>
      <c r="X184" s="90">
        <f t="shared" si="274"/>
        <v>1240738092.1971319</v>
      </c>
      <c r="Y184" s="90">
        <f t="shared" si="274"/>
        <v>1310098029.8708704</v>
      </c>
      <c r="Z184" s="90">
        <f t="shared" si="274"/>
        <v>1379834160.1206374</v>
      </c>
      <c r="AA184" s="90">
        <f t="shared" si="274"/>
        <v>1450215198</v>
      </c>
      <c r="AB184" s="90">
        <f t="shared" si="274"/>
        <v>1496256958.4007421</v>
      </c>
      <c r="AC184" s="90">
        <f t="shared" si="274"/>
        <v>1488539715.0715356</v>
      </c>
      <c r="AD184" s="90">
        <f t="shared" si="274"/>
        <v>1486602662.9733963</v>
      </c>
      <c r="AE184" s="90">
        <f t="shared" si="274"/>
        <v>1487298385.1695988</v>
      </c>
      <c r="AF184" s="90">
        <f t="shared" si="274"/>
        <v>1492837351.4414718</v>
      </c>
      <c r="AG184" s="90">
        <f t="shared" si="274"/>
        <v>1486047133.3442144</v>
      </c>
      <c r="AH184" s="90">
        <f t="shared" si="274"/>
        <v>1487795068.2197216</v>
      </c>
      <c r="AI184" s="90">
        <f t="shared" si="274"/>
        <v>1484755603.7410526</v>
      </c>
      <c r="AJ184" s="90">
        <f t="shared" si="274"/>
        <v>1486955757.9164743</v>
      </c>
      <c r="AK184" s="90">
        <f t="shared" si="274"/>
        <v>1483423796.3601131</v>
      </c>
      <c r="AL184" s="90">
        <f t="shared" si="274"/>
        <v>1482742788.5029767</v>
      </c>
      <c r="AM184" s="90">
        <f t="shared" si="274"/>
        <v>1485621271.6282699</v>
      </c>
      <c r="AN184" s="90">
        <f t="shared" si="274"/>
        <v>1481350564.4553702</v>
      </c>
      <c r="AO184" s="90">
        <f t="shared" si="274"/>
        <v>1477282770.8551183</v>
      </c>
      <c r="AP184" s="90">
        <f t="shared" si="274"/>
        <v>1465592832.3384345</v>
      </c>
      <c r="AQ184" s="90">
        <f t="shared" si="274"/>
        <v>1460611702.7357576</v>
      </c>
      <c r="AR184" s="90">
        <f t="shared" si="274"/>
        <v>1465211192.3020797</v>
      </c>
      <c r="AS184" s="90">
        <f t="shared" si="274"/>
        <v>1465752773.9116988</v>
      </c>
      <c r="AT184" s="90">
        <f t="shared" si="274"/>
        <v>1472608016.6337538</v>
      </c>
      <c r="AU184" s="90">
        <f t="shared" si="274"/>
        <v>1477042034.4580154</v>
      </c>
      <c r="AV184" s="90">
        <f t="shared" si="274"/>
        <v>1483970835.6330833</v>
      </c>
      <c r="AW184" s="90">
        <f t="shared" si="274"/>
        <v>1488477741.3042624</v>
      </c>
      <c r="AX184" s="90">
        <f t="shared" si="274"/>
        <v>1494250512.08986</v>
      </c>
      <c r="AY184" s="90">
        <f t="shared" ca="1" si="274"/>
        <v>1501289650.9444473</v>
      </c>
      <c r="AZ184" s="90">
        <f t="shared" ca="1" si="274"/>
        <v>1505905888.386003</v>
      </c>
      <c r="BA184" s="90">
        <f t="shared" ca="1" si="274"/>
        <v>1513018585.6936038</v>
      </c>
      <c r="BB184" s="90">
        <f t="shared" ca="1" si="274"/>
        <v>1517707710.9820771</v>
      </c>
      <c r="BC184" s="90">
        <f t="shared" ca="1" si="274"/>
        <v>1525123203.1405807</v>
      </c>
      <c r="BD184" s="90">
        <f t="shared" ca="1" si="274"/>
        <v>1535731243.7149043</v>
      </c>
      <c r="BE184" s="90">
        <f t="shared" ca="1" si="274"/>
        <v>1538279419.929822</v>
      </c>
      <c r="BF184" s="90">
        <f t="shared" ca="1" si="274"/>
        <v>1546172158.5234866</v>
      </c>
      <c r="BG184" s="90">
        <f t="shared" ca="1" si="274"/>
        <v>1551581896.2769375</v>
      </c>
      <c r="BH184" s="90">
        <f t="shared" ca="1" si="274"/>
        <v>1559548102.9645555</v>
      </c>
      <c r="BI184" s="90">
        <f t="shared" ca="1" si="274"/>
        <v>1625928297.6930995</v>
      </c>
      <c r="BJ184" s="90">
        <f t="shared" ref="BJ184:BO184" ca="1" si="275">BJ46</f>
        <v>1628925378.488467</v>
      </c>
      <c r="BK184" s="90">
        <f t="shared" ca="1" si="275"/>
        <v>1650331329.7744613</v>
      </c>
      <c r="BL184" s="90">
        <f t="shared" ca="1" si="275"/>
        <v>1675937654.4689579</v>
      </c>
      <c r="BM184" s="90">
        <f t="shared" ca="1" si="275"/>
        <v>1705657255.9386599</v>
      </c>
      <c r="BN184" s="90">
        <f t="shared" ca="1" si="275"/>
        <v>1813589968.8007607</v>
      </c>
      <c r="BO184" s="90">
        <f t="shared" ca="1" si="275"/>
        <v>1912919106.564858</v>
      </c>
    </row>
    <row r="185" spans="1:67">
      <c r="A185" s="11"/>
      <c r="B185" s="11"/>
      <c r="C185" s="11" t="s">
        <v>529</v>
      </c>
      <c r="D185" s="33"/>
      <c r="E185" s="90"/>
      <c r="F185" s="90"/>
      <c r="G185" s="90">
        <f>G58</f>
        <v>353998.83870967739</v>
      </c>
      <c r="H185" s="90">
        <f t="shared" ref="H185:BI185" si="276">H58</f>
        <v>390786.85714285716</v>
      </c>
      <c r="I185" s="90">
        <f t="shared" si="276"/>
        <v>353998.83870967739</v>
      </c>
      <c r="J185" s="90">
        <f t="shared" si="276"/>
        <v>365444</v>
      </c>
      <c r="K185" s="90">
        <f t="shared" si="276"/>
        <v>353998.83870967739</v>
      </c>
      <c r="L185" s="90">
        <f t="shared" si="276"/>
        <v>365444</v>
      </c>
      <c r="M185" s="90">
        <f t="shared" si="276"/>
        <v>353998.83870967739</v>
      </c>
      <c r="N185" s="90">
        <f t="shared" si="276"/>
        <v>353998.83870967739</v>
      </c>
      <c r="O185" s="90">
        <f t="shared" si="276"/>
        <v>365444</v>
      </c>
      <c r="P185" s="90">
        <f t="shared" si="276"/>
        <v>447537.1451612903</v>
      </c>
      <c r="Q185" s="90">
        <f t="shared" si="276"/>
        <v>63325988.117646933</v>
      </c>
      <c r="R185" s="90">
        <f t="shared" si="276"/>
        <v>129690279.0633004</v>
      </c>
      <c r="S185" s="90">
        <f t="shared" si="276"/>
        <v>196735714.92626703</v>
      </c>
      <c r="T185" s="90">
        <f t="shared" si="276"/>
        <v>264908851.33727914</v>
      </c>
      <c r="U185" s="90">
        <f t="shared" si="276"/>
        <v>332707542.34731585</v>
      </c>
      <c r="V185" s="90">
        <f t="shared" si="276"/>
        <v>401099970.29390901</v>
      </c>
      <c r="W185" s="90">
        <f t="shared" si="276"/>
        <v>469673435.46160293</v>
      </c>
      <c r="X185" s="90">
        <f t="shared" si="276"/>
        <v>538691075.49379838</v>
      </c>
      <c r="Y185" s="90">
        <f t="shared" si="276"/>
        <v>608010219.9524833</v>
      </c>
      <c r="Z185" s="90">
        <f t="shared" si="276"/>
        <v>677821804.43612123</v>
      </c>
      <c r="AA185" s="90">
        <f t="shared" si="276"/>
        <v>748442395.0473218</v>
      </c>
      <c r="AB185" s="90">
        <f t="shared" si="276"/>
        <v>827667434.49606228</v>
      </c>
      <c r="AC185" s="90">
        <f t="shared" si="276"/>
        <v>834174298.90591097</v>
      </c>
      <c r="AD185" s="90">
        <f t="shared" si="276"/>
        <v>844120707.90966511</v>
      </c>
      <c r="AE185" s="90">
        <f t="shared" si="276"/>
        <v>854287611.20172215</v>
      </c>
      <c r="AF185" s="90">
        <f t="shared" si="276"/>
        <v>866227658.39273953</v>
      </c>
      <c r="AG185" s="90">
        <f t="shared" si="276"/>
        <v>863446735.54897368</v>
      </c>
      <c r="AH185" s="90">
        <f t="shared" si="276"/>
        <v>866714934.04392219</v>
      </c>
      <c r="AI185" s="90">
        <f t="shared" si="276"/>
        <v>862758289.15690541</v>
      </c>
      <c r="AJ185" s="90">
        <f t="shared" si="276"/>
        <v>861571301.49446011</v>
      </c>
      <c r="AK185" s="90">
        <f t="shared" si="276"/>
        <v>852187864.81222081</v>
      </c>
      <c r="AL185" s="90">
        <f t="shared" si="276"/>
        <v>843154463.50794077</v>
      </c>
      <c r="AM185" s="90">
        <f t="shared" ca="1" si="276"/>
        <v>835176062.94484925</v>
      </c>
      <c r="AN185" s="90">
        <f t="shared" ca="1" si="276"/>
        <v>817543473.12971139</v>
      </c>
      <c r="AO185" s="90">
        <f t="shared" ca="1" si="276"/>
        <v>800022007.29133976</v>
      </c>
      <c r="AP185" s="90">
        <f t="shared" ca="1" si="276"/>
        <v>774713531.54164851</v>
      </c>
      <c r="AQ185" s="90">
        <f t="shared" ca="1" si="276"/>
        <v>755428168.97441459</v>
      </c>
      <c r="AR185" s="90">
        <f t="shared" ca="1" si="276"/>
        <v>745621104.25369048</v>
      </c>
      <c r="AS185" s="90">
        <f t="shared" ca="1" si="276"/>
        <v>731691124.16188335</v>
      </c>
      <c r="AT185" s="90">
        <f t="shared" ca="1" si="276"/>
        <v>724031819.28846788</v>
      </c>
      <c r="AU185" s="90">
        <f t="shared" ca="1" si="276"/>
        <v>713914677.94227648</v>
      </c>
      <c r="AV185" s="90">
        <f t="shared" ca="1" si="276"/>
        <v>706255708.37190866</v>
      </c>
      <c r="AW185" s="90">
        <f t="shared" ca="1" si="276"/>
        <v>696138231.72266936</v>
      </c>
      <c r="AX185" s="90">
        <f t="shared" ca="1" si="276"/>
        <v>687250008.61286592</v>
      </c>
      <c r="AY185" s="90">
        <f t="shared" ca="1" si="276"/>
        <v>712162080.62983453</v>
      </c>
      <c r="AZ185" s="90">
        <f t="shared" ca="1" si="276"/>
        <v>702044101.02602375</v>
      </c>
      <c r="BA185" s="90">
        <f t="shared" ca="1" si="276"/>
        <v>694385969.71327519</v>
      </c>
      <c r="BB185" s="90">
        <f t="shared" ca="1" si="276"/>
        <v>684267654.80641675</v>
      </c>
      <c r="BC185" s="90">
        <f t="shared" ca="1" si="276"/>
        <v>676271709.37479424</v>
      </c>
      <c r="BD185" s="90">
        <f t="shared" ca="1" si="276"/>
        <v>671431747.46952319</v>
      </c>
      <c r="BE185" s="90">
        <f t="shared" ca="1" si="276"/>
        <v>658495356.31537759</v>
      </c>
      <c r="BF185" s="90">
        <f t="shared" ca="1" si="276"/>
        <v>650866962.65051055</v>
      </c>
      <c r="BG185" s="90">
        <f t="shared" ca="1" si="276"/>
        <v>640719003.25596094</v>
      </c>
      <c r="BH185" s="90">
        <f t="shared" ca="1" si="276"/>
        <v>633090947.90611029</v>
      </c>
      <c r="BI185" s="90">
        <f t="shared" ca="1" si="276"/>
        <v>603442172.84567893</v>
      </c>
      <c r="BJ185" s="90">
        <f t="shared" ref="BJ185:BO185" ca="1" si="277">BJ58</f>
        <v>504299874.29664171</v>
      </c>
      <c r="BK185" s="90">
        <f t="shared" ca="1" si="277"/>
        <v>411271672.40582359</v>
      </c>
      <c r="BL185" s="90">
        <f t="shared" ca="1" si="277"/>
        <v>314215760.76080799</v>
      </c>
      <c r="BM185" s="90">
        <f t="shared" ca="1" si="277"/>
        <v>215062904.77429983</v>
      </c>
      <c r="BN185" s="90">
        <f t="shared" ca="1" si="277"/>
        <v>205434649.30796459</v>
      </c>
      <c r="BO185" s="90">
        <f t="shared" ca="1" si="277"/>
        <v>197080597.96990851</v>
      </c>
    </row>
    <row r="186" spans="1:67">
      <c r="A186" s="11"/>
      <c r="B186" s="11"/>
      <c r="C186" s="11" t="s">
        <v>511</v>
      </c>
      <c r="D186" s="33"/>
      <c r="E186" s="90"/>
      <c r="F186" s="90"/>
      <c r="G186" s="90">
        <f>G63</f>
        <v>23567420.516129032</v>
      </c>
      <c r="H186" s="90">
        <f t="shared" ref="H186:BI186" si="278">H63</f>
        <v>46939177.428571433</v>
      </c>
      <c r="I186" s="90">
        <f t="shared" si="278"/>
        <v>70381420.516129032</v>
      </c>
      <c r="J186" s="90">
        <f t="shared" si="278"/>
        <v>339907456</v>
      </c>
      <c r="K186" s="90">
        <f t="shared" si="278"/>
        <v>394631891.10436434</v>
      </c>
      <c r="L186" s="90">
        <f t="shared" si="278"/>
        <v>449334397.17647058</v>
      </c>
      <c r="M186" s="90">
        <f t="shared" si="278"/>
        <v>504068832.28083491</v>
      </c>
      <c r="N186" s="90">
        <f t="shared" si="278"/>
        <v>558792302.86907017</v>
      </c>
      <c r="O186" s="90">
        <f t="shared" si="278"/>
        <v>613504808.94117641</v>
      </c>
      <c r="P186" s="90">
        <f t="shared" si="278"/>
        <v>678912372.40575576</v>
      </c>
      <c r="Q186" s="90">
        <f t="shared" si="278"/>
        <v>702902893.5</v>
      </c>
      <c r="R186" s="90">
        <f t="shared" si="278"/>
        <v>702661626.56451607</v>
      </c>
      <c r="S186" s="90">
        <f t="shared" si="278"/>
        <v>702764819.39419353</v>
      </c>
      <c r="T186" s="90">
        <f t="shared" si="278"/>
        <v>702104757.79241383</v>
      </c>
      <c r="U186" s="90">
        <f t="shared" si="278"/>
        <v>702182803.26516128</v>
      </c>
      <c r="V186" s="90">
        <f t="shared" si="278"/>
        <v>702036287.53666663</v>
      </c>
      <c r="W186" s="90">
        <f t="shared" si="278"/>
        <v>702077416.7732259</v>
      </c>
      <c r="X186" s="90">
        <f t="shared" si="278"/>
        <v>702047016.70333338</v>
      </c>
      <c r="Y186" s="90">
        <f t="shared" si="278"/>
        <v>702087809.91838717</v>
      </c>
      <c r="Z186" s="90">
        <f t="shared" si="278"/>
        <v>702012355.68451631</v>
      </c>
      <c r="AA186" s="90">
        <f t="shared" si="278"/>
        <v>701772802.9526782</v>
      </c>
      <c r="AB186" s="90">
        <f t="shared" si="278"/>
        <v>668589523.90467978</v>
      </c>
      <c r="AC186" s="90">
        <f t="shared" si="278"/>
        <v>654365416.1656245</v>
      </c>
      <c r="AD186" s="90">
        <f t="shared" si="278"/>
        <v>642481955.06373107</v>
      </c>
      <c r="AE186" s="90">
        <f t="shared" si="278"/>
        <v>633010773.96787691</v>
      </c>
      <c r="AF186" s="90">
        <f t="shared" si="278"/>
        <v>626609693.04873228</v>
      </c>
      <c r="AG186" s="90">
        <f t="shared" si="278"/>
        <v>622600397.79524112</v>
      </c>
      <c r="AH186" s="90">
        <f t="shared" si="278"/>
        <v>621080134.17579949</v>
      </c>
      <c r="AI186" s="90">
        <f t="shared" si="278"/>
        <v>621997314.58414745</v>
      </c>
      <c r="AJ186" s="90">
        <f t="shared" si="278"/>
        <v>625384456.42201424</v>
      </c>
      <c r="AK186" s="90">
        <f t="shared" si="278"/>
        <v>631235931.54789233</v>
      </c>
      <c r="AL186" s="90">
        <f t="shared" si="278"/>
        <v>639588324.99503589</v>
      </c>
      <c r="AM186" s="90">
        <f t="shared" ca="1" si="278"/>
        <v>650445208.68342066</v>
      </c>
      <c r="AN186" s="90">
        <f t="shared" ca="1" si="278"/>
        <v>663807091.32565892</v>
      </c>
      <c r="AO186" s="90">
        <f t="shared" ca="1" si="278"/>
        <v>677260763.56377852</v>
      </c>
      <c r="AP186" s="90">
        <f t="shared" ca="1" si="278"/>
        <v>690879300.79678619</v>
      </c>
      <c r="AQ186" s="90">
        <f t="shared" ca="1" si="278"/>
        <v>705183533.76134312</v>
      </c>
      <c r="AR186" s="90">
        <f t="shared" ca="1" si="278"/>
        <v>719590088.04838932</v>
      </c>
      <c r="AS186" s="90">
        <f t="shared" ca="1" si="278"/>
        <v>734061649.74981534</v>
      </c>
      <c r="AT186" s="90">
        <f t="shared" ca="1" si="278"/>
        <v>748576197.34528565</v>
      </c>
      <c r="AU186" s="90">
        <f t="shared" ca="1" si="278"/>
        <v>763127356.51573873</v>
      </c>
      <c r="AV186" s="90">
        <f t="shared" ca="1" si="278"/>
        <v>777715127.26117432</v>
      </c>
      <c r="AW186" s="90">
        <f t="shared" ca="1" si="278"/>
        <v>792339509.58159268</v>
      </c>
      <c r="AX186" s="90">
        <f t="shared" ca="1" si="278"/>
        <v>807000503.4769938</v>
      </c>
      <c r="AY186" s="90">
        <f t="shared" ca="1" si="278"/>
        <v>789127570.31461275</v>
      </c>
      <c r="AZ186" s="90">
        <f t="shared" ca="1" si="278"/>
        <v>803861787.35997915</v>
      </c>
      <c r="BA186" s="90">
        <f t="shared" ca="1" si="278"/>
        <v>818632615.98032832</v>
      </c>
      <c r="BB186" s="90">
        <f t="shared" ca="1" si="278"/>
        <v>833440056.17566001</v>
      </c>
      <c r="BC186" s="90">
        <f t="shared" ca="1" si="278"/>
        <v>848851493.76578605</v>
      </c>
      <c r="BD186" s="90">
        <f t="shared" ca="1" si="278"/>
        <v>864299496.24538064</v>
      </c>
      <c r="BE186" s="90">
        <f t="shared" ca="1" si="278"/>
        <v>879784063.61444378</v>
      </c>
      <c r="BF186" s="90">
        <f t="shared" ca="1" si="278"/>
        <v>895305195.87297559</v>
      </c>
      <c r="BG186" s="90">
        <f t="shared" ca="1" si="278"/>
        <v>910862893.02097607</v>
      </c>
      <c r="BH186" s="90">
        <f t="shared" ca="1" si="278"/>
        <v>926457155.0584451</v>
      </c>
      <c r="BI186" s="90">
        <f t="shared" ca="1" si="278"/>
        <v>1022486124.84742</v>
      </c>
      <c r="BJ186" s="90">
        <f t="shared" ref="BJ186:BO186" ca="1" si="279">BJ63</f>
        <v>1124625504.1918249</v>
      </c>
      <c r="BK186" s="90">
        <f t="shared" ca="1" si="279"/>
        <v>1239059657.3686376</v>
      </c>
      <c r="BL186" s="90">
        <f t="shared" ca="1" si="279"/>
        <v>1361721893.7081494</v>
      </c>
      <c r="BM186" s="90">
        <f t="shared" ca="1" si="279"/>
        <v>1490594351.1643596</v>
      </c>
      <c r="BN186" s="90">
        <f t="shared" ca="1" si="279"/>
        <v>1608155319.4927955</v>
      </c>
      <c r="BO186" s="90">
        <f t="shared" ca="1" si="279"/>
        <v>1715838508.594949</v>
      </c>
    </row>
    <row r="187" spans="1:67">
      <c r="A187" s="11"/>
      <c r="B187" s="11"/>
      <c r="C187" s="11" t="s">
        <v>583</v>
      </c>
      <c r="D187" s="33"/>
      <c r="E187" s="110"/>
      <c r="F187" s="110"/>
      <c r="G187" s="110">
        <f>IFERROR(G58/G63,0)</f>
        <v>1.5020686649495997E-2</v>
      </c>
      <c r="H187" s="110">
        <f t="shared" ref="H187:BI187" si="280">IFERROR(H58/H63,0)</f>
        <v>8.3253878433964396E-3</v>
      </c>
      <c r="I187" s="110">
        <f t="shared" si="280"/>
        <v>5.0297200044229409E-3</v>
      </c>
      <c r="J187" s="110">
        <f t="shared" si="280"/>
        <v>1.0751279312919808E-3</v>
      </c>
      <c r="K187" s="110">
        <f t="shared" si="280"/>
        <v>8.9703555817301868E-4</v>
      </c>
      <c r="L187" s="110">
        <f t="shared" si="280"/>
        <v>8.1330074504951902E-4</v>
      </c>
      <c r="M187" s="110">
        <f t="shared" si="280"/>
        <v>7.0228273608563812E-4</v>
      </c>
      <c r="N187" s="110">
        <f t="shared" si="280"/>
        <v>6.3350700589843729E-4</v>
      </c>
      <c r="O187" s="110">
        <f t="shared" si="280"/>
        <v>5.9566607249697892E-4</v>
      </c>
      <c r="P187" s="110">
        <f t="shared" si="280"/>
        <v>6.5919721506241345E-4</v>
      </c>
      <c r="Q187" s="110">
        <f t="shared" si="280"/>
        <v>9.0092086265749494E-2</v>
      </c>
      <c r="R187" s="110">
        <f t="shared" si="280"/>
        <v>0.18457003223213964</v>
      </c>
      <c r="S187" s="110">
        <f t="shared" si="280"/>
        <v>0.27994530957861508</v>
      </c>
      <c r="T187" s="110">
        <f t="shared" si="280"/>
        <v>0.3773067315057318</v>
      </c>
      <c r="U187" s="110">
        <f t="shared" si="280"/>
        <v>0.47381898388883986</v>
      </c>
      <c r="V187" s="110">
        <f t="shared" si="280"/>
        <v>0.57133794565136342</v>
      </c>
      <c r="W187" s="110">
        <f t="shared" si="280"/>
        <v>0.66897670291153877</v>
      </c>
      <c r="X187" s="110">
        <f t="shared" si="280"/>
        <v>0.76731481322060091</v>
      </c>
      <c r="Y187" s="110">
        <f t="shared" si="280"/>
        <v>0.86600310012954118</v>
      </c>
      <c r="Z187" s="110">
        <f t="shared" si="280"/>
        <v>0.96554113178705037</v>
      </c>
      <c r="AA187" s="110">
        <f t="shared" si="280"/>
        <v>1.0665024234314628</v>
      </c>
      <c r="AB187" s="110">
        <f t="shared" si="280"/>
        <v>1.2379306060052209</v>
      </c>
      <c r="AC187" s="110">
        <f t="shared" si="280"/>
        <v>1.2747835968989774</v>
      </c>
      <c r="AD187" s="110">
        <f t="shared" si="280"/>
        <v>1.3138434492310878</v>
      </c>
      <c r="AE187" s="110">
        <f t="shared" si="280"/>
        <v>1.3495625135206217</v>
      </c>
      <c r="AF187" s="110">
        <f t="shared" si="280"/>
        <v>1.382403860013975</v>
      </c>
      <c r="AG187" s="110">
        <f t="shared" si="280"/>
        <v>1.3868393573255335</v>
      </c>
      <c r="AH187" s="110">
        <f t="shared" si="280"/>
        <v>1.3954961467155778</v>
      </c>
      <c r="AI187" s="110">
        <f t="shared" si="280"/>
        <v>1.3870771929839039</v>
      </c>
      <c r="AJ187" s="110">
        <f t="shared" si="280"/>
        <v>1.3776666379329792</v>
      </c>
      <c r="AK187" s="110">
        <f t="shared" si="280"/>
        <v>1.350030665590469</v>
      </c>
      <c r="AL187" s="110">
        <f t="shared" si="280"/>
        <v>1.318276820507136</v>
      </c>
      <c r="AM187" s="110">
        <f t="shared" ca="1" si="280"/>
        <v>1.284006787651409</v>
      </c>
      <c r="AN187" s="110">
        <f t="shared" ca="1" si="280"/>
        <v>1.2315979805172501</v>
      </c>
      <c r="AO187" s="110">
        <f t="shared" ca="1" si="280"/>
        <v>1.1812614141140936</v>
      </c>
      <c r="AP187" s="110">
        <f t="shared" ca="1" si="280"/>
        <v>1.121344250215887</v>
      </c>
      <c r="AQ187" s="110">
        <f t="shared" ca="1" si="280"/>
        <v>1.0712504373791516</v>
      </c>
      <c r="AR187" s="110">
        <f t="shared" ca="1" si="280"/>
        <v>1.036174784280173</v>
      </c>
      <c r="AS187" s="110">
        <f t="shared" ca="1" si="280"/>
        <v>0.99677067234238448</v>
      </c>
      <c r="AT187" s="110">
        <f t="shared" ca="1" si="280"/>
        <v>0.96721191757918468</v>
      </c>
      <c r="AU187" s="110">
        <f t="shared" ca="1" si="280"/>
        <v>0.93551184064720749</v>
      </c>
      <c r="AV187" s="110">
        <f t="shared" ca="1" si="280"/>
        <v>0.90811620298435058</v>
      </c>
      <c r="AW187" s="110">
        <f t="shared" ca="1" si="280"/>
        <v>0.87858578715868418</v>
      </c>
      <c r="AX187" s="110">
        <f t="shared" ca="1" si="280"/>
        <v>0.851610383948736</v>
      </c>
      <c r="AY187" s="110">
        <f t="shared" ca="1" si="280"/>
        <v>0.90246762047092932</v>
      </c>
      <c r="AZ187" s="110">
        <f t="shared" ca="1" si="280"/>
        <v>0.87333931288319822</v>
      </c>
      <c r="BA187" s="110">
        <f t="shared" ca="1" si="280"/>
        <v>0.84822661125190402</v>
      </c>
      <c r="BB187" s="110">
        <f t="shared" ca="1" si="280"/>
        <v>0.82101604036919129</v>
      </c>
      <c r="BC187" s="110">
        <f t="shared" ca="1" si="280"/>
        <v>0.79669025069936461</v>
      </c>
      <c r="BD187" s="110">
        <f t="shared" ca="1" si="280"/>
        <v>0.77685079117401112</v>
      </c>
      <c r="BE187" s="110">
        <f t="shared" ca="1" si="280"/>
        <v>0.74847383983072047</v>
      </c>
      <c r="BF187" s="110">
        <f t="shared" ca="1" si="280"/>
        <v>0.72697775646870533</v>
      </c>
      <c r="BG187" s="110">
        <f t="shared" ca="1" si="280"/>
        <v>0.70341981012196741</v>
      </c>
      <c r="BH187" s="110">
        <f t="shared" ca="1" si="280"/>
        <v>0.68334616927446801</v>
      </c>
      <c r="BI187" s="110">
        <f t="shared" ca="1" si="280"/>
        <v>0.59017150275337704</v>
      </c>
      <c r="BJ187" s="110">
        <f t="shared" ref="BJ187:BO187" ca="1" si="281">IFERROR(BJ58/BJ63,0)</f>
        <v>0.44841582590556683</v>
      </c>
      <c r="BK187" s="110">
        <f t="shared" ca="1" si="281"/>
        <v>0.33192241387249405</v>
      </c>
      <c r="BL187" s="110">
        <f t="shared" ca="1" si="281"/>
        <v>0.23074884982950283</v>
      </c>
      <c r="BM187" s="110">
        <f t="shared" ca="1" si="281"/>
        <v>0.14427996765606019</v>
      </c>
      <c r="BN187" s="110">
        <f t="shared" ca="1" si="281"/>
        <v>0.12774552732428712</v>
      </c>
      <c r="BO187" s="110">
        <f t="shared" ca="1" si="281"/>
        <v>0.11485964266607594</v>
      </c>
    </row>
    <row r="188" spans="1:67">
      <c r="A188" s="11"/>
      <c r="B188" s="11"/>
      <c r="C188" s="11" t="s">
        <v>604</v>
      </c>
      <c r="D188" s="33"/>
      <c r="E188" s="90"/>
      <c r="F188" s="90"/>
      <c r="G188" s="90">
        <f>'06 Debt &amp; WC'!G$30-G38</f>
        <v>-500000</v>
      </c>
      <c r="H188" s="90">
        <f>'06 Debt &amp; WC'!H$30-H38</f>
        <v>-500000</v>
      </c>
      <c r="I188" s="90">
        <f>'06 Debt &amp; WC'!I$30-I38</f>
        <v>-500000</v>
      </c>
      <c r="J188" s="90">
        <f>'06 Debt &amp; WC'!J$30-J38</f>
        <v>-500000</v>
      </c>
      <c r="K188" s="90">
        <f>'06 Debt &amp; WC'!K$30-K38</f>
        <v>-500000</v>
      </c>
      <c r="L188" s="90">
        <f>'06 Debt &amp; WC'!L$30-L38</f>
        <v>-500000</v>
      </c>
      <c r="M188" s="90">
        <f>'06 Debt &amp; WC'!M$30-M38</f>
        <v>-500000</v>
      </c>
      <c r="N188" s="90">
        <f>'06 Debt &amp; WC'!N$30-N38</f>
        <v>-500000</v>
      </c>
      <c r="O188" s="90">
        <f>'06 Debt &amp; WC'!O$30-O38</f>
        <v>-500000</v>
      </c>
      <c r="P188" s="90">
        <f>'06 Debt &amp; WC'!P$30-P38</f>
        <v>-500000</v>
      </c>
      <c r="Q188" s="90">
        <f>'06 Debt &amp; WC'!Q$30-Q38</f>
        <v>62363981.617646933</v>
      </c>
      <c r="R188" s="90">
        <f>'06 Debt &amp; WC'!R$30-R38</f>
        <v>128487486.27297781</v>
      </c>
      <c r="S188" s="90">
        <f>'06 Debt &amp; WC'!S$30-S38</f>
        <v>195635826.5785251</v>
      </c>
      <c r="T188" s="90">
        <f>'06 Debt &amp; WC'!T$30-T38</f>
        <v>263147887.06072742</v>
      </c>
      <c r="U188" s="90">
        <f>'06 Debt &amp; WC'!U$30-U38</f>
        <v>331025637.87054163</v>
      </c>
      <c r="V188" s="90">
        <f>'06 Debt &amp; WC'!V$30-V38</f>
        <v>399271059.8305757</v>
      </c>
      <c r="W188" s="90">
        <f>'06 Debt &amp; WC'!W$30-W38</f>
        <v>467886144.49289328</v>
      </c>
      <c r="X188" s="90">
        <f>'06 Debt &amp; WC'!X$30-X38</f>
        <v>536872894.19713175</v>
      </c>
      <c r="Y188" s="90">
        <f>'06 Debt &amp; WC'!Y$30-Y38</f>
        <v>606233322.12893486</v>
      </c>
      <c r="Z188" s="90">
        <f>'06 Debt &amp; WC'!Z$30-Z38</f>
        <v>675969452.37870193</v>
      </c>
      <c r="AA188" s="90">
        <f>'06 Debt &amp; WC'!AA$30-AA38</f>
        <v>746546320.00065517</v>
      </c>
      <c r="AB188" s="90">
        <f>'06 Debt &amp; WC'!AB$30-AB38</f>
        <v>746546320.00065517</v>
      </c>
      <c r="AC188" s="90">
        <f>'06 Debt &amp; WC'!AC$30-AC38</f>
        <v>746546320.00065517</v>
      </c>
      <c r="AD188" s="90">
        <f>'06 Debt &amp; WC'!AD$30-AD38</f>
        <v>746546320.00065517</v>
      </c>
      <c r="AE188" s="90">
        <f>'06 Debt &amp; WC'!AE$30-AE38</f>
        <v>746546320.00065517</v>
      </c>
      <c r="AF188" s="90">
        <f>'06 Debt &amp; WC'!AF$30-AF38</f>
        <v>746546320.00065517</v>
      </c>
      <c r="AG188" s="90">
        <f>'06 Debt &amp; WC'!AG$30-AG38</f>
        <v>746546320.00065517</v>
      </c>
      <c r="AH188" s="90">
        <f>'06 Debt &amp; WC'!AH$30-AH38</f>
        <v>746546320.00065517</v>
      </c>
      <c r="AI188" s="90">
        <f>'06 Debt &amp; WC'!AI$30-AI38</f>
        <v>746546320.00065517</v>
      </c>
      <c r="AJ188" s="90">
        <f>'06 Debt &amp; WC'!AJ$30-AJ38</f>
        <v>746546320.00065517</v>
      </c>
      <c r="AK188" s="90">
        <f>'06 Debt &amp; WC'!AK$30-AK38</f>
        <v>746546320.00065517</v>
      </c>
      <c r="AL188" s="90">
        <f>'06 Debt &amp; WC'!AL$30-AL38</f>
        <v>746546320.00065517</v>
      </c>
      <c r="AM188" s="90">
        <f>'06 Debt &amp; WC'!AM$30-AM38</f>
        <v>746546320.00065517</v>
      </c>
      <c r="AN188" s="90">
        <f>'06 Debt &amp; WC'!AN$30-AN38</f>
        <v>737652911.42921877</v>
      </c>
      <c r="AO188" s="90">
        <f>'06 Debt &amp; WC'!AO$30-AO38</f>
        <v>728759502.85778236</v>
      </c>
      <c r="AP188" s="90">
        <f>'06 Debt &amp; WC'!AP$30-AP38</f>
        <v>719866094.28634596</v>
      </c>
      <c r="AQ188" s="90">
        <f>'06 Debt &amp; WC'!AQ$30-AQ38</f>
        <v>710972685.71490955</v>
      </c>
      <c r="AR188" s="90">
        <f>'06 Debt &amp; WC'!AR$30-AR38</f>
        <v>702079277.14347315</v>
      </c>
      <c r="AS188" s="90">
        <f>'06 Debt &amp; WC'!AS$30-AS38</f>
        <v>672226827.54132414</v>
      </c>
      <c r="AT188" s="90">
        <f>'06 Debt &amp; WC'!AT$30-AT38</f>
        <v>652444648.58752811</v>
      </c>
      <c r="AU188" s="90">
        <f>'06 Debt &amp; WC'!AU$30-AU38</f>
        <v>627292502.21958554</v>
      </c>
      <c r="AV188" s="90">
        <f>'06 Debt &amp; WC'!AV$30-AV38</f>
        <v>607417228.31761742</v>
      </c>
      <c r="AW188" s="90">
        <f>'06 Debt &amp; WC'!AW$30-AW38</f>
        <v>582171452.82013857</v>
      </c>
      <c r="AX188" s="90">
        <f>'06 Debt &amp; WC'!AX$30-AX38</f>
        <v>559540906.59127438</v>
      </c>
      <c r="AY188" s="90">
        <f ca="1">'06 Debt &amp; WC'!AY$30-AY38</f>
        <v>539525990.267048</v>
      </c>
      <c r="AZ188" s="90">
        <f ca="1">'06 Debt &amp; WC'!AZ$30-AZ38</f>
        <v>514139771.07526463</v>
      </c>
      <c r="BA188" s="90">
        <f ca="1">'06 Debt &amp; WC'!BA$30-BA38</f>
        <v>494031759.8028661</v>
      </c>
      <c r="BB188" s="90">
        <f ca="1">'06 Debt &amp; WC'!BB$30-BB38</f>
        <v>468551911.48154628</v>
      </c>
      <c r="BC188" s="90">
        <f ca="1">'06 Debt &amp; WC'!BC$30-BC38</f>
        <v>447208533.33020246</v>
      </c>
      <c r="BD188" s="90">
        <f ca="1">'06 Debt &amp; WC'!BD$30-BD38</f>
        <v>432470509.73023236</v>
      </c>
      <c r="BE188" s="90">
        <f ca="1">'06 Debt &amp; WC'!BE$30-BE38</f>
        <v>400206043.5947693</v>
      </c>
      <c r="BF188" s="90">
        <f ca="1">'06 Debt &amp; WC'!BF$30-BF38</f>
        <v>379354198.60463512</v>
      </c>
      <c r="BG188" s="90">
        <f ca="1">'06 Debt &amp; WC'!BG$30-BG38</f>
        <v>353017016.52368385</v>
      </c>
      <c r="BH188" s="90">
        <f ca="1">'06 Debt &amp; WC'!BH$30-BH38</f>
        <v>332072172.96837437</v>
      </c>
      <c r="BI188" s="90">
        <f ca="1">'06 Debt &amp; WC'!BI$30-BI38</f>
        <v>77087505.263034523</v>
      </c>
      <c r="BJ188" s="90">
        <f ca="1">'06 Debt &amp; WC'!BJ$30-BJ38</f>
        <v>-128459365.74876589</v>
      </c>
      <c r="BK188" s="90">
        <f ca="1">'06 Debt &amp; WC'!BK$30-BK38</f>
        <v>-341823092.57338697</v>
      </c>
      <c r="BL188" s="90">
        <f ca="1">'06 Debt &amp; WC'!BL$30-BL38</f>
        <v>-556653164.92634678</v>
      </c>
      <c r="BM188" s="90">
        <f ca="1">'06 Debt &amp; WC'!BM$30-BM38</f>
        <v>-777332601.14525068</v>
      </c>
      <c r="BN188" s="90">
        <f ca="1">'06 Debt &amp; WC'!BN$30-BN38</f>
        <v>-970105471.59720683</v>
      </c>
      <c r="BO188" s="90">
        <f ca="1">'06 Debt &amp; WC'!BO$30-BO38</f>
        <v>-1156921234.5912647</v>
      </c>
    </row>
    <row r="189" spans="1:67">
      <c r="A189" s="11"/>
      <c r="B189" s="11"/>
      <c r="C189" s="11" t="s">
        <v>605</v>
      </c>
      <c r="D189" s="33"/>
      <c r="E189" s="110"/>
      <c r="F189" s="110"/>
      <c r="G189" s="110">
        <f>IFERROR(('06 Debt &amp; WC'!G$30-G38)/(G24*(12/'01 Major Assumptions'!G$14)),0)</f>
        <v>0.11743705373919579</v>
      </c>
      <c r="H189" s="110">
        <f>IFERROR(('06 Debt &amp; WC'!H$30-H38)/(H24*(12/'01 Major Assumptions'!H$14)),0)</f>
        <v>0.11743705373919579</v>
      </c>
      <c r="I189" s="110">
        <f>IFERROR(('06 Debt &amp; WC'!I$30-I38)/(I24*(12/'01 Major Assumptions'!I$14)),0)</f>
        <v>0.11743705373919579</v>
      </c>
      <c r="J189" s="110">
        <f>IFERROR(('06 Debt &amp; WC'!J$30-J38)/(J24*(12/'01 Major Assumptions'!J$14)),0)</f>
        <v>0.11743705373919579</v>
      </c>
      <c r="K189" s="110">
        <f>IFERROR(('06 Debt &amp; WC'!K$30-K38)/(K24*(12/'01 Major Assumptions'!K$14)),0)</f>
        <v>0.11743705373919579</v>
      </c>
      <c r="L189" s="110">
        <f>IFERROR(('06 Debt &amp; WC'!L$30-L38)/(L24*(12/'01 Major Assumptions'!L$14)),0)</f>
        <v>0.11743705373919579</v>
      </c>
      <c r="M189" s="110">
        <f>IFERROR(('06 Debt &amp; WC'!M$30-M38)/(M24*(12/'01 Major Assumptions'!M$14)),0)</f>
        <v>0.11743705373919579</v>
      </c>
      <c r="N189" s="110">
        <f>IFERROR(('06 Debt &amp; WC'!N$30-N38)/(N24*(12/'01 Major Assumptions'!N$14)),0)</f>
        <v>0.11743705373919579</v>
      </c>
      <c r="O189" s="110">
        <f>IFERROR(('06 Debt &amp; WC'!O$30-O38)/(O24*(12/'01 Major Assumptions'!O$14)),0)</f>
        <v>0.11743705373919579</v>
      </c>
      <c r="P189" s="110">
        <f>IFERROR(('06 Debt &amp; WC'!P$30-P38)/(P24*(12/'01 Major Assumptions'!P$14)),0)</f>
        <v>9.2891910972392522E-2</v>
      </c>
      <c r="Q189" s="110">
        <f>IFERROR(('06 Debt &amp; WC'!Q$30-Q38)/(Q24*(12/'01 Major Assumptions'!Q$14)),0)</f>
        <v>-11.586218856620766</v>
      </c>
      <c r="R189" s="110">
        <f>IFERROR(('06 Debt &amp; WC'!R$30-R38)/(R24*(12/'01 Major Assumptions'!R$14)),0)</f>
        <v>-15.20094246420957</v>
      </c>
      <c r="S189" s="110">
        <f>IFERROR(('06 Debt &amp; WC'!S$30-S38)/(S24*(12/'01 Major Assumptions'!S$14)),0)</f>
        <v>-27.11533307200451</v>
      </c>
      <c r="T189" s="110">
        <f>IFERROR(('06 Debt &amp; WC'!T$30-T38)/(T24*(12/'01 Major Assumptions'!T$14)),0)</f>
        <v>-18.512048936973365</v>
      </c>
      <c r="U189" s="110">
        <f>IFERROR(('06 Debt &amp; WC'!U$30-U38)/(U24*(12/'01 Major Assumptions'!U$14)),0)</f>
        <v>-23.287144259828779</v>
      </c>
      <c r="V189" s="110">
        <f>IFERROR(('06 Debt &amp; WC'!V$30-V38)/(V24*(12/'01 Major Assumptions'!V$14)),0)</f>
        <v>-25.788619259441312</v>
      </c>
      <c r="W189" s="110">
        <f>IFERROR(('06 Debt &amp; WC'!W$30-W38)/(W24*(12/'01 Major Assumptions'!W$14)),0)</f>
        <v>-30.220416281148051</v>
      </c>
      <c r="X189" s="110">
        <f>IFERROR(('06 Debt &amp; WC'!X$30-X38)/(X24*(12/'01 Major Assumptions'!X$14)),0)</f>
        <v>-34.958461481574659</v>
      </c>
      <c r="Y189" s="110">
        <f>IFERROR(('06 Debt &amp; WC'!Y$30-Y38)/(Y24*(12/'01 Major Assumptions'!Y$14)),0)</f>
        <v>-39.474863546956541</v>
      </c>
      <c r="Z189" s="110">
        <f>IFERROR(('06 Debt &amp; WC'!Z$30-Z38)/(Z24*(12/'01 Major Assumptions'!Z$14)),0)</f>
        <v>-41.559879941773076</v>
      </c>
      <c r="AA189" s="110">
        <f>IFERROR(('06 Debt &amp; WC'!AA$30-AA38)/(AA24*(12/'01 Major Assumptions'!AA$14)),0)</f>
        <v>-45.899079198060662</v>
      </c>
      <c r="AB189" s="110">
        <f>IFERROR(('06 Debt &amp; WC'!AB$30-AB38)/(AB24*(12/'01 Major Assumptions'!AB$14)),0)</f>
        <v>-3.2299341162547934</v>
      </c>
      <c r="AC189" s="110">
        <f>IFERROR(('06 Debt &amp; WC'!AC$30-AC38)/(AC24*(12/'01 Major Assumptions'!AC$14)),0)</f>
        <v>-6748.6335165763785</v>
      </c>
      <c r="AD189" s="110">
        <f>IFERROR(('06 Debt &amp; WC'!AD$30-AD38)/(AD24*(12/'01 Major Assumptions'!AD$14)),0)</f>
        <v>25.251268499593625</v>
      </c>
      <c r="AE189" s="110">
        <f>IFERROR(('06 Debt &amp; WC'!AE$30-AE38)/(AE24*(12/'01 Major Assumptions'!AE$14)),0)</f>
        <v>12.600745233816038</v>
      </c>
      <c r="AF189" s="110">
        <f>IFERROR(('06 Debt &amp; WC'!AF$30-AF38)/(AF24*(12/'01 Major Assumptions'!AF$14)),0)</f>
        <v>7.7155401804732842</v>
      </c>
      <c r="AG189" s="110">
        <f>IFERROR(('06 Debt &amp; WC'!AG$30-AG38)/(AG24*(12/'01 Major Assumptions'!AG$14)),0)</f>
        <v>5.9169231636157589</v>
      </c>
      <c r="AH189" s="110">
        <f>IFERROR(('06 Debt &amp; WC'!AH$30-AH38)/(AH24*(12/'01 Major Assumptions'!AH$14)),0)</f>
        <v>4.7855853066968121</v>
      </c>
      <c r="AI189" s="110">
        <f>IFERROR(('06 Debt &amp; WC'!AI$30-AI38)/(AI24*(12/'01 Major Assumptions'!AI$14)),0)</f>
        <v>4.0264285081546269</v>
      </c>
      <c r="AJ189" s="110">
        <f>IFERROR(('06 Debt &amp; WC'!AJ$30-AJ38)/(AJ24*(12/'01 Major Assumptions'!AJ$14)),0)</f>
        <v>3.475151186722218</v>
      </c>
      <c r="AK189" s="110">
        <f>IFERROR(('06 Debt &amp; WC'!AK$30-AK38)/(AK24*(12/'01 Major Assumptions'!AK$14)),0)</f>
        <v>3.05665071746823</v>
      </c>
      <c r="AL189" s="110">
        <f>IFERROR(('06 Debt &amp; WC'!AL$30-AL38)/(AL24*(12/'01 Major Assumptions'!AL$14)),0)</f>
        <v>2.7281134284062842</v>
      </c>
      <c r="AM189" s="110">
        <f>IFERROR(('06 Debt &amp; WC'!AM$30-AM38)/(AM24*(12/'01 Major Assumptions'!AM$14)),0)</f>
        <v>2.4633461574916038</v>
      </c>
      <c r="AN189" s="110">
        <f>IFERROR(('06 Debt &amp; WC'!AN$30-AN38)/(AN24*(12/'01 Major Assumptions'!AN$14)),0)</f>
        <v>2.2186753801592962</v>
      </c>
      <c r="AO189" s="110">
        <f>IFERROR(('06 Debt &amp; WC'!AO$30-AO38)/(AO24*(12/'01 Major Assumptions'!AO$14)),0)</f>
        <v>2.1923338182534207</v>
      </c>
      <c r="AP189" s="110">
        <f>IFERROR(('06 Debt &amp; WC'!AP$30-AP38)/(AP24*(12/'01 Major Assumptions'!AP$14)),0)</f>
        <v>2.1604570066819435</v>
      </c>
      <c r="AQ189" s="110">
        <f>IFERROR(('06 Debt &amp; WC'!AQ$30-AQ38)/(AQ24*(12/'01 Major Assumptions'!AQ$14)),0)</f>
        <v>2.0919133278068127</v>
      </c>
      <c r="AR189" s="110">
        <f>IFERROR(('06 Debt &amp; WC'!AR$30-AR38)/(AR24*(12/'01 Major Assumptions'!AR$14)),0)</f>
        <v>2.0661251601328776</v>
      </c>
      <c r="AS189" s="110">
        <f>IFERROR(('06 Debt &amp; WC'!AS$30-AS38)/(AS24*(12/'01 Major Assumptions'!AS$14)),0)</f>
        <v>1.9786365550732683</v>
      </c>
      <c r="AT189" s="110">
        <f>IFERROR(('06 Debt &amp; WC'!AT$30-AT38)/(AT24*(12/'01 Major Assumptions'!AT$14)),0)</f>
        <v>1.9207621620035165</v>
      </c>
      <c r="AU189" s="110">
        <f>IFERROR(('06 Debt &amp; WC'!AU$30-AU38)/(AU24*(12/'01 Major Assumptions'!AU$14)),0)</f>
        <v>1.8470547131220449</v>
      </c>
      <c r="AV189" s="110">
        <f>IFERROR(('06 Debt &amp; WC'!AV$30-AV38)/(AV24*(12/'01 Major Assumptions'!AV$14)),0)</f>
        <v>1.7888607254379989</v>
      </c>
      <c r="AW189" s="110">
        <f>IFERROR(('06 Debt &amp; WC'!AW$30-AW38)/(AW24*(12/'01 Major Assumptions'!AW$14)),0)</f>
        <v>1.7148261738471087</v>
      </c>
      <c r="AX189" s="110">
        <f>IFERROR(('06 Debt &amp; WC'!AX$30-AX38)/(AX24*(12/'01 Major Assumptions'!AX$14)),0)</f>
        <v>1.6484691699201315</v>
      </c>
      <c r="AY189" s="110">
        <f ca="1">IFERROR(('06 Debt &amp; WC'!AY$30-AY38)/(AY24*(12/'01 Major Assumptions'!AY$14)),0)</f>
        <v>1.5897951269456878</v>
      </c>
      <c r="AZ189" s="110">
        <f ca="1">IFERROR(('06 Debt &amp; WC'!AZ$30-AZ38)/(AZ24*(12/'01 Major Assumptions'!AZ$14)),0)</f>
        <v>1.5152692473276188</v>
      </c>
      <c r="BA189" s="110">
        <f ca="1">IFERROR(('06 Debt &amp; WC'!BA$30-BA38)/(BA24*(12/'01 Major Assumptions'!BA$14)),0)</f>
        <v>1.456274724486579</v>
      </c>
      <c r="BB189" s="110">
        <f ca="1">IFERROR(('06 Debt &amp; WC'!BB$30-BB38)/(BB24*(12/'01 Major Assumptions'!BB$14)),0)</f>
        <v>1.3814208427719619</v>
      </c>
      <c r="BC189" s="110">
        <f ca="1">IFERROR(('06 Debt &amp; WC'!BC$30-BC38)/(BC24*(12/'01 Major Assumptions'!BC$14)),0)</f>
        <v>1.2927814177446622</v>
      </c>
      <c r="BD189" s="110">
        <f ca="1">IFERROR(('06 Debt &amp; WC'!BD$30-BD38)/(BD24*(12/'01 Major Assumptions'!BD$14)),0)</f>
        <v>1.2504044933044582</v>
      </c>
      <c r="BE189" s="110">
        <f ca="1">IFERROR(('06 Debt &amp; WC'!BE$30-BE38)/(BE24*(12/'01 Major Assumptions'!BE$14)),0)</f>
        <v>1.157328619614945</v>
      </c>
      <c r="BF189" s="110">
        <f ca="1">IFERROR(('06 Debt &amp; WC'!BF$30-BF38)/(BF24*(12/'01 Major Assumptions'!BF$14)),0)</f>
        <v>1.0972282543174576</v>
      </c>
      <c r="BG189" s="110">
        <f ca="1">IFERROR(('06 Debt &amp; WC'!BG$30-BG38)/(BG24*(12/'01 Major Assumptions'!BG$14)),0)</f>
        <v>1.0212375594873648</v>
      </c>
      <c r="BH189" s="110">
        <f ca="1">IFERROR(('06 Debt &amp; WC'!BH$30-BH38)/(BH24*(12/'01 Major Assumptions'!BH$14)),0)</f>
        <v>0.96082144737660347</v>
      </c>
      <c r="BI189" s="110">
        <f ca="1">IFERROR(('06 Debt &amp; WC'!BI$30-BI38)/(BI24*(12/'01 Major Assumptions'!BI$14)),0)</f>
        <v>0.21939310440735887</v>
      </c>
      <c r="BJ189" s="110">
        <f ca="1">IFERROR(('06 Debt &amp; WC'!BJ$30-BJ38)/(BJ24*(12/'01 Major Assumptions'!BJ$14)),0)</f>
        <v>-0.3592591716143767</v>
      </c>
      <c r="BK189" s="110">
        <f ca="1">IFERROR(('06 Debt &amp; WC'!BK$30-BK38)/(BK24*(12/'01 Major Assumptions'!BK$14)),0)</f>
        <v>-0.93949648495251836</v>
      </c>
      <c r="BL189" s="110">
        <f ca="1">IFERROR(('06 Debt &amp; WC'!BL$30-BL38)/(BL24*(12/'01 Major Assumptions'!BL$14)),0)</f>
        <v>-1.5037682264560346</v>
      </c>
      <c r="BM189" s="110">
        <f ca="1">IFERROR(('06 Debt &amp; WC'!BM$30-BM38)/(BM24*(12/'01 Major Assumptions'!BM$14)),0)</f>
        <v>-2.0642327886104579</v>
      </c>
      <c r="BN189" s="110">
        <f ca="1">IFERROR(('06 Debt &amp; WC'!BN$30-BN38)/(BN24*(12/'01 Major Assumptions'!BN$14)),0)</f>
        <v>-2.5353481021283866</v>
      </c>
      <c r="BO189" s="110">
        <f ca="1">IFERROR(('06 Debt &amp; WC'!BO$30-BO38)/(BO24*(12/'01 Major Assumptions'!BO$14)),0)</f>
        <v>-3.0170210399684021</v>
      </c>
    </row>
    <row r="190" spans="1:67">
      <c r="A190" s="11"/>
      <c r="B190" s="11"/>
      <c r="C190" s="11" t="s">
        <v>602</v>
      </c>
      <c r="D190" s="33"/>
      <c r="E190" s="110"/>
      <c r="F190" s="110"/>
      <c r="G190" s="110">
        <f>G173</f>
        <v>0</v>
      </c>
      <c r="H190" s="110">
        <f t="shared" ref="H190:BI190" si="282">H173</f>
        <v>0</v>
      </c>
      <c r="I190" s="110">
        <f t="shared" si="282"/>
        <v>0</v>
      </c>
      <c r="J190" s="110">
        <f t="shared" si="282"/>
        <v>0</v>
      </c>
      <c r="K190" s="110">
        <f t="shared" si="282"/>
        <v>0</v>
      </c>
      <c r="L190" s="110">
        <f t="shared" si="282"/>
        <v>0</v>
      </c>
      <c r="M190" s="110">
        <f t="shared" si="282"/>
        <v>0</v>
      </c>
      <c r="N190" s="110">
        <f t="shared" si="282"/>
        <v>0</v>
      </c>
      <c r="O190" s="110">
        <f t="shared" si="282"/>
        <v>0</v>
      </c>
      <c r="P190" s="110">
        <f t="shared" si="282"/>
        <v>0</v>
      </c>
      <c r="Q190" s="110">
        <f t="shared" si="282"/>
        <v>0</v>
      </c>
      <c r="R190" s="110">
        <f t="shared" si="282"/>
        <v>0</v>
      </c>
      <c r="S190" s="110">
        <f t="shared" si="282"/>
        <v>0</v>
      </c>
      <c r="T190" s="110">
        <f t="shared" si="282"/>
        <v>0</v>
      </c>
      <c r="U190" s="110">
        <f t="shared" si="282"/>
        <v>0</v>
      </c>
      <c r="V190" s="110">
        <f t="shared" si="282"/>
        <v>0</v>
      </c>
      <c r="W190" s="110">
        <f t="shared" si="282"/>
        <v>0</v>
      </c>
      <c r="X190" s="110">
        <f t="shared" si="282"/>
        <v>0</v>
      </c>
      <c r="Y190" s="110">
        <f t="shared" si="282"/>
        <v>0</v>
      </c>
      <c r="Z190" s="110">
        <f t="shared" si="282"/>
        <v>0</v>
      </c>
      <c r="AA190" s="110">
        <f t="shared" si="282"/>
        <v>0</v>
      </c>
      <c r="AB190" s="110">
        <f t="shared" si="282"/>
        <v>-9.7040991021347125</v>
      </c>
      <c r="AC190" s="110">
        <f t="shared" si="282"/>
        <v>-3.3274827590123182</v>
      </c>
      <c r="AD190" s="110">
        <f t="shared" si="282"/>
        <v>-0.50170698764708255</v>
      </c>
      <c r="AE190" s="110">
        <f t="shared" si="282"/>
        <v>-0.28425250502102978</v>
      </c>
      <c r="AF190" s="110">
        <f t="shared" si="282"/>
        <v>-0.40411261048176911</v>
      </c>
      <c r="AG190" s="110">
        <f t="shared" si="282"/>
        <v>2.0722363308696101</v>
      </c>
      <c r="AH190" s="110">
        <f t="shared" si="282"/>
        <v>1.4002212621712742</v>
      </c>
      <c r="AI190" s="110">
        <f t="shared" si="282"/>
        <v>2.6802215186136973</v>
      </c>
      <c r="AJ190" s="110">
        <f t="shared" si="282"/>
        <v>2.4521676364696305</v>
      </c>
      <c r="AK190" s="110">
        <f t="shared" si="282"/>
        <v>3.886012398345815</v>
      </c>
      <c r="AL190" s="110">
        <f t="shared" si="282"/>
        <v>4.0127722017426581</v>
      </c>
      <c r="AM190" s="110">
        <f t="shared" si="282"/>
        <v>4.0182100542111758</v>
      </c>
      <c r="AN190" s="110">
        <f t="shared" si="282"/>
        <v>1.872753269659432</v>
      </c>
      <c r="AO190" s="110">
        <f t="shared" si="282"/>
        <v>1.9011259246684495</v>
      </c>
      <c r="AP190" s="110">
        <f t="shared" si="282"/>
        <v>2.3043278381213543</v>
      </c>
      <c r="AQ190" s="110">
        <f t="shared" si="282"/>
        <v>2.0062589173657881</v>
      </c>
      <c r="AR190" s="110">
        <f t="shared" si="282"/>
        <v>1.5148190999259403</v>
      </c>
      <c r="AS190" s="110">
        <f t="shared" si="282"/>
        <v>2.8373649826635865</v>
      </c>
      <c r="AT190" s="110">
        <f t="shared" si="282"/>
        <v>1.9815579011887992</v>
      </c>
      <c r="AU190" s="110">
        <f t="shared" si="282"/>
        <v>2.4021720958981394</v>
      </c>
      <c r="AV190" s="110">
        <f t="shared" si="282"/>
        <v>1.9967445302770461</v>
      </c>
      <c r="AW190" s="110">
        <f t="shared" si="282"/>
        <v>2.4208758165601347</v>
      </c>
      <c r="AX190" s="110">
        <f t="shared" si="282"/>
        <v>2.2212655747464396</v>
      </c>
      <c r="AY190" s="110">
        <f t="shared" si="282"/>
        <v>2.0199904575605805</v>
      </c>
      <c r="AZ190" s="110">
        <f t="shared" si="282"/>
        <v>2.449507656552401</v>
      </c>
      <c r="BA190" s="110">
        <f t="shared" si="282"/>
        <v>2.0358073682088165</v>
      </c>
      <c r="BB190" s="110">
        <f t="shared" si="282"/>
        <v>2.4689908612808664</v>
      </c>
      <c r="BC190" s="110">
        <f t="shared" si="282"/>
        <v>2.1434669499177281</v>
      </c>
      <c r="BD190" s="110">
        <f t="shared" si="282"/>
        <v>1.6164589445590387</v>
      </c>
      <c r="BE190" s="110">
        <f t="shared" si="282"/>
        <v>3.0359811161247023</v>
      </c>
      <c r="BF190" s="110">
        <f t="shared" si="282"/>
        <v>2.1180094000927414</v>
      </c>
      <c r="BG190" s="110">
        <f t="shared" si="282"/>
        <v>2.5699551621370906</v>
      </c>
      <c r="BH190" s="110">
        <f t="shared" si="282"/>
        <v>2.1351213888509699</v>
      </c>
      <c r="BI190" s="110">
        <f t="shared" si="282"/>
        <v>2.3881262496313624</v>
      </c>
      <c r="BJ190" s="110">
        <f t="shared" ref="BJ190:BO190" si="283">BJ173</f>
        <v>2.5642692054912928</v>
      </c>
      <c r="BK190" s="110">
        <f t="shared" si="283"/>
        <v>2.759789043966888</v>
      </c>
      <c r="BL190" s="110">
        <f t="shared" si="283"/>
        <v>2.9776120791226357</v>
      </c>
      <c r="BM190" s="110">
        <f t="shared" si="283"/>
        <v>3.2262022772092025</v>
      </c>
      <c r="BN190" s="110">
        <f t="shared" ca="1" si="283"/>
        <v>184.86829234785557</v>
      </c>
      <c r="BO190" s="110">
        <f t="shared" ca="1" si="283"/>
        <v>175.6219598925091</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B20CEF-3837-0F4D-9937-602DD2040406}">
  <sheetPr>
    <tabColor rgb="FFFFF9C4"/>
  </sheetPr>
  <dimension ref="A1:BN210"/>
  <sheetViews>
    <sheetView tabSelected="1" topLeftCell="A28" workbookViewId="0">
      <selection activeCell="J45" sqref="J45"/>
    </sheetView>
  </sheetViews>
  <sheetFormatPr baseColWidth="10" defaultRowHeight="15"/>
  <cols>
    <col min="1" max="1" width="3.83203125" style="9" customWidth="1"/>
    <col min="2" max="2" width="58.33203125" style="9" customWidth="1"/>
    <col min="3" max="3" width="12.83203125" style="9" customWidth="1"/>
    <col min="4" max="5" width="12.83203125" style="42" customWidth="1"/>
    <col min="6" max="17" width="14" style="42" customWidth="1"/>
    <col min="18" max="66" width="14" style="34" customWidth="1"/>
  </cols>
  <sheetData>
    <row r="1" spans="1:17" ht="18">
      <c r="A1" s="21" t="s">
        <v>1678</v>
      </c>
      <c r="B1" s="11"/>
      <c r="C1" s="11"/>
      <c r="D1" s="33"/>
      <c r="E1" s="33"/>
      <c r="F1" s="33"/>
      <c r="G1" s="33"/>
      <c r="H1" s="33"/>
      <c r="I1" s="33"/>
      <c r="J1" s="33"/>
      <c r="K1" s="33"/>
      <c r="L1" s="33"/>
      <c r="M1" s="33"/>
      <c r="N1" s="33"/>
      <c r="O1" s="33"/>
      <c r="P1" s="33"/>
      <c r="Q1" s="33"/>
    </row>
    <row r="2" spans="1:17" ht="16">
      <c r="A2" s="12" t="s">
        <v>649</v>
      </c>
      <c r="B2" s="11"/>
      <c r="C2" s="11"/>
      <c r="D2" s="33"/>
      <c r="E2" s="33"/>
      <c r="F2" s="33"/>
      <c r="G2" s="33"/>
      <c r="H2" s="33"/>
      <c r="I2" s="33"/>
      <c r="J2" s="33"/>
      <c r="K2" s="33"/>
      <c r="L2" s="33"/>
      <c r="M2" s="33"/>
      <c r="N2" s="33"/>
      <c r="O2" s="33"/>
      <c r="P2" s="33"/>
      <c r="Q2" s="33"/>
    </row>
    <row r="3" spans="1:17">
      <c r="A3" s="13" t="s">
        <v>650</v>
      </c>
      <c r="B3" s="11"/>
      <c r="C3" s="11"/>
      <c r="D3" s="33"/>
      <c r="E3" s="33"/>
      <c r="F3" s="33"/>
      <c r="G3" s="33"/>
      <c r="H3" s="33"/>
      <c r="I3" s="33"/>
      <c r="J3" s="33"/>
      <c r="K3" s="33"/>
      <c r="L3" s="33"/>
      <c r="M3" s="33"/>
      <c r="N3" s="33"/>
      <c r="O3" s="33"/>
      <c r="P3" s="33"/>
      <c r="Q3" s="33"/>
    </row>
    <row r="4" spans="1:17">
      <c r="A4" s="11"/>
      <c r="B4" s="11"/>
      <c r="C4" s="11"/>
      <c r="D4" s="33"/>
      <c r="E4" s="33"/>
      <c r="F4" s="33"/>
      <c r="G4" s="33"/>
      <c r="H4" s="33"/>
      <c r="I4" s="33"/>
      <c r="J4" s="33"/>
      <c r="K4" s="33"/>
      <c r="L4" s="33"/>
      <c r="M4" s="33"/>
      <c r="N4" s="33"/>
      <c r="O4" s="33"/>
      <c r="P4" s="33"/>
      <c r="Q4" s="33"/>
    </row>
    <row r="5" spans="1:17">
      <c r="A5" s="18" t="s">
        <v>651</v>
      </c>
      <c r="B5" s="18"/>
      <c r="C5" s="18"/>
      <c r="D5" s="39"/>
      <c r="E5" s="39"/>
      <c r="F5" s="39"/>
      <c r="G5" s="39"/>
      <c r="H5" s="39"/>
      <c r="I5" s="39"/>
      <c r="J5" s="39"/>
      <c r="K5" s="39"/>
      <c r="L5" s="39"/>
      <c r="M5" s="39"/>
      <c r="N5" s="39"/>
      <c r="O5" s="39"/>
      <c r="P5" s="39"/>
      <c r="Q5" s="39"/>
    </row>
    <row r="6" spans="1:17">
      <c r="A6" s="11"/>
      <c r="B6" s="11" t="s">
        <v>446</v>
      </c>
      <c r="C6" s="92">
        <f>'03 CAPEX &amp; Depreciation'!$F$117</f>
        <v>1449700000</v>
      </c>
      <c r="D6" s="90">
        <f>'03 CAPEX &amp; Depreciation'!$F$117</f>
        <v>1449700000</v>
      </c>
      <c r="E6" s="33"/>
      <c r="F6" s="33"/>
      <c r="G6" s="33"/>
      <c r="H6" s="33"/>
      <c r="I6" s="33"/>
      <c r="J6" s="33"/>
      <c r="K6" s="33"/>
      <c r="L6" s="33"/>
      <c r="M6" s="33"/>
      <c r="N6" s="33"/>
      <c r="O6" s="33"/>
      <c r="P6" s="33"/>
      <c r="Q6" s="33"/>
    </row>
    <row r="7" spans="1:17">
      <c r="A7" s="11"/>
      <c r="B7" s="11" t="s">
        <v>1790</v>
      </c>
      <c r="C7" s="92">
        <f>'00 Summary'!BM$9</f>
        <v>908069015.31271982</v>
      </c>
      <c r="D7" s="90">
        <f>'00 Summary'!$BO$8</f>
        <v>942482382.84129453</v>
      </c>
      <c r="E7" s="33"/>
      <c r="F7" s="33"/>
      <c r="G7" s="33"/>
      <c r="H7" s="33"/>
      <c r="I7" s="33"/>
      <c r="J7" s="33"/>
      <c r="K7" s="33"/>
      <c r="L7" s="33"/>
      <c r="M7" s="33"/>
      <c r="N7" s="33"/>
      <c r="O7" s="33"/>
      <c r="P7" s="33"/>
      <c r="Q7" s="33"/>
    </row>
    <row r="8" spans="1:17">
      <c r="A8" s="11"/>
      <c r="B8" s="11" t="s">
        <v>1791</v>
      </c>
      <c r="C8" s="92">
        <f>'00 Summary'!BM$24</f>
        <v>376572160.57909513</v>
      </c>
      <c r="D8" s="90">
        <f>'00 Summary'!$BO$24</f>
        <v>383464755.22205222</v>
      </c>
      <c r="E8" s="33"/>
      <c r="F8" s="33"/>
      <c r="G8" s="33"/>
      <c r="H8" s="33"/>
      <c r="I8" s="33"/>
      <c r="J8" s="33"/>
      <c r="K8" s="33"/>
      <c r="L8" s="33"/>
      <c r="M8" s="33"/>
      <c r="N8" s="33"/>
      <c r="O8" s="33"/>
      <c r="P8" s="33"/>
      <c r="Q8" s="33"/>
    </row>
    <row r="9" spans="1:17">
      <c r="A9" s="11"/>
      <c r="B9" s="11" t="s">
        <v>10</v>
      </c>
      <c r="C9" s="16">
        <f>'00 Summary'!BM$24/'00 Summary'!BM$9</f>
        <v>0.41469552889590844</v>
      </c>
      <c r="D9" s="6">
        <f>IFERROR('00 Summary'!$BO$24/'00 Summary'!$BO$8,0)</f>
        <v>0.40686676186564241</v>
      </c>
      <c r="E9" s="33"/>
      <c r="F9" s="33"/>
      <c r="G9" s="33"/>
      <c r="H9" s="33"/>
      <c r="I9" s="33"/>
      <c r="J9" s="33"/>
      <c r="K9" s="33"/>
      <c r="L9" s="33"/>
      <c r="M9" s="33"/>
      <c r="N9" s="33"/>
      <c r="O9" s="33"/>
      <c r="P9" s="33"/>
      <c r="Q9" s="33"/>
    </row>
    <row r="10" spans="1:17">
      <c r="A10" s="11"/>
      <c r="B10" s="11" t="s">
        <v>1792</v>
      </c>
      <c r="C10" s="92">
        <f ca="1">'00 Summary'!BM$22</f>
        <v>257744914.91242033</v>
      </c>
      <c r="D10" s="90">
        <f ca="1">'00 Summary'!$BO$22</f>
        <v>215366378.20430723</v>
      </c>
      <c r="E10" s="33"/>
      <c r="F10" s="33"/>
      <c r="G10" s="33"/>
      <c r="H10" s="33"/>
      <c r="I10" s="33"/>
      <c r="J10" s="33"/>
      <c r="K10" s="33"/>
      <c r="L10" s="33"/>
      <c r="M10" s="33"/>
      <c r="N10" s="33"/>
      <c r="O10" s="33"/>
      <c r="P10" s="33"/>
      <c r="Q10" s="33"/>
    </row>
    <row r="11" spans="1:17">
      <c r="A11" s="11"/>
      <c r="B11" s="11" t="s">
        <v>652</v>
      </c>
      <c r="C11" s="92">
        <f ca="1">'00 Summary'!$E$113</f>
        <v>1230157212.4369273</v>
      </c>
      <c r="D11" s="90">
        <f ca="1">'00 Summary'!$E$113</f>
        <v>1230157212.4369273</v>
      </c>
      <c r="E11" s="33"/>
      <c r="F11" s="33"/>
      <c r="G11" s="33"/>
      <c r="H11" s="33"/>
      <c r="I11" s="33"/>
      <c r="J11" s="33"/>
      <c r="K11" s="33"/>
      <c r="L11" s="33"/>
      <c r="M11" s="33"/>
      <c r="N11" s="33"/>
      <c r="O11" s="33"/>
      <c r="P11" s="33"/>
      <c r="Q11" s="33"/>
    </row>
    <row r="12" spans="1:17">
      <c r="A12" s="11"/>
      <c r="B12" s="11" t="s">
        <v>566</v>
      </c>
      <c r="C12" s="16">
        <f ca="1">'00 Summary'!$E$116</f>
        <v>0.21215175986289977</v>
      </c>
      <c r="D12" s="6">
        <f ca="1">'00 Summary'!$E$116</f>
        <v>0.21215175986289977</v>
      </c>
      <c r="E12" s="33"/>
      <c r="F12" s="33"/>
      <c r="G12" s="33"/>
      <c r="H12" s="33"/>
      <c r="I12" s="33"/>
      <c r="J12" s="33"/>
      <c r="K12" s="33"/>
      <c r="L12" s="33"/>
      <c r="M12" s="33"/>
      <c r="N12" s="33"/>
      <c r="O12" s="33"/>
      <c r="P12" s="33"/>
      <c r="Q12" s="33"/>
    </row>
    <row r="13" spans="1:17">
      <c r="A13" s="11"/>
      <c r="B13" s="11" t="s">
        <v>567</v>
      </c>
      <c r="C13" s="16">
        <f ca="1">'00 Summary'!$E$117</f>
        <v>0.12812919020652769</v>
      </c>
      <c r="D13" s="6">
        <f ca="1">'00 Summary'!$E$117</f>
        <v>0.12812919020652769</v>
      </c>
      <c r="E13" s="33"/>
      <c r="F13" s="33"/>
      <c r="G13" s="33"/>
      <c r="H13" s="33"/>
      <c r="I13" s="33"/>
      <c r="J13" s="33"/>
      <c r="K13" s="33"/>
      <c r="L13" s="33"/>
      <c r="M13" s="33"/>
      <c r="N13" s="33"/>
      <c r="O13" s="33"/>
      <c r="P13" s="33"/>
      <c r="Q13" s="33"/>
    </row>
    <row r="14" spans="1:17">
      <c r="A14" s="11"/>
      <c r="B14" s="11" t="s">
        <v>568</v>
      </c>
      <c r="C14" s="66">
        <f ca="1">'00 Summary'!$E$118</f>
        <v>6.5</v>
      </c>
      <c r="D14" s="112">
        <f ca="1">'00 Summary'!$E$118</f>
        <v>6.5</v>
      </c>
      <c r="E14" s="33"/>
      <c r="F14" s="33"/>
      <c r="G14" s="33"/>
      <c r="H14" s="33"/>
      <c r="I14" s="33"/>
      <c r="J14" s="33"/>
      <c r="K14" s="33"/>
      <c r="L14" s="33"/>
      <c r="M14" s="33"/>
      <c r="N14" s="33"/>
      <c r="O14" s="33"/>
      <c r="P14" s="33"/>
      <c r="Q14" s="33"/>
    </row>
    <row r="15" spans="1:17">
      <c r="A15" s="11"/>
      <c r="B15" s="1" t="s">
        <v>1793</v>
      </c>
      <c r="C15" s="11"/>
      <c r="D15" s="33"/>
      <c r="E15" s="33"/>
      <c r="F15" s="33"/>
      <c r="G15" s="33"/>
      <c r="H15" s="33"/>
      <c r="I15" s="33"/>
      <c r="J15" s="33"/>
      <c r="K15" s="33"/>
      <c r="L15" s="33"/>
      <c r="M15" s="33"/>
      <c r="N15" s="33"/>
      <c r="O15" s="33"/>
      <c r="P15" s="33"/>
      <c r="Q15" s="33"/>
    </row>
    <row r="16" spans="1:17">
      <c r="A16" s="11"/>
      <c r="B16" s="36"/>
      <c r="C16" s="11"/>
      <c r="D16" s="33"/>
      <c r="E16" s="33"/>
      <c r="F16" s="33"/>
      <c r="G16" s="33"/>
      <c r="H16" s="33"/>
      <c r="I16" s="33"/>
      <c r="J16" s="33"/>
      <c r="K16" s="33"/>
      <c r="L16" s="33"/>
      <c r="M16" s="33"/>
      <c r="N16" s="33"/>
      <c r="O16" s="33"/>
      <c r="P16" s="33"/>
      <c r="Q16" s="33"/>
    </row>
    <row r="17" spans="1:17">
      <c r="A17" s="11"/>
      <c r="B17" s="36"/>
      <c r="C17" s="11"/>
      <c r="D17" s="33"/>
      <c r="E17" s="33"/>
      <c r="F17" s="33"/>
      <c r="G17" s="33"/>
      <c r="H17" s="33"/>
      <c r="I17" s="33"/>
      <c r="J17" s="33"/>
      <c r="K17" s="33"/>
      <c r="L17" s="33"/>
      <c r="M17" s="33"/>
      <c r="N17" s="33"/>
      <c r="O17" s="33"/>
      <c r="P17" s="33"/>
      <c r="Q17" s="33"/>
    </row>
    <row r="18" spans="1:17">
      <c r="A18" s="18" t="s">
        <v>1794</v>
      </c>
      <c r="B18" s="18"/>
      <c r="C18" s="18"/>
      <c r="D18" s="39"/>
      <c r="E18" s="39"/>
      <c r="F18" s="39"/>
      <c r="G18" s="39"/>
      <c r="H18" s="39"/>
      <c r="I18" s="39"/>
      <c r="J18" s="39"/>
      <c r="K18" s="39"/>
      <c r="L18" s="39"/>
      <c r="M18" s="39"/>
      <c r="N18" s="39"/>
      <c r="O18" s="39"/>
      <c r="P18" s="39"/>
      <c r="Q18" s="39"/>
    </row>
    <row r="19" spans="1:17">
      <c r="A19" s="11"/>
      <c r="B19" s="107" t="s">
        <v>653</v>
      </c>
      <c r="C19" s="107" t="s">
        <v>654</v>
      </c>
      <c r="D19" s="107" t="s">
        <v>655</v>
      </c>
      <c r="E19" s="107" t="s">
        <v>656</v>
      </c>
      <c r="F19" s="107" t="s">
        <v>657</v>
      </c>
      <c r="G19" s="107" t="s">
        <v>658</v>
      </c>
      <c r="H19" s="107" t="s">
        <v>660</v>
      </c>
      <c r="I19" s="22" t="s">
        <v>658</v>
      </c>
      <c r="J19" s="22" t="s">
        <v>659</v>
      </c>
      <c r="K19" s="22" t="s">
        <v>660</v>
      </c>
      <c r="L19" s="22" t="s">
        <v>661</v>
      </c>
      <c r="M19" s="22" t="s">
        <v>662</v>
      </c>
      <c r="N19" s="22" t="s">
        <v>666</v>
      </c>
      <c r="O19" s="33"/>
      <c r="P19" s="33"/>
      <c r="Q19" s="33"/>
    </row>
    <row r="20" spans="1:17">
      <c r="A20" s="11"/>
      <c r="B20" s="32" t="s">
        <v>682</v>
      </c>
      <c r="C20" s="113">
        <v>28000</v>
      </c>
      <c r="D20" s="113">
        <v>42000</v>
      </c>
      <c r="E20" s="16">
        <v>0.1515</v>
      </c>
      <c r="F20" s="16">
        <v>0.26250000000000001</v>
      </c>
      <c r="G20" s="16">
        <v>7.2099999999999997E-2</v>
      </c>
      <c r="H20" s="16">
        <v>0.1714</v>
      </c>
      <c r="I20" s="6">
        <v>0.18664080500602701</v>
      </c>
      <c r="J20" s="76">
        <v>0.22578508257865901</v>
      </c>
      <c r="K20" s="6">
        <v>0.25728021264076201</v>
      </c>
      <c r="L20" s="63">
        <v>1.59360170567758</v>
      </c>
      <c r="M20" s="63">
        <v>2.3232809553224101</v>
      </c>
      <c r="N20" s="6">
        <f t="shared" ref="N20:N29" si="0">ABS(H20-F20)</f>
        <v>9.1100000000000014E-2</v>
      </c>
      <c r="O20" s="33"/>
      <c r="P20" s="33"/>
      <c r="Q20" s="33"/>
    </row>
    <row r="21" spans="1:17">
      <c r="A21" s="11"/>
      <c r="B21" s="32" t="s">
        <v>1814</v>
      </c>
      <c r="C21" s="113">
        <v>0.9</v>
      </c>
      <c r="D21" s="113">
        <v>1.1000000000000001</v>
      </c>
      <c r="E21" s="16">
        <v>0.16670000000000001</v>
      </c>
      <c r="F21" s="16">
        <v>0.25170000000000003</v>
      </c>
      <c r="G21" s="16">
        <v>8.72E-2</v>
      </c>
      <c r="H21" s="16">
        <v>0.16300000000000001</v>
      </c>
      <c r="I21" s="6">
        <v>0.151630121469498</v>
      </c>
      <c r="J21" s="76">
        <v>0.22578508257865901</v>
      </c>
      <c r="K21" s="6">
        <v>0.27786360383033698</v>
      </c>
      <c r="L21" s="63">
        <v>1.33452130978878</v>
      </c>
      <c r="M21" s="63">
        <v>2.5823613512111998</v>
      </c>
      <c r="N21" s="6">
        <f t="shared" si="0"/>
        <v>8.8700000000000029E-2</v>
      </c>
      <c r="O21" s="33"/>
      <c r="P21" s="33"/>
      <c r="Q21" s="33"/>
    </row>
    <row r="22" spans="1:17">
      <c r="A22" s="11"/>
      <c r="B22" s="32" t="s">
        <v>648</v>
      </c>
      <c r="C22" s="113">
        <v>0.85</v>
      </c>
      <c r="D22" s="113">
        <v>1.1499999999999999</v>
      </c>
      <c r="E22" s="16">
        <v>0.24909999999999999</v>
      </c>
      <c r="F22" s="16">
        <v>0.17059999999999997</v>
      </c>
      <c r="G22" s="16">
        <v>0.16010000000000002</v>
      </c>
      <c r="H22" s="16">
        <v>9.1700000000000004E-2</v>
      </c>
      <c r="I22" s="6">
        <v>0.242144328355789</v>
      </c>
      <c r="J22" s="76">
        <v>0.22578508257865901</v>
      </c>
      <c r="K22" s="6">
        <v>0.199691754579544</v>
      </c>
      <c r="L22" s="63">
        <v>2.1484978681578402</v>
      </c>
      <c r="M22" s="63">
        <v>1.6923621777790101</v>
      </c>
      <c r="N22" s="6">
        <f t="shared" si="0"/>
        <v>7.889999999999997E-2</v>
      </c>
      <c r="O22" s="33"/>
      <c r="P22" s="33"/>
      <c r="Q22" s="33"/>
    </row>
    <row r="23" spans="1:17">
      <c r="A23" s="11"/>
      <c r="B23" s="32" t="s">
        <v>664</v>
      </c>
      <c r="C23" s="113">
        <v>0.27</v>
      </c>
      <c r="D23" s="113">
        <v>0.33</v>
      </c>
      <c r="E23" s="16">
        <v>0.18600000000000003</v>
      </c>
      <c r="F23" s="16">
        <v>0.2359</v>
      </c>
      <c r="G23" s="16">
        <v>0.1048</v>
      </c>
      <c r="H23" s="16">
        <v>0.15010000000000001</v>
      </c>
      <c r="I23" s="6">
        <v>0.20144369006156901</v>
      </c>
      <c r="J23" s="76">
        <v>0.22578508257865901</v>
      </c>
      <c r="K23" s="6">
        <v>0.23035160899162299</v>
      </c>
      <c r="L23" s="63">
        <v>1.7349175636470999</v>
      </c>
      <c r="M23" s="63">
        <v>2.0031460838705701</v>
      </c>
      <c r="N23" s="6">
        <f t="shared" si="0"/>
        <v>8.5799999999999987E-2</v>
      </c>
      <c r="O23" s="33"/>
      <c r="P23" s="33"/>
      <c r="Q23" s="33"/>
    </row>
    <row r="24" spans="1:17">
      <c r="A24" s="11"/>
      <c r="B24" s="32" t="s">
        <v>647</v>
      </c>
      <c r="C24" s="113">
        <v>0.85</v>
      </c>
      <c r="D24" s="113">
        <v>1.1499999999999999</v>
      </c>
      <c r="E24" s="16">
        <v>0.23800000000000002</v>
      </c>
      <c r="F24" s="16">
        <v>0.18969999999999998</v>
      </c>
      <c r="G24" s="16">
        <v>0.15310000000000001</v>
      </c>
      <c r="H24" s="16">
        <v>0.10679999999999999</v>
      </c>
      <c r="I24" s="6">
        <v>0.21346690058708201</v>
      </c>
      <c r="J24" s="76">
        <v>0.22578508257865901</v>
      </c>
      <c r="K24" s="6">
        <v>0.237464982271194</v>
      </c>
      <c r="L24" s="63">
        <v>1.8286712306063799</v>
      </c>
      <c r="M24" s="63">
        <v>2.0882114303936001</v>
      </c>
      <c r="N24" s="6">
        <f t="shared" si="0"/>
        <v>8.2899999999999988E-2</v>
      </c>
      <c r="O24" s="33"/>
      <c r="P24" s="33"/>
      <c r="Q24" s="33"/>
    </row>
    <row r="25" spans="1:17">
      <c r="A25" s="11"/>
      <c r="B25" s="32" t="s">
        <v>65</v>
      </c>
      <c r="C25" s="113">
        <v>297</v>
      </c>
      <c r="D25" s="113">
        <v>350</v>
      </c>
      <c r="E25" s="16">
        <v>0.182</v>
      </c>
      <c r="F25" s="16">
        <v>0.21780000000000002</v>
      </c>
      <c r="G25" s="16">
        <v>0.1009</v>
      </c>
      <c r="H25" s="16">
        <v>0.13350000000000001</v>
      </c>
      <c r="I25" s="6">
        <v>0.20898614525795001</v>
      </c>
      <c r="J25" s="76">
        <v>0.22578508257865901</v>
      </c>
      <c r="K25" s="6">
        <v>0.24100522398948701</v>
      </c>
      <c r="L25" s="63">
        <v>1.7856551636398399</v>
      </c>
      <c r="M25" s="63">
        <v>2.12588281130737</v>
      </c>
      <c r="N25" s="6">
        <f t="shared" si="0"/>
        <v>8.4300000000000014E-2</v>
      </c>
      <c r="O25" s="33"/>
      <c r="P25" s="33"/>
      <c r="Q25" s="33"/>
    </row>
    <row r="26" spans="1:17">
      <c r="A26" s="11"/>
      <c r="B26" s="32" t="s">
        <v>762</v>
      </c>
      <c r="C26" s="113">
        <v>0.85</v>
      </c>
      <c r="D26" s="113">
        <v>1.1499999999999999</v>
      </c>
      <c r="E26" s="16">
        <v>0.22839999999999999</v>
      </c>
      <c r="F26" s="16">
        <v>0.19510000000000002</v>
      </c>
      <c r="G26" s="16">
        <v>0.14279999999999998</v>
      </c>
      <c r="H26" s="16">
        <v>0.11310000000000001</v>
      </c>
      <c r="I26" s="6">
        <v>0.204940491914749</v>
      </c>
      <c r="J26" s="76">
        <v>0.22578508257865901</v>
      </c>
      <c r="K26" s="6">
        <v>0.23603771328926099</v>
      </c>
      <c r="L26" s="63">
        <v>1.7496416477286101</v>
      </c>
      <c r="M26" s="63">
        <v>2.0676450533013</v>
      </c>
      <c r="N26" s="6">
        <f t="shared" si="0"/>
        <v>8.2000000000000017E-2</v>
      </c>
      <c r="O26" s="33"/>
      <c r="P26" s="33"/>
      <c r="Q26" s="33"/>
    </row>
    <row r="27" spans="1:17">
      <c r="A27" s="11"/>
      <c r="B27" s="32" t="s">
        <v>663</v>
      </c>
      <c r="C27" s="113">
        <v>0.34</v>
      </c>
      <c r="D27" s="113">
        <v>0.42</v>
      </c>
      <c r="E27" s="16">
        <v>0.19719999999999999</v>
      </c>
      <c r="F27" s="16">
        <v>0.22640000000000002</v>
      </c>
      <c r="G27" s="16">
        <v>0.1142</v>
      </c>
      <c r="H27" s="16">
        <v>0.14150000000000001</v>
      </c>
      <c r="I27" s="6">
        <v>0.26436335444450398</v>
      </c>
      <c r="J27" s="76">
        <v>0.22578508257865901</v>
      </c>
      <c r="K27" s="6">
        <v>0.16490265727043199</v>
      </c>
      <c r="L27" s="63">
        <v>2.4493838373477899</v>
      </c>
      <c r="M27" s="63">
        <v>1.4107918008634099</v>
      </c>
      <c r="N27" s="6">
        <f t="shared" si="0"/>
        <v>8.4900000000000003E-2</v>
      </c>
      <c r="O27" s="33"/>
      <c r="P27" s="33"/>
      <c r="Q27" s="33"/>
    </row>
    <row r="28" spans="1:17">
      <c r="A28" s="11"/>
      <c r="B28" s="32" t="s">
        <v>687</v>
      </c>
      <c r="C28" s="113">
        <v>0.88</v>
      </c>
      <c r="D28" s="113">
        <v>0.98</v>
      </c>
      <c r="E28" s="16">
        <v>0.187</v>
      </c>
      <c r="F28" s="16">
        <v>0.2122</v>
      </c>
      <c r="G28" s="16">
        <v>0.1052</v>
      </c>
      <c r="H28" s="16">
        <v>0.12809999999999999</v>
      </c>
      <c r="I28" s="6">
        <v>0.24482206702232401</v>
      </c>
      <c r="J28" s="76">
        <v>0.22578508257865901</v>
      </c>
      <c r="K28" s="6">
        <v>0.204446715116501</v>
      </c>
      <c r="L28" s="63">
        <v>2.18605805587055</v>
      </c>
      <c r="M28" s="63">
        <v>1.73082460512944</v>
      </c>
      <c r="N28" s="6">
        <f t="shared" si="0"/>
        <v>8.4100000000000008E-2</v>
      </c>
      <c r="O28" s="33"/>
      <c r="P28" s="33"/>
      <c r="Q28" s="33"/>
    </row>
    <row r="29" spans="1:17">
      <c r="A29" s="11"/>
      <c r="B29" s="32" t="s">
        <v>665</v>
      </c>
      <c r="C29" s="113">
        <v>0.05</v>
      </c>
      <c r="D29" s="113">
        <v>0.09</v>
      </c>
      <c r="E29" s="16">
        <v>0.21309999999999998</v>
      </c>
      <c r="F29" s="16">
        <v>0.21109999999999998</v>
      </c>
      <c r="G29" s="16">
        <v>0.1333</v>
      </c>
      <c r="H29" s="16">
        <v>0.12279999999999999</v>
      </c>
      <c r="I29" s="6">
        <v>0.229332596063614</v>
      </c>
      <c r="J29" s="76">
        <v>0.22578508257865901</v>
      </c>
      <c r="K29" s="6">
        <v>0.20666669011116001</v>
      </c>
      <c r="L29" s="63">
        <v>2.0653553359837402</v>
      </c>
      <c r="M29" s="63">
        <v>1.0796639869640801</v>
      </c>
      <c r="N29" s="6">
        <f t="shared" si="0"/>
        <v>8.829999999999999E-2</v>
      </c>
      <c r="O29" s="33"/>
      <c r="P29" s="33"/>
      <c r="Q29" s="33"/>
    </row>
    <row r="30" spans="1:17">
      <c r="A30" s="11"/>
      <c r="B30" s="1" t="s">
        <v>1823</v>
      </c>
      <c r="C30" s="11"/>
      <c r="D30" s="33"/>
      <c r="E30" s="33"/>
      <c r="F30" s="33"/>
      <c r="G30" s="33"/>
      <c r="H30" s="33"/>
      <c r="I30" s="33"/>
      <c r="J30" s="33"/>
      <c r="K30" s="33"/>
      <c r="L30" s="33"/>
      <c r="M30" s="33"/>
      <c r="N30" s="33"/>
      <c r="O30" s="33"/>
      <c r="P30" s="33"/>
      <c r="Q30" s="33"/>
    </row>
    <row r="31" spans="1:17">
      <c r="A31" s="51" t="s">
        <v>875</v>
      </c>
      <c r="B31" s="51"/>
      <c r="C31" s="51"/>
      <c r="D31" s="56"/>
      <c r="E31" s="56"/>
      <c r="F31" s="56"/>
      <c r="G31" s="56"/>
      <c r="H31" s="56"/>
      <c r="I31" s="56"/>
      <c r="J31" s="56"/>
      <c r="K31" s="56"/>
      <c r="L31" s="56"/>
      <c r="M31" s="56"/>
      <c r="N31" s="56"/>
      <c r="O31" s="56"/>
      <c r="P31" s="56"/>
      <c r="Q31" s="56"/>
    </row>
    <row r="32" spans="1:17">
      <c r="A32" s="11"/>
      <c r="B32" s="22" t="s">
        <v>667</v>
      </c>
      <c r="C32" s="89">
        <v>13300</v>
      </c>
      <c r="D32" s="89">
        <v>16150</v>
      </c>
      <c r="E32" s="89">
        <v>19000</v>
      </c>
      <c r="F32" s="89">
        <v>21850</v>
      </c>
      <c r="G32" s="89">
        <v>24700</v>
      </c>
      <c r="H32" s="33"/>
      <c r="I32" s="33"/>
      <c r="J32" s="33"/>
      <c r="K32" s="33"/>
      <c r="L32" s="33"/>
      <c r="M32" s="33"/>
      <c r="N32" s="33"/>
      <c r="O32" s="33"/>
      <c r="P32" s="33"/>
      <c r="Q32" s="33"/>
    </row>
    <row r="33" spans="1:17">
      <c r="A33" s="11"/>
      <c r="B33" s="89">
        <v>21700</v>
      </c>
      <c r="C33" s="6">
        <v>0.20184287428855899</v>
      </c>
      <c r="D33" s="6">
        <v>0.23022492527961699</v>
      </c>
      <c r="E33" s="6">
        <v>0.25665428042411798</v>
      </c>
      <c r="F33" s="6">
        <v>0.28157467246055601</v>
      </c>
      <c r="G33" s="6">
        <v>0.30529827475547799</v>
      </c>
      <c r="H33" s="33"/>
      <c r="I33" s="33"/>
      <c r="J33" s="33"/>
      <c r="K33" s="33"/>
      <c r="L33" s="33"/>
      <c r="M33" s="33"/>
      <c r="N33" s="33"/>
      <c r="O33" s="33"/>
      <c r="P33" s="33"/>
      <c r="Q33" s="33"/>
    </row>
    <row r="34" spans="1:17">
      <c r="A34" s="11"/>
      <c r="B34" s="89">
        <v>26350</v>
      </c>
      <c r="C34" s="6">
        <v>0.241449826955795</v>
      </c>
      <c r="D34" s="6">
        <v>0.26716263890266401</v>
      </c>
      <c r="E34" s="6">
        <v>0.29151712059974699</v>
      </c>
      <c r="F34" s="6">
        <v>0.31478382945060701</v>
      </c>
      <c r="G34" s="6">
        <v>0.33716292977333101</v>
      </c>
      <c r="H34" s="33"/>
      <c r="I34" s="33"/>
      <c r="J34" s="33"/>
      <c r="K34" s="33"/>
      <c r="L34" s="33"/>
      <c r="M34" s="33"/>
      <c r="N34" s="33"/>
      <c r="O34" s="33"/>
      <c r="P34" s="33"/>
      <c r="Q34" s="33"/>
    </row>
    <row r="35" spans="1:17">
      <c r="A35" s="11"/>
      <c r="B35" s="89">
        <v>31000</v>
      </c>
      <c r="C35" s="6">
        <v>0.277404481172562</v>
      </c>
      <c r="D35" s="6">
        <v>0.30124524235725397</v>
      </c>
      <c r="E35" s="77">
        <v>0.32409371733665499</v>
      </c>
      <c r="F35" s="6">
        <v>0.34612670540809598</v>
      </c>
      <c r="G35" s="6">
        <v>0.367479795217514</v>
      </c>
      <c r="H35" s="33"/>
      <c r="I35" s="33"/>
      <c r="J35" s="33"/>
      <c r="K35" s="33"/>
      <c r="L35" s="33"/>
      <c r="M35" s="33"/>
      <c r="N35" s="33"/>
      <c r="O35" s="33"/>
      <c r="P35" s="33"/>
      <c r="Q35" s="33"/>
    </row>
    <row r="36" spans="1:17">
      <c r="A36" s="11"/>
      <c r="B36" s="89">
        <v>35650</v>
      </c>
      <c r="C36" s="6">
        <v>0.31077739596366899</v>
      </c>
      <c r="D36" s="6">
        <v>0.33324183821678199</v>
      </c>
      <c r="E36" s="6">
        <v>0.35495498776435902</v>
      </c>
      <c r="F36" s="6">
        <v>0.37603824734687802</v>
      </c>
      <c r="G36" s="6">
        <v>0.39658730626106298</v>
      </c>
      <c r="H36" s="33"/>
      <c r="I36" s="33"/>
      <c r="J36" s="33"/>
      <c r="K36" s="33"/>
      <c r="L36" s="33"/>
      <c r="M36" s="33"/>
      <c r="N36" s="33"/>
      <c r="O36" s="33"/>
      <c r="P36" s="33"/>
      <c r="Q36" s="33"/>
    </row>
    <row r="37" spans="1:17">
      <c r="A37" s="11"/>
      <c r="B37" s="89">
        <v>40300</v>
      </c>
      <c r="C37" s="6">
        <v>0.342240566015243</v>
      </c>
      <c r="D37" s="6">
        <v>0.363657420873642</v>
      </c>
      <c r="E37" s="6">
        <v>0.38448944687843301</v>
      </c>
      <c r="F37" s="6">
        <v>0.40482321381568898</v>
      </c>
      <c r="G37" s="6">
        <v>0.42472824454307601</v>
      </c>
      <c r="H37" s="33"/>
      <c r="I37" s="33"/>
      <c r="J37" s="33"/>
      <c r="K37" s="33"/>
      <c r="L37" s="33"/>
      <c r="M37" s="33"/>
      <c r="N37" s="33"/>
      <c r="O37" s="33"/>
      <c r="P37" s="33"/>
      <c r="Q37" s="33"/>
    </row>
    <row r="38" spans="1:17">
      <c r="A38" s="11"/>
      <c r="B38" s="11"/>
      <c r="C38" s="11"/>
      <c r="D38" s="33"/>
      <c r="E38" s="33"/>
      <c r="F38" s="33"/>
      <c r="G38" s="33"/>
      <c r="H38" s="33"/>
      <c r="I38" s="33"/>
      <c r="J38" s="33"/>
      <c r="K38" s="33"/>
      <c r="L38" s="33"/>
      <c r="M38" s="33"/>
      <c r="N38" s="33"/>
      <c r="O38" s="33"/>
      <c r="P38" s="33"/>
      <c r="Q38" s="33"/>
    </row>
    <row r="39" spans="1:17">
      <c r="A39" s="51" t="s">
        <v>876</v>
      </c>
      <c r="B39" s="51"/>
      <c r="C39" s="51"/>
      <c r="D39" s="56"/>
      <c r="E39" s="56"/>
      <c r="F39" s="56"/>
      <c r="G39" s="56"/>
      <c r="H39" s="56"/>
      <c r="I39" s="56"/>
      <c r="J39" s="56"/>
      <c r="K39" s="56"/>
      <c r="L39" s="56"/>
      <c r="M39" s="56"/>
      <c r="N39" s="56"/>
      <c r="O39" s="56"/>
      <c r="P39" s="56"/>
      <c r="Q39" s="56"/>
    </row>
    <row r="40" spans="1:17">
      <c r="A40" s="11"/>
      <c r="B40" s="22" t="s">
        <v>668</v>
      </c>
      <c r="C40" s="62">
        <v>0.85</v>
      </c>
      <c r="D40" s="62">
        <v>0.92500000000000004</v>
      </c>
      <c r="E40" s="89">
        <v>1</v>
      </c>
      <c r="F40" s="62">
        <v>1.075</v>
      </c>
      <c r="G40" s="62">
        <v>1.1499999999999999</v>
      </c>
      <c r="H40" s="33"/>
      <c r="I40" s="33"/>
      <c r="J40" s="33"/>
      <c r="K40" s="33"/>
      <c r="L40" s="33"/>
      <c r="M40" s="33"/>
      <c r="N40" s="33"/>
      <c r="O40" s="33"/>
      <c r="P40" s="33"/>
      <c r="Q40" s="33"/>
    </row>
    <row r="41" spans="1:17">
      <c r="A41" s="11"/>
      <c r="B41" s="62">
        <v>0.85</v>
      </c>
      <c r="C41" s="6">
        <v>0.30945522189140301</v>
      </c>
      <c r="D41" s="6">
        <v>0.29842599034309403</v>
      </c>
      <c r="E41" s="6">
        <v>0.28706310391426099</v>
      </c>
      <c r="F41" s="6">
        <v>0.27499697804451001</v>
      </c>
      <c r="G41" s="6">
        <v>0.26134987473487797</v>
      </c>
      <c r="H41" s="33"/>
      <c r="I41" s="33"/>
      <c r="J41" s="33"/>
      <c r="K41" s="33"/>
      <c r="L41" s="33"/>
      <c r="M41" s="33"/>
      <c r="N41" s="33"/>
      <c r="O41" s="33"/>
      <c r="P41" s="33"/>
      <c r="Q41" s="33"/>
    </row>
    <row r="42" spans="1:17">
      <c r="A42" s="11"/>
      <c r="B42" s="62">
        <v>0.92500000000000004</v>
      </c>
      <c r="C42" s="6">
        <v>0.28858109116554298</v>
      </c>
      <c r="D42" s="6">
        <v>0.27771204113960302</v>
      </c>
      <c r="E42" s="6">
        <v>0.26577050089836102</v>
      </c>
      <c r="F42" s="6">
        <v>0.25279110074043298</v>
      </c>
      <c r="G42" s="6">
        <v>0.23945688605308499</v>
      </c>
      <c r="H42" s="33"/>
      <c r="I42" s="33"/>
      <c r="J42" s="33"/>
      <c r="K42" s="33"/>
      <c r="L42" s="33"/>
      <c r="M42" s="33"/>
      <c r="N42" s="33"/>
      <c r="O42" s="33"/>
      <c r="P42" s="33"/>
      <c r="Q42" s="33"/>
    </row>
    <row r="43" spans="1:17">
      <c r="A43" s="11"/>
      <c r="B43" s="89">
        <v>1</v>
      </c>
      <c r="C43" s="6">
        <v>0.26930702328681899</v>
      </c>
      <c r="D43" s="6">
        <v>0.25750097632408198</v>
      </c>
      <c r="E43" s="77">
        <v>0.245118314027786</v>
      </c>
      <c r="F43" s="6">
        <v>0.23240210413932799</v>
      </c>
      <c r="G43" s="6">
        <v>0.22028135657310499</v>
      </c>
      <c r="H43" s="33"/>
      <c r="I43" s="33"/>
      <c r="J43" s="33"/>
      <c r="K43" s="33"/>
      <c r="L43" s="33"/>
      <c r="M43" s="33"/>
      <c r="N43" s="33"/>
      <c r="O43" s="33"/>
      <c r="P43" s="33"/>
      <c r="Q43" s="33"/>
    </row>
    <row r="44" spans="1:17">
      <c r="A44" s="11"/>
      <c r="B44" s="62">
        <v>1.125</v>
      </c>
      <c r="C44" s="6">
        <v>0.23784170746803299</v>
      </c>
      <c r="D44" s="6">
        <v>0.226127606630325</v>
      </c>
      <c r="E44" s="6">
        <v>0.214777368307114</v>
      </c>
      <c r="F44" s="6">
        <v>0.20442145466804501</v>
      </c>
      <c r="G44" s="6">
        <v>0.193552559614181</v>
      </c>
      <c r="H44" s="33"/>
      <c r="I44" s="33"/>
      <c r="J44" s="33"/>
      <c r="K44" s="33"/>
      <c r="L44" s="33"/>
      <c r="M44" s="33"/>
      <c r="N44" s="33"/>
      <c r="O44" s="33"/>
      <c r="P44" s="33"/>
      <c r="Q44" s="33"/>
    </row>
    <row r="45" spans="1:17">
      <c r="A45" s="11"/>
      <c r="B45" s="62">
        <v>1.25</v>
      </c>
      <c r="C45" s="6">
        <v>0.21013447642326399</v>
      </c>
      <c r="D45" s="6">
        <v>0.20053051114082299</v>
      </c>
      <c r="E45" s="6">
        <v>0.19048277735710101</v>
      </c>
      <c r="F45" s="6">
        <v>0.179937475919724</v>
      </c>
      <c r="G45" s="6">
        <v>0.16882999539375301</v>
      </c>
      <c r="H45" s="33"/>
      <c r="I45" s="33"/>
      <c r="J45" s="33"/>
      <c r="K45" s="33"/>
      <c r="L45" s="33"/>
      <c r="M45" s="33"/>
      <c r="N45" s="33"/>
      <c r="O45" s="33"/>
      <c r="P45" s="33"/>
      <c r="Q45" s="33"/>
    </row>
    <row r="46" spans="1:17">
      <c r="A46" s="11"/>
      <c r="B46" s="11"/>
      <c r="C46" s="11"/>
      <c r="D46" s="33"/>
      <c r="E46" s="33"/>
      <c r="F46" s="33"/>
      <c r="G46" s="33"/>
      <c r="H46" s="33"/>
      <c r="I46" s="33"/>
      <c r="J46" s="33"/>
      <c r="K46" s="33"/>
      <c r="L46" s="33"/>
      <c r="M46" s="33"/>
      <c r="N46" s="33"/>
      <c r="O46" s="33"/>
      <c r="P46" s="33"/>
      <c r="Q46" s="33"/>
    </row>
    <row r="47" spans="1:17">
      <c r="A47" s="51" t="s">
        <v>877</v>
      </c>
      <c r="B47" s="51"/>
      <c r="C47" s="51"/>
      <c r="D47" s="56"/>
      <c r="E47" s="56"/>
      <c r="F47" s="56"/>
      <c r="G47" s="56"/>
      <c r="H47" s="56"/>
      <c r="I47" s="56"/>
      <c r="J47" s="56"/>
      <c r="K47" s="56"/>
      <c r="L47" s="56"/>
      <c r="M47" s="56"/>
      <c r="N47" s="56"/>
      <c r="O47" s="56"/>
      <c r="P47" s="56"/>
      <c r="Q47" s="56"/>
    </row>
    <row r="48" spans="1:17">
      <c r="A48" s="11"/>
      <c r="B48" s="22" t="s">
        <v>669</v>
      </c>
      <c r="C48" s="65">
        <v>0.05</v>
      </c>
      <c r="D48" s="65">
        <v>0.06</v>
      </c>
      <c r="E48" s="65">
        <v>7.0000000000000007E-2</v>
      </c>
      <c r="F48" s="65">
        <v>0.08</v>
      </c>
      <c r="G48" s="65">
        <v>0.09</v>
      </c>
      <c r="H48" s="33"/>
      <c r="I48" s="33"/>
      <c r="J48" s="33"/>
      <c r="K48" s="33"/>
      <c r="L48" s="33"/>
      <c r="M48" s="33"/>
      <c r="N48" s="33"/>
      <c r="O48" s="33"/>
      <c r="P48" s="33"/>
      <c r="Q48" s="33"/>
    </row>
    <row r="49" spans="1:17">
      <c r="A49" s="11"/>
      <c r="B49" s="65">
        <v>0.45</v>
      </c>
      <c r="C49" s="6">
        <v>0.21401138901710501</v>
      </c>
      <c r="D49" s="6">
        <v>0.21207762360572799</v>
      </c>
      <c r="E49" s="6">
        <v>0.21011851429939299</v>
      </c>
      <c r="F49" s="6">
        <v>0.20813377499580399</v>
      </c>
      <c r="G49" s="6">
        <v>0.20612307190895099</v>
      </c>
      <c r="H49" s="33"/>
      <c r="I49" s="33"/>
      <c r="J49" s="33"/>
      <c r="K49" s="33"/>
      <c r="L49" s="33"/>
      <c r="M49" s="33"/>
      <c r="N49" s="33"/>
      <c r="O49" s="33"/>
      <c r="P49" s="33"/>
      <c r="Q49" s="33"/>
    </row>
    <row r="50" spans="1:17">
      <c r="A50" s="11"/>
      <c r="B50" s="65">
        <v>0.52500000000000002</v>
      </c>
      <c r="C50" s="6">
        <v>0.230824333429337</v>
      </c>
      <c r="D50" s="6">
        <v>0.228342205286026</v>
      </c>
      <c r="E50" s="6">
        <v>0.22582800984382601</v>
      </c>
      <c r="F50" s="6">
        <v>0.22328137755394001</v>
      </c>
      <c r="G50" s="6">
        <v>0.22070191502571099</v>
      </c>
      <c r="H50" s="33"/>
      <c r="I50" s="33"/>
      <c r="J50" s="33"/>
      <c r="K50" s="33"/>
      <c r="L50" s="33"/>
      <c r="M50" s="33"/>
      <c r="N50" s="33"/>
      <c r="O50" s="33"/>
      <c r="P50" s="33"/>
      <c r="Q50" s="33"/>
    </row>
    <row r="51" spans="1:17">
      <c r="A51" s="11"/>
      <c r="B51" s="65">
        <v>0.6</v>
      </c>
      <c r="C51" s="6">
        <v>0.25149267315864599</v>
      </c>
      <c r="D51" s="6">
        <v>0.24832542538642899</v>
      </c>
      <c r="E51" s="77">
        <v>0.245118314027786</v>
      </c>
      <c r="F51" s="6">
        <v>0.24187094569206199</v>
      </c>
      <c r="G51" s="6">
        <v>0.23858290314674399</v>
      </c>
      <c r="H51" s="33"/>
      <c r="I51" s="33"/>
      <c r="J51" s="33"/>
      <c r="K51" s="33"/>
      <c r="L51" s="33"/>
      <c r="M51" s="33"/>
      <c r="N51" s="33"/>
      <c r="O51" s="33"/>
      <c r="P51" s="33"/>
      <c r="Q51" s="33"/>
    </row>
    <row r="52" spans="1:17">
      <c r="A52" s="11"/>
      <c r="B52" s="65">
        <v>0.67500000000000004</v>
      </c>
      <c r="C52" s="6">
        <v>0.27774707674980198</v>
      </c>
      <c r="D52" s="6">
        <v>0.27368630766868601</v>
      </c>
      <c r="E52" s="6">
        <v>0.26957677006721498</v>
      </c>
      <c r="F52" s="6">
        <v>0.26541810631752</v>
      </c>
      <c r="G52" s="6">
        <v>0.26120995879173298</v>
      </c>
      <c r="H52" s="33"/>
      <c r="I52" s="33"/>
      <c r="J52" s="33"/>
      <c r="K52" s="33"/>
      <c r="L52" s="33"/>
      <c r="M52" s="33"/>
      <c r="N52" s="33"/>
      <c r="O52" s="33"/>
      <c r="P52" s="33"/>
      <c r="Q52" s="33"/>
    </row>
    <row r="53" spans="1:17">
      <c r="A53" s="11"/>
      <c r="B53" s="65">
        <v>0.75</v>
      </c>
      <c r="C53" s="6">
        <v>0.311936062574387</v>
      </c>
      <c r="D53" s="6">
        <v>0.30738932490348803</v>
      </c>
      <c r="E53" s="6">
        <v>0.302029639482498</v>
      </c>
      <c r="F53" s="6">
        <v>0.29661129117011997</v>
      </c>
      <c r="G53" s="6">
        <v>0.29113426804542503</v>
      </c>
      <c r="H53" s="33"/>
      <c r="I53" s="33"/>
      <c r="J53" s="33"/>
      <c r="K53" s="33"/>
      <c r="L53" s="33"/>
      <c r="M53" s="33"/>
      <c r="N53" s="33"/>
      <c r="O53" s="33"/>
      <c r="P53" s="33"/>
      <c r="Q53" s="33"/>
    </row>
    <row r="54" spans="1:17">
      <c r="A54" s="11"/>
      <c r="B54" s="11"/>
      <c r="C54" s="11"/>
      <c r="D54" s="33"/>
      <c r="E54" s="33"/>
      <c r="F54" s="33"/>
      <c r="G54" s="33"/>
      <c r="H54" s="33"/>
      <c r="I54" s="33"/>
      <c r="J54" s="33"/>
      <c r="K54" s="33"/>
      <c r="L54" s="33"/>
      <c r="M54" s="33"/>
      <c r="N54" s="33"/>
      <c r="O54" s="33"/>
      <c r="P54" s="33"/>
      <c r="Q54" s="33"/>
    </row>
    <row r="55" spans="1:17">
      <c r="A55" s="51" t="s">
        <v>878</v>
      </c>
      <c r="B55" s="51"/>
      <c r="C55" s="51"/>
      <c r="D55" s="56"/>
      <c r="E55" s="56"/>
      <c r="F55" s="56"/>
      <c r="G55" s="56"/>
      <c r="H55" s="56"/>
      <c r="I55" s="56"/>
      <c r="J55" s="56"/>
      <c r="K55" s="56"/>
      <c r="L55" s="56"/>
      <c r="M55" s="56"/>
      <c r="N55" s="56"/>
      <c r="O55" s="56"/>
      <c r="P55" s="56"/>
      <c r="Q55" s="56"/>
    </row>
    <row r="56" spans="1:17">
      <c r="A56" s="11"/>
      <c r="B56" s="22" t="s">
        <v>669</v>
      </c>
      <c r="C56" s="65">
        <v>0.05</v>
      </c>
      <c r="D56" s="65">
        <v>0.06</v>
      </c>
      <c r="E56" s="65">
        <v>7.0000000000000007E-2</v>
      </c>
      <c r="F56" s="65">
        <v>0.08</v>
      </c>
      <c r="G56" s="65">
        <v>0.09</v>
      </c>
      <c r="H56" s="33"/>
      <c r="I56" s="33"/>
      <c r="J56" s="33"/>
      <c r="K56" s="33"/>
      <c r="L56" s="33"/>
      <c r="M56" s="33"/>
      <c r="N56" s="33"/>
      <c r="O56" s="33"/>
      <c r="P56" s="33"/>
      <c r="Q56" s="33"/>
    </row>
    <row r="57" spans="1:17">
      <c r="A57" s="11"/>
      <c r="B57" s="65">
        <v>0.45</v>
      </c>
      <c r="C57" s="63">
        <v>3.1292698494120401</v>
      </c>
      <c r="D57" s="63">
        <v>2.9645071192936201</v>
      </c>
      <c r="E57" s="63">
        <v>2.8144355818850499</v>
      </c>
      <c r="F57" s="63">
        <v>2.67718620812752</v>
      </c>
      <c r="G57" s="63">
        <v>2.5511940674147602</v>
      </c>
      <c r="H57" s="33"/>
      <c r="I57" s="33"/>
      <c r="J57" s="33"/>
      <c r="K57" s="33"/>
      <c r="L57" s="33"/>
      <c r="M57" s="33"/>
      <c r="N57" s="33"/>
      <c r="O57" s="33"/>
      <c r="P57" s="33"/>
      <c r="Q57" s="33"/>
    </row>
    <row r="58" spans="1:17">
      <c r="A58" s="11"/>
      <c r="B58" s="65">
        <v>0.52500000000000002</v>
      </c>
      <c r="C58" s="63">
        <v>2.68212223468643</v>
      </c>
      <c r="D58" s="63">
        <v>2.5408878393671501</v>
      </c>
      <c r="E58" s="63">
        <v>2.41224678178212</v>
      </c>
      <c r="F58" s="63">
        <v>2.2945969240205399</v>
      </c>
      <c r="G58" s="63">
        <v>2.1865968023732401</v>
      </c>
      <c r="H58" s="33"/>
      <c r="I58" s="33"/>
      <c r="J58" s="33"/>
      <c r="K58" s="33"/>
      <c r="L58" s="33"/>
      <c r="M58" s="33"/>
      <c r="N58" s="33"/>
      <c r="O58" s="33"/>
      <c r="P58" s="33"/>
      <c r="Q58" s="33"/>
    </row>
    <row r="59" spans="1:17">
      <c r="A59" s="11"/>
      <c r="B59" s="65">
        <v>0.6</v>
      </c>
      <c r="C59" s="63">
        <v>2.3467615236422099</v>
      </c>
      <c r="D59" s="63">
        <v>2.2231733794222901</v>
      </c>
      <c r="E59" s="78">
        <v>2.1106051817049298</v>
      </c>
      <c r="F59" s="63">
        <v>2.0076549609402998</v>
      </c>
      <c r="G59" s="63">
        <v>1.91314885359209</v>
      </c>
      <c r="H59" s="33"/>
      <c r="I59" s="33"/>
      <c r="J59" s="33"/>
      <c r="K59" s="33"/>
      <c r="L59" s="33"/>
      <c r="M59" s="33"/>
      <c r="N59" s="33"/>
      <c r="O59" s="33"/>
      <c r="P59" s="33"/>
      <c r="Q59" s="33"/>
    </row>
    <row r="60" spans="1:17">
      <c r="A60" s="11"/>
      <c r="B60" s="65">
        <v>0.67500000000000004</v>
      </c>
      <c r="C60" s="63">
        <v>2.0859254150522699</v>
      </c>
      <c r="D60" s="63">
        <v>1.9760621327985199</v>
      </c>
      <c r="E60" s="63">
        <v>1.87599504831155</v>
      </c>
      <c r="F60" s="63">
        <v>1.7844778785445601</v>
      </c>
      <c r="G60" s="63">
        <v>1.7004671156511999</v>
      </c>
      <c r="H60" s="33"/>
      <c r="I60" s="33"/>
      <c r="J60" s="33"/>
      <c r="K60" s="33"/>
      <c r="L60" s="33"/>
      <c r="M60" s="33"/>
      <c r="N60" s="33"/>
      <c r="O60" s="33"/>
      <c r="P60" s="33"/>
      <c r="Q60" s="33"/>
    </row>
    <row r="61" spans="1:17">
      <c r="A61" s="11"/>
      <c r="B61" s="65">
        <v>0.75</v>
      </c>
      <c r="C61" s="63">
        <v>1.87725652818032</v>
      </c>
      <c r="D61" s="63">
        <v>1.7783731354995</v>
      </c>
      <c r="E61" s="63">
        <v>1.6883069415968499</v>
      </c>
      <c r="F61" s="63">
        <v>1.6059362126279699</v>
      </c>
      <c r="G61" s="63">
        <v>1.53032172529849</v>
      </c>
      <c r="H61" s="33"/>
      <c r="I61" s="33"/>
      <c r="J61" s="33"/>
      <c r="K61" s="33"/>
      <c r="L61" s="33"/>
      <c r="M61" s="33"/>
      <c r="N61" s="33"/>
      <c r="O61" s="33"/>
      <c r="P61" s="33"/>
      <c r="Q61" s="33"/>
    </row>
    <row r="62" spans="1:17">
      <c r="A62" s="11"/>
      <c r="B62" s="11"/>
      <c r="C62" s="11"/>
      <c r="D62" s="33"/>
      <c r="E62" s="33"/>
      <c r="F62" s="33"/>
      <c r="G62" s="33"/>
      <c r="H62" s="33"/>
      <c r="I62" s="33"/>
      <c r="J62" s="33"/>
      <c r="K62" s="33"/>
      <c r="L62" s="33"/>
      <c r="M62" s="33"/>
      <c r="N62" s="33"/>
      <c r="O62" s="33"/>
      <c r="P62" s="33"/>
      <c r="Q62" s="33"/>
    </row>
    <row r="63" spans="1:17">
      <c r="A63" s="51" t="s">
        <v>879</v>
      </c>
      <c r="B63" s="51"/>
      <c r="C63" s="51"/>
      <c r="D63" s="56"/>
      <c r="E63" s="56"/>
      <c r="F63" s="56"/>
      <c r="G63" s="56"/>
      <c r="H63" s="56"/>
      <c r="I63" s="56"/>
      <c r="J63" s="56"/>
      <c r="K63" s="56"/>
      <c r="L63" s="56"/>
      <c r="M63" s="56"/>
      <c r="N63" s="56"/>
      <c r="O63" s="56"/>
      <c r="P63" s="56"/>
      <c r="Q63" s="56"/>
    </row>
    <row r="64" spans="1:17">
      <c r="A64" s="11"/>
      <c r="B64" s="22" t="s">
        <v>670</v>
      </c>
      <c r="C64" s="89">
        <v>297</v>
      </c>
      <c r="D64" s="89">
        <v>313</v>
      </c>
      <c r="E64" s="89">
        <v>330</v>
      </c>
      <c r="F64" s="89">
        <v>340</v>
      </c>
      <c r="G64" s="89">
        <v>350</v>
      </c>
      <c r="H64" s="33"/>
      <c r="I64" s="33"/>
      <c r="J64" s="33"/>
      <c r="K64" s="33"/>
      <c r="L64" s="33"/>
      <c r="M64" s="33"/>
      <c r="N64" s="33"/>
      <c r="O64" s="33"/>
      <c r="P64" s="33"/>
      <c r="Q64" s="33"/>
    </row>
    <row r="65" spans="1:17">
      <c r="A65" s="11"/>
      <c r="B65" s="89">
        <v>1750</v>
      </c>
      <c r="C65" s="6">
        <v>0.34144398570060702</v>
      </c>
      <c r="D65" s="6">
        <v>0.352300161123276</v>
      </c>
      <c r="E65" s="6">
        <v>0.36819097399711598</v>
      </c>
      <c r="F65" s="6">
        <v>0.37265471816062901</v>
      </c>
      <c r="G65" s="6">
        <v>0.38164173960685699</v>
      </c>
      <c r="H65" s="33"/>
      <c r="I65" s="33"/>
      <c r="J65" s="33"/>
      <c r="K65" s="33"/>
      <c r="L65" s="33"/>
      <c r="M65" s="33"/>
      <c r="N65" s="33"/>
      <c r="O65" s="33"/>
      <c r="P65" s="33"/>
      <c r="Q65" s="33"/>
    </row>
    <row r="66" spans="1:17">
      <c r="A66" s="11"/>
      <c r="B66" s="89">
        <v>2625</v>
      </c>
      <c r="C66" s="6">
        <v>0.32069495320320102</v>
      </c>
      <c r="D66" s="6">
        <v>0.33115924000739999</v>
      </c>
      <c r="E66" s="6">
        <v>0.34639517664909403</v>
      </c>
      <c r="F66" s="6">
        <v>0.35070922970771801</v>
      </c>
      <c r="G66" s="6">
        <v>0.35931096673011798</v>
      </c>
      <c r="H66" s="33"/>
      <c r="I66" s="33"/>
      <c r="J66" s="33"/>
      <c r="K66" s="33"/>
      <c r="L66" s="33"/>
      <c r="M66" s="33"/>
      <c r="N66" s="33"/>
      <c r="O66" s="33"/>
      <c r="P66" s="33"/>
      <c r="Q66" s="33"/>
    </row>
    <row r="67" spans="1:17">
      <c r="A67" s="11"/>
      <c r="B67" s="89">
        <v>3500</v>
      </c>
      <c r="C67" s="6">
        <v>0.29940435290336598</v>
      </c>
      <c r="D67" s="6">
        <v>0.30949169993400599</v>
      </c>
      <c r="E67" s="77">
        <v>0.32409371733665499</v>
      </c>
      <c r="F67" s="6">
        <v>0.32826403975486801</v>
      </c>
      <c r="G67" s="6">
        <v>0.33649213910102799</v>
      </c>
      <c r="H67" s="33"/>
      <c r="I67" s="33"/>
      <c r="J67" s="33"/>
      <c r="K67" s="33"/>
      <c r="L67" s="33"/>
      <c r="M67" s="33"/>
      <c r="N67" s="33"/>
      <c r="O67" s="33"/>
      <c r="P67" s="33"/>
      <c r="Q67" s="33"/>
    </row>
    <row r="68" spans="1:17">
      <c r="A68" s="11"/>
      <c r="B68" s="89">
        <v>4375</v>
      </c>
      <c r="C68" s="6">
        <v>0.27744726538658099</v>
      </c>
      <c r="D68" s="6">
        <v>0.28717486262321501</v>
      </c>
      <c r="E68" s="6">
        <v>0.30116620659828203</v>
      </c>
      <c r="F68" s="6">
        <v>0.30519991517066902</v>
      </c>
      <c r="G68" s="6">
        <v>0.313067227602005</v>
      </c>
      <c r="H68" s="33"/>
      <c r="I68" s="33"/>
      <c r="J68" s="33"/>
      <c r="K68" s="33"/>
      <c r="L68" s="33"/>
      <c r="M68" s="33"/>
      <c r="N68" s="33"/>
      <c r="O68" s="33"/>
      <c r="P68" s="33"/>
      <c r="Q68" s="33"/>
    </row>
    <row r="69" spans="1:17">
      <c r="A69" s="11"/>
      <c r="B69" s="89">
        <v>5250</v>
      </c>
      <c r="C69" s="6">
        <v>0.25466267466545101</v>
      </c>
      <c r="D69" s="6">
        <v>0.264050728082657</v>
      </c>
      <c r="E69" s="6">
        <v>0.277457624673843</v>
      </c>
      <c r="F69" s="6">
        <v>0.28136331439018297</v>
      </c>
      <c r="G69" s="6">
        <v>0.28888425230979897</v>
      </c>
      <c r="H69" s="33"/>
      <c r="I69" s="33"/>
      <c r="J69" s="33"/>
      <c r="K69" s="33"/>
      <c r="L69" s="33"/>
      <c r="M69" s="33"/>
      <c r="N69" s="33"/>
      <c r="O69" s="33"/>
      <c r="P69" s="33"/>
      <c r="Q69" s="33"/>
    </row>
    <row r="70" spans="1:17">
      <c r="A70" s="11"/>
      <c r="B70" s="11"/>
      <c r="C70" s="11"/>
      <c r="D70" s="33"/>
      <c r="E70" s="33"/>
      <c r="F70" s="33"/>
      <c r="G70" s="33"/>
      <c r="H70" s="33"/>
      <c r="I70" s="33"/>
      <c r="J70" s="33"/>
      <c r="K70" s="33"/>
      <c r="L70" s="33"/>
      <c r="M70" s="33"/>
      <c r="N70" s="33"/>
      <c r="O70" s="33"/>
      <c r="P70" s="33"/>
      <c r="Q70" s="33"/>
    </row>
    <row r="71" spans="1:17">
      <c r="A71" s="51" t="s">
        <v>880</v>
      </c>
      <c r="B71" s="51"/>
      <c r="C71" s="51"/>
      <c r="D71" s="56"/>
      <c r="E71" s="56"/>
      <c r="F71" s="56"/>
      <c r="G71" s="56"/>
      <c r="H71" s="56"/>
      <c r="I71" s="56"/>
      <c r="J71" s="56"/>
      <c r="K71" s="56"/>
      <c r="L71" s="56"/>
      <c r="M71" s="56"/>
      <c r="N71" s="56"/>
      <c r="O71" s="56"/>
      <c r="P71" s="56"/>
      <c r="Q71" s="56"/>
    </row>
    <row r="72" spans="1:17">
      <c r="A72" s="11"/>
      <c r="B72" s="22" t="s">
        <v>671</v>
      </c>
      <c r="C72" s="22" t="s">
        <v>672</v>
      </c>
      <c r="D72" s="22" t="s">
        <v>673</v>
      </c>
      <c r="E72" s="22" t="s">
        <v>674</v>
      </c>
      <c r="F72" s="33"/>
      <c r="G72" s="33"/>
      <c r="H72" s="33"/>
      <c r="I72" s="33"/>
      <c r="J72" s="33"/>
      <c r="K72" s="33"/>
      <c r="L72" s="33"/>
      <c r="M72" s="33"/>
      <c r="N72" s="33"/>
      <c r="O72" s="33"/>
      <c r="P72" s="33"/>
      <c r="Q72" s="33"/>
    </row>
    <row r="73" spans="1:17">
      <c r="A73" s="11"/>
      <c r="B73" s="11" t="s">
        <v>566</v>
      </c>
      <c r="C73" s="6">
        <v>0.18001331686973601</v>
      </c>
      <c r="D73" s="79">
        <v>0.32409371733665499</v>
      </c>
      <c r="E73" s="6">
        <v>0.44554983973503098</v>
      </c>
      <c r="F73" s="33"/>
      <c r="G73" s="33"/>
      <c r="H73" s="33"/>
      <c r="I73" s="33"/>
      <c r="J73" s="33"/>
      <c r="K73" s="33"/>
      <c r="L73" s="33"/>
      <c r="M73" s="33"/>
      <c r="N73" s="33"/>
      <c r="O73" s="33"/>
      <c r="P73" s="33"/>
      <c r="Q73" s="33"/>
    </row>
    <row r="74" spans="1:17">
      <c r="A74" s="11"/>
      <c r="B74" s="11" t="s">
        <v>567</v>
      </c>
      <c r="C74" s="6">
        <v>0.102115005254745</v>
      </c>
      <c r="D74" s="79">
        <v>0.245118314027786</v>
      </c>
      <c r="E74" s="6">
        <v>0.34562092423439</v>
      </c>
      <c r="F74" s="33"/>
      <c r="G74" s="33"/>
      <c r="H74" s="33"/>
      <c r="I74" s="33"/>
      <c r="J74" s="33"/>
      <c r="K74" s="33"/>
      <c r="L74" s="33"/>
      <c r="M74" s="33"/>
      <c r="N74" s="33"/>
      <c r="O74" s="33"/>
      <c r="P74" s="33"/>
      <c r="Q74" s="33"/>
    </row>
    <row r="75" spans="1:17">
      <c r="A75" s="11"/>
      <c r="B75" s="11" t="s">
        <v>675</v>
      </c>
      <c r="C75" s="63">
        <v>0.857478882969822</v>
      </c>
      <c r="D75" s="80">
        <v>2.1106051817049298</v>
      </c>
      <c r="E75" s="63">
        <v>3.5682716943147601</v>
      </c>
      <c r="F75" s="33"/>
      <c r="G75" s="33"/>
      <c r="H75" s="33"/>
      <c r="I75" s="33"/>
      <c r="J75" s="33"/>
      <c r="K75" s="33"/>
      <c r="L75" s="33"/>
      <c r="M75" s="33"/>
      <c r="N75" s="33"/>
      <c r="O75" s="33"/>
      <c r="P75" s="33"/>
      <c r="Q75" s="33"/>
    </row>
    <row r="76" spans="1:17">
      <c r="A76" s="11"/>
      <c r="B76" s="11" t="s">
        <v>676</v>
      </c>
      <c r="C76" s="63">
        <v>7.5</v>
      </c>
      <c r="D76" s="80">
        <v>4.5</v>
      </c>
      <c r="E76" s="63">
        <v>3.8333333333333299</v>
      </c>
      <c r="F76" s="33"/>
      <c r="G76" s="33"/>
      <c r="H76" s="33"/>
      <c r="I76" s="33"/>
      <c r="J76" s="33"/>
      <c r="K76" s="33"/>
      <c r="L76" s="33"/>
      <c r="M76" s="33"/>
      <c r="N76" s="33"/>
      <c r="O76" s="33"/>
      <c r="P76" s="33"/>
      <c r="Q76" s="33"/>
    </row>
    <row r="77" spans="1:17">
      <c r="A77" s="11"/>
      <c r="B77" s="11" t="s">
        <v>677</v>
      </c>
      <c r="C77" s="90">
        <v>1279546411.74508</v>
      </c>
      <c r="D77" s="102">
        <v>4751626830.9873304</v>
      </c>
      <c r="E77" s="90">
        <v>8075085061.4069595</v>
      </c>
      <c r="F77" s="33"/>
      <c r="G77" s="33"/>
      <c r="H77" s="33"/>
      <c r="I77" s="33"/>
      <c r="J77" s="33"/>
      <c r="K77" s="33"/>
      <c r="L77" s="33"/>
      <c r="M77" s="33"/>
      <c r="N77" s="33"/>
      <c r="O77" s="33"/>
      <c r="P77" s="33"/>
      <c r="Q77" s="33"/>
    </row>
    <row r="78" spans="1:17">
      <c r="A78" s="11"/>
      <c r="B78" s="11"/>
      <c r="C78" s="11"/>
      <c r="D78" s="33"/>
      <c r="E78" s="33"/>
      <c r="F78" s="33"/>
      <c r="G78" s="33"/>
      <c r="H78" s="33"/>
      <c r="I78" s="33"/>
      <c r="J78" s="33"/>
      <c r="K78" s="33"/>
      <c r="L78" s="33"/>
      <c r="M78" s="33"/>
      <c r="N78" s="33"/>
      <c r="O78" s="33"/>
      <c r="P78" s="33"/>
      <c r="Q78" s="33"/>
    </row>
    <row r="79" spans="1:17">
      <c r="A79" s="51" t="s">
        <v>881</v>
      </c>
      <c r="B79" s="51"/>
      <c r="C79" s="51"/>
      <c r="D79" s="56"/>
      <c r="E79" s="56"/>
      <c r="F79" s="56"/>
      <c r="G79" s="56"/>
      <c r="H79" s="56"/>
      <c r="I79" s="56"/>
      <c r="J79" s="56"/>
      <c r="K79" s="56"/>
      <c r="L79" s="56"/>
      <c r="M79" s="56"/>
      <c r="N79" s="56"/>
      <c r="O79" s="56"/>
      <c r="P79" s="56"/>
      <c r="Q79" s="56"/>
    </row>
    <row r="80" spans="1:17">
      <c r="A80" s="11"/>
      <c r="B80" s="22" t="s">
        <v>678</v>
      </c>
      <c r="C80" s="22" t="s">
        <v>28</v>
      </c>
      <c r="D80" s="22" t="s">
        <v>29</v>
      </c>
      <c r="E80" s="22" t="s">
        <v>679</v>
      </c>
      <c r="F80" s="33"/>
      <c r="G80" s="33"/>
      <c r="H80" s="33"/>
      <c r="I80" s="33"/>
      <c r="J80" s="33"/>
      <c r="K80" s="33"/>
      <c r="L80" s="33"/>
      <c r="M80" s="33"/>
      <c r="N80" s="33"/>
      <c r="O80" s="33"/>
      <c r="P80" s="33"/>
      <c r="Q80" s="33"/>
    </row>
    <row r="81" spans="1:17">
      <c r="A81" s="11"/>
      <c r="B81" s="6">
        <v>0.35</v>
      </c>
      <c r="C81" s="6">
        <v>8.3701685070991599E-2</v>
      </c>
      <c r="D81" s="63">
        <v>1.47068522153992</v>
      </c>
      <c r="E81" s="11" t="s">
        <v>680</v>
      </c>
      <c r="F81" s="33"/>
      <c r="G81" s="33"/>
      <c r="H81" s="33"/>
      <c r="I81" s="33"/>
      <c r="J81" s="33"/>
      <c r="K81" s="33"/>
      <c r="L81" s="33"/>
      <c r="M81" s="33"/>
      <c r="N81" s="33"/>
      <c r="O81" s="33"/>
      <c r="P81" s="33"/>
      <c r="Q81" s="33"/>
    </row>
    <row r="82" spans="1:17">
      <c r="A82" s="11"/>
      <c r="B82" s="6">
        <v>0.4</v>
      </c>
      <c r="C82" s="6">
        <v>8.6391332745552094E-2</v>
      </c>
      <c r="D82" s="63">
        <v>1.2867233199688899</v>
      </c>
      <c r="E82" s="11" t="s">
        <v>680</v>
      </c>
      <c r="F82" s="33"/>
      <c r="G82" s="33"/>
      <c r="H82" s="33"/>
      <c r="I82" s="33"/>
      <c r="J82" s="33"/>
      <c r="K82" s="33"/>
      <c r="L82" s="33"/>
      <c r="M82" s="33"/>
      <c r="N82" s="33"/>
      <c r="O82" s="33"/>
      <c r="P82" s="33"/>
      <c r="Q82" s="33"/>
    </row>
    <row r="83" spans="1:17">
      <c r="A83" s="11"/>
      <c r="B83" s="6">
        <v>0.45</v>
      </c>
      <c r="C83" s="6">
        <v>8.9439710974693304E-2</v>
      </c>
      <c r="D83" s="63">
        <v>1.1436418409692</v>
      </c>
      <c r="E83" s="11" t="s">
        <v>681</v>
      </c>
      <c r="F83" s="33"/>
      <c r="G83" s="33"/>
      <c r="H83" s="33"/>
      <c r="I83" s="33"/>
      <c r="J83" s="33"/>
      <c r="K83" s="33"/>
      <c r="L83" s="33"/>
      <c r="M83" s="33"/>
      <c r="N83" s="33"/>
      <c r="O83" s="33"/>
      <c r="P83" s="33"/>
      <c r="Q83" s="33"/>
    </row>
    <row r="84" spans="1:17">
      <c r="A84" s="11"/>
      <c r="B84" s="6">
        <v>0.5</v>
      </c>
      <c r="C84" s="6">
        <v>9.2925527691841106E-2</v>
      </c>
      <c r="D84" s="63">
        <v>1.0291766577694501</v>
      </c>
      <c r="E84" s="11" t="s">
        <v>681</v>
      </c>
      <c r="F84" s="33"/>
      <c r="G84" s="33"/>
      <c r="H84" s="33"/>
      <c r="I84" s="33"/>
      <c r="J84" s="33"/>
      <c r="K84" s="33"/>
      <c r="L84" s="33"/>
      <c r="M84" s="33"/>
      <c r="N84" s="33"/>
      <c r="O84" s="33"/>
      <c r="P84" s="33"/>
      <c r="Q84" s="33"/>
    </row>
    <row r="85" spans="1:17">
      <c r="A85" s="11"/>
      <c r="B85" s="6">
        <v>0.55000000000000004</v>
      </c>
      <c r="C85" s="6">
        <v>9.6952933073043798E-2</v>
      </c>
      <c r="D85" s="63">
        <v>0.93552332606056099</v>
      </c>
      <c r="E85" s="11" t="s">
        <v>681</v>
      </c>
      <c r="F85" s="33"/>
      <c r="G85" s="33"/>
      <c r="H85" s="33"/>
      <c r="I85" s="33"/>
      <c r="J85" s="33"/>
      <c r="K85" s="33"/>
      <c r="L85" s="33"/>
      <c r="M85" s="33"/>
      <c r="N85" s="33"/>
      <c r="O85" s="33"/>
      <c r="P85" s="33"/>
      <c r="Q85" s="33"/>
    </row>
    <row r="86" spans="1:17">
      <c r="A86" s="11"/>
      <c r="B86" s="6">
        <v>0.6</v>
      </c>
      <c r="C86" s="6">
        <v>0.102115005254745</v>
      </c>
      <c r="D86" s="63">
        <v>0.857478882969822</v>
      </c>
      <c r="E86" s="11" t="s">
        <v>681</v>
      </c>
      <c r="F86" s="33"/>
      <c r="G86" s="33"/>
      <c r="H86" s="33"/>
      <c r="I86" s="33"/>
      <c r="J86" s="33"/>
      <c r="K86" s="33"/>
      <c r="L86" s="33"/>
      <c r="M86" s="33"/>
      <c r="N86" s="33"/>
      <c r="O86" s="33"/>
      <c r="P86" s="33"/>
      <c r="Q86" s="33"/>
    </row>
    <row r="87" spans="1:17">
      <c r="A87" s="11"/>
      <c r="B87" s="11"/>
      <c r="C87" s="11"/>
      <c r="D87" s="33"/>
      <c r="E87" s="33"/>
      <c r="F87" s="33"/>
      <c r="G87" s="33"/>
      <c r="H87" s="33"/>
      <c r="I87" s="33"/>
      <c r="J87" s="33"/>
      <c r="K87" s="33"/>
      <c r="L87" s="33"/>
      <c r="M87" s="33"/>
      <c r="N87" s="33"/>
      <c r="O87" s="33"/>
      <c r="P87" s="33"/>
      <c r="Q87" s="33"/>
    </row>
    <row r="88" spans="1:17">
      <c r="A88" s="51" t="s">
        <v>882</v>
      </c>
      <c r="B88" s="51"/>
      <c r="C88" s="51"/>
      <c r="D88" s="56"/>
      <c r="E88" s="56"/>
      <c r="F88" s="56"/>
      <c r="G88" s="56"/>
      <c r="H88" s="56"/>
      <c r="I88" s="56"/>
      <c r="J88" s="56"/>
      <c r="K88" s="56"/>
      <c r="L88" s="56"/>
      <c r="M88" s="56"/>
      <c r="N88" s="56"/>
      <c r="O88" s="56"/>
      <c r="P88" s="56"/>
      <c r="Q88" s="56"/>
    </row>
    <row r="89" spans="1:17">
      <c r="A89" s="11"/>
      <c r="B89" s="22" t="s">
        <v>682</v>
      </c>
      <c r="C89" s="22" t="s">
        <v>27</v>
      </c>
      <c r="D89" s="22" t="s">
        <v>29</v>
      </c>
      <c r="E89" s="33"/>
      <c r="F89" s="33"/>
      <c r="G89" s="33"/>
      <c r="H89" s="33"/>
      <c r="I89" s="33"/>
      <c r="J89" s="33"/>
      <c r="K89" s="33"/>
      <c r="L89" s="33"/>
      <c r="M89" s="33"/>
      <c r="N89" s="33"/>
      <c r="O89" s="33"/>
      <c r="P89" s="33"/>
      <c r="Q89" s="33"/>
    </row>
    <row r="90" spans="1:17">
      <c r="A90" s="11"/>
      <c r="B90" s="90">
        <v>15000</v>
      </c>
      <c r="C90" s="6">
        <v>0.20049400925636299</v>
      </c>
      <c r="D90" s="63">
        <v>1.0554492372380799</v>
      </c>
      <c r="E90" s="33"/>
      <c r="F90" s="33"/>
      <c r="G90" s="33"/>
      <c r="H90" s="33"/>
      <c r="I90" s="33"/>
      <c r="J90" s="33"/>
      <c r="K90" s="33"/>
      <c r="L90" s="33"/>
      <c r="M90" s="33"/>
      <c r="N90" s="33"/>
      <c r="O90" s="33"/>
      <c r="P90" s="33"/>
      <c r="Q90" s="33"/>
    </row>
    <row r="91" spans="1:17">
      <c r="A91" s="11"/>
      <c r="B91" s="90">
        <v>17000</v>
      </c>
      <c r="C91" s="6">
        <v>0.218188363313675</v>
      </c>
      <c r="D91" s="63">
        <v>1.18734373029644</v>
      </c>
      <c r="E91" s="33"/>
      <c r="F91" s="33"/>
      <c r="G91" s="33"/>
      <c r="H91" s="33"/>
      <c r="I91" s="33"/>
      <c r="J91" s="33"/>
      <c r="K91" s="33"/>
      <c r="L91" s="33"/>
      <c r="M91" s="33"/>
      <c r="N91" s="33"/>
      <c r="O91" s="33"/>
      <c r="P91" s="33"/>
      <c r="Q91" s="33"/>
    </row>
    <row r="92" spans="1:17">
      <c r="A92" s="11"/>
      <c r="B92" s="90">
        <v>19000</v>
      </c>
      <c r="C92" s="6">
        <v>0.23503207564353901</v>
      </c>
      <c r="D92" s="63">
        <v>1.3192382233547899</v>
      </c>
      <c r="E92" s="33"/>
      <c r="F92" s="33"/>
      <c r="G92" s="33"/>
      <c r="H92" s="33"/>
      <c r="I92" s="33"/>
      <c r="J92" s="33"/>
      <c r="K92" s="33"/>
      <c r="L92" s="33"/>
      <c r="M92" s="33"/>
      <c r="N92" s="33"/>
      <c r="O92" s="33"/>
      <c r="P92" s="33"/>
      <c r="Q92" s="33"/>
    </row>
    <row r="93" spans="1:17">
      <c r="A93" s="11"/>
      <c r="B93" s="90">
        <v>21000</v>
      </c>
      <c r="C93" s="6">
        <v>0.25115900635719302</v>
      </c>
      <c r="D93" s="63">
        <v>1.45113271641315</v>
      </c>
      <c r="E93" s="33"/>
      <c r="F93" s="33"/>
      <c r="G93" s="33"/>
      <c r="H93" s="33"/>
      <c r="I93" s="33"/>
      <c r="J93" s="33"/>
      <c r="K93" s="33"/>
      <c r="L93" s="33"/>
      <c r="M93" s="33"/>
      <c r="N93" s="33"/>
      <c r="O93" s="33"/>
      <c r="P93" s="33"/>
      <c r="Q93" s="33"/>
    </row>
    <row r="94" spans="1:17">
      <c r="A94" s="11"/>
      <c r="B94" s="90">
        <v>23000</v>
      </c>
      <c r="C94" s="6">
        <v>0.26667448878288302</v>
      </c>
      <c r="D94" s="63">
        <v>1.5830272094715001</v>
      </c>
      <c r="E94" s="33"/>
      <c r="F94" s="33"/>
      <c r="G94" s="33"/>
      <c r="H94" s="33"/>
      <c r="I94" s="33"/>
      <c r="J94" s="33"/>
      <c r="K94" s="33"/>
      <c r="L94" s="33"/>
      <c r="M94" s="33"/>
      <c r="N94" s="33"/>
      <c r="O94" s="33"/>
      <c r="P94" s="33"/>
      <c r="Q94" s="33"/>
    </row>
    <row r="95" spans="1:17">
      <c r="A95" s="11"/>
      <c r="B95" s="90">
        <v>25000</v>
      </c>
      <c r="C95" s="6">
        <v>0.28166285157203702</v>
      </c>
      <c r="D95" s="63">
        <v>1.71492170252986</v>
      </c>
      <c r="E95" s="33"/>
      <c r="F95" s="33"/>
      <c r="G95" s="33"/>
      <c r="H95" s="33"/>
      <c r="I95" s="33"/>
      <c r="J95" s="33"/>
      <c r="K95" s="33"/>
      <c r="L95" s="33"/>
      <c r="M95" s="33"/>
      <c r="N95" s="33"/>
      <c r="O95" s="33"/>
      <c r="P95" s="33"/>
      <c r="Q95" s="33"/>
    </row>
    <row r="96" spans="1:17">
      <c r="A96" s="11"/>
      <c r="B96" s="11"/>
      <c r="C96" s="11"/>
      <c r="D96" s="33"/>
      <c r="E96" s="33"/>
      <c r="F96" s="33"/>
      <c r="G96" s="33"/>
      <c r="H96" s="33"/>
      <c r="I96" s="33"/>
      <c r="J96" s="33"/>
      <c r="K96" s="33"/>
      <c r="L96" s="33"/>
      <c r="M96" s="33"/>
      <c r="N96" s="33"/>
      <c r="O96" s="33"/>
      <c r="P96" s="33"/>
      <c r="Q96" s="33"/>
    </row>
    <row r="97" spans="1:17">
      <c r="A97" s="11"/>
      <c r="B97" s="11"/>
      <c r="C97" s="11"/>
      <c r="D97" s="33"/>
      <c r="E97" s="33"/>
      <c r="F97" s="33"/>
      <c r="G97" s="33"/>
      <c r="H97" s="33"/>
      <c r="I97" s="33"/>
      <c r="J97" s="33"/>
      <c r="K97" s="33"/>
      <c r="L97" s="33"/>
      <c r="M97" s="33"/>
      <c r="N97" s="33"/>
      <c r="O97" s="33"/>
      <c r="P97" s="33"/>
      <c r="Q97" s="33"/>
    </row>
    <row r="98" spans="1:17">
      <c r="A98" s="51" t="s">
        <v>883</v>
      </c>
      <c r="B98" s="51"/>
      <c r="C98" s="51"/>
      <c r="D98" s="56"/>
      <c r="E98" s="56"/>
      <c r="F98" s="56"/>
      <c r="G98" s="56"/>
      <c r="H98" s="56"/>
      <c r="I98" s="56"/>
      <c r="J98" s="56"/>
      <c r="K98" s="56"/>
      <c r="L98" s="56"/>
      <c r="M98" s="56"/>
      <c r="N98" s="56"/>
      <c r="O98" s="56"/>
      <c r="P98" s="56"/>
      <c r="Q98" s="56"/>
    </row>
    <row r="99" spans="1:17">
      <c r="A99" s="11"/>
      <c r="B99" s="22" t="s">
        <v>683</v>
      </c>
      <c r="C99" s="22" t="s">
        <v>27</v>
      </c>
      <c r="D99" s="22" t="s">
        <v>29</v>
      </c>
      <c r="E99" s="33"/>
      <c r="F99" s="33"/>
      <c r="G99" s="33"/>
      <c r="H99" s="33"/>
      <c r="I99" s="33"/>
      <c r="J99" s="33"/>
      <c r="K99" s="33"/>
      <c r="L99" s="33"/>
      <c r="M99" s="33"/>
      <c r="N99" s="33"/>
      <c r="O99" s="33"/>
      <c r="P99" s="33"/>
      <c r="Q99" s="33"/>
    </row>
    <row r="100" spans="1:17">
      <c r="A100" s="11"/>
      <c r="B100" s="90">
        <v>8000</v>
      </c>
      <c r="C100" s="6">
        <v>0.229559057950974</v>
      </c>
      <c r="D100" s="63">
        <v>1.2633344672103</v>
      </c>
      <c r="E100" s="33"/>
      <c r="F100" s="33"/>
      <c r="G100" s="33"/>
      <c r="H100" s="33"/>
      <c r="I100" s="33"/>
      <c r="J100" s="33"/>
      <c r="K100" s="33"/>
      <c r="L100" s="33"/>
      <c r="M100" s="33"/>
      <c r="N100" s="33"/>
      <c r="O100" s="33"/>
      <c r="P100" s="33"/>
      <c r="Q100" s="33"/>
    </row>
    <row r="101" spans="1:17">
      <c r="A101" s="11"/>
      <c r="B101" s="90">
        <v>10000</v>
      </c>
      <c r="C101" s="6">
        <v>0.24824512600898699</v>
      </c>
      <c r="D101" s="63">
        <v>1.4173836880274999</v>
      </c>
      <c r="E101" s="33"/>
      <c r="F101" s="33"/>
      <c r="G101" s="33"/>
      <c r="H101" s="33"/>
      <c r="I101" s="33"/>
      <c r="J101" s="33"/>
      <c r="K101" s="33"/>
      <c r="L101" s="33"/>
      <c r="M101" s="33"/>
      <c r="N101" s="33"/>
      <c r="O101" s="33"/>
      <c r="P101" s="33"/>
      <c r="Q101" s="33"/>
    </row>
    <row r="102" spans="1:17">
      <c r="A102" s="11"/>
      <c r="B102" s="90">
        <v>12000</v>
      </c>
      <c r="C102" s="6">
        <v>0.26613886952400201</v>
      </c>
      <c r="D102" s="63">
        <v>1.5714329088447101</v>
      </c>
      <c r="E102" s="33"/>
      <c r="F102" s="33"/>
      <c r="G102" s="33"/>
      <c r="H102" s="33"/>
      <c r="I102" s="33"/>
      <c r="J102" s="33"/>
      <c r="K102" s="33"/>
      <c r="L102" s="33"/>
      <c r="M102" s="33"/>
      <c r="N102" s="33"/>
      <c r="O102" s="33"/>
      <c r="P102" s="33"/>
      <c r="Q102" s="33"/>
    </row>
    <row r="103" spans="1:17">
      <c r="A103" s="11"/>
      <c r="B103" s="90">
        <v>14000</v>
      </c>
      <c r="C103" s="6">
        <v>0.283363598585129</v>
      </c>
      <c r="D103" s="63">
        <v>1.7254821296619101</v>
      </c>
      <c r="E103" s="33"/>
      <c r="F103" s="33"/>
      <c r="G103" s="33"/>
      <c r="H103" s="33"/>
      <c r="I103" s="33"/>
      <c r="J103" s="33"/>
      <c r="K103" s="33"/>
      <c r="L103" s="33"/>
      <c r="M103" s="33"/>
      <c r="N103" s="33"/>
      <c r="O103" s="33"/>
      <c r="P103" s="33"/>
      <c r="Q103" s="33"/>
    </row>
    <row r="104" spans="1:17">
      <c r="A104" s="11"/>
      <c r="B104" s="90">
        <v>16000</v>
      </c>
      <c r="C104" s="6">
        <v>0.300016969442368</v>
      </c>
      <c r="D104" s="63">
        <v>1.87953135047912</v>
      </c>
      <c r="E104" s="33"/>
      <c r="F104" s="33"/>
      <c r="G104" s="33"/>
      <c r="H104" s="33"/>
      <c r="I104" s="33"/>
      <c r="J104" s="33"/>
      <c r="K104" s="33"/>
      <c r="L104" s="33"/>
      <c r="M104" s="33"/>
      <c r="N104" s="33"/>
      <c r="O104" s="33"/>
      <c r="P104" s="33"/>
      <c r="Q104" s="33"/>
    </row>
    <row r="105" spans="1:17">
      <c r="A105" s="11"/>
      <c r="B105" s="90">
        <v>18000</v>
      </c>
      <c r="C105" s="6">
        <v>0.31617762446403502</v>
      </c>
      <c r="D105" s="63">
        <v>2.0335805712963202</v>
      </c>
      <c r="E105" s="33"/>
      <c r="F105" s="33"/>
      <c r="G105" s="33"/>
      <c r="H105" s="33"/>
      <c r="I105" s="33"/>
      <c r="J105" s="33"/>
      <c r="K105" s="33"/>
      <c r="L105" s="33"/>
      <c r="M105" s="33"/>
      <c r="N105" s="33"/>
      <c r="O105" s="33"/>
      <c r="P105" s="33"/>
      <c r="Q105" s="33"/>
    </row>
    <row r="106" spans="1:17">
      <c r="A106" s="11"/>
      <c r="B106" s="11"/>
      <c r="C106" s="11"/>
      <c r="D106" s="33"/>
      <c r="E106" s="33"/>
      <c r="F106" s="33"/>
      <c r="G106" s="33"/>
      <c r="H106" s="33"/>
      <c r="I106" s="33"/>
      <c r="J106" s="33"/>
      <c r="K106" s="33"/>
      <c r="L106" s="33"/>
      <c r="M106" s="33"/>
      <c r="N106" s="33"/>
      <c r="O106" s="33"/>
      <c r="P106" s="33"/>
      <c r="Q106" s="33"/>
    </row>
    <row r="107" spans="1:17">
      <c r="A107" s="11"/>
      <c r="B107" s="1" t="s">
        <v>874</v>
      </c>
      <c r="C107" s="11"/>
      <c r="D107" s="33"/>
      <c r="E107" s="33"/>
      <c r="F107" s="33"/>
      <c r="G107" s="33"/>
      <c r="H107" s="33"/>
      <c r="I107" s="33"/>
      <c r="J107" s="33"/>
      <c r="K107" s="33"/>
      <c r="L107" s="33"/>
      <c r="M107" s="33"/>
      <c r="N107" s="33"/>
      <c r="O107" s="33"/>
      <c r="P107" s="33"/>
      <c r="Q107" s="33"/>
    </row>
    <row r="108" spans="1:17">
      <c r="A108" s="11"/>
      <c r="B108" s="11"/>
      <c r="C108" s="11"/>
      <c r="D108" s="33"/>
      <c r="E108" s="33"/>
      <c r="F108" s="33"/>
      <c r="G108" s="33"/>
      <c r="H108" s="33"/>
      <c r="I108" s="33"/>
      <c r="J108" s="33"/>
      <c r="K108" s="33"/>
      <c r="L108" s="33"/>
      <c r="M108" s="33"/>
      <c r="N108" s="33"/>
      <c r="O108" s="33"/>
      <c r="P108" s="33"/>
      <c r="Q108" s="33"/>
    </row>
    <row r="109" spans="1:17">
      <c r="A109" s="18" t="s">
        <v>1461</v>
      </c>
      <c r="B109" s="18"/>
      <c r="C109" s="18"/>
      <c r="D109" s="39"/>
      <c r="E109" s="39"/>
      <c r="F109" s="39"/>
      <c r="G109" s="39"/>
      <c r="H109" s="39"/>
      <c r="I109" s="39"/>
      <c r="J109" s="39"/>
      <c r="K109" s="39"/>
      <c r="L109" s="39"/>
      <c r="M109" s="39"/>
      <c r="N109" s="39"/>
      <c r="O109" s="39"/>
      <c r="P109" s="39"/>
      <c r="Q109" s="39"/>
    </row>
    <row r="110" spans="1:17">
      <c r="A110" s="11"/>
      <c r="B110" s="11" t="s">
        <v>1462</v>
      </c>
      <c r="C110" s="92">
        <f>'14 Market Study'!$D$98</f>
        <v>500000</v>
      </c>
      <c r="D110" s="10" t="s">
        <v>68</v>
      </c>
      <c r="E110" s="33"/>
      <c r="F110" s="33"/>
      <c r="G110" s="33"/>
      <c r="H110" s="33"/>
      <c r="I110" s="33"/>
      <c r="J110" s="33"/>
      <c r="K110" s="33"/>
      <c r="L110" s="33"/>
      <c r="M110" s="33"/>
      <c r="N110" s="33"/>
      <c r="O110" s="33"/>
      <c r="P110" s="33"/>
      <c r="Q110" s="33"/>
    </row>
    <row r="111" spans="1:17">
      <c r="A111" s="11"/>
      <c r="B111" s="11" t="s">
        <v>1463</v>
      </c>
      <c r="C111" s="92">
        <f>'14 Market Study'!$D$68</f>
        <v>25754.999999999996</v>
      </c>
      <c r="D111" s="10" t="s">
        <v>68</v>
      </c>
      <c r="E111" s="33"/>
      <c r="F111" s="33"/>
      <c r="G111" s="33"/>
      <c r="H111" s="33"/>
      <c r="I111" s="33"/>
      <c r="J111" s="33"/>
      <c r="K111" s="33"/>
      <c r="L111" s="33"/>
      <c r="M111" s="33"/>
      <c r="N111" s="33"/>
      <c r="O111" s="33"/>
      <c r="P111" s="33"/>
      <c r="Q111" s="33"/>
    </row>
    <row r="112" spans="1:17">
      <c r="A112" s="11"/>
      <c r="B112" s="11" t="s">
        <v>1325</v>
      </c>
      <c r="C112" s="16">
        <f>'14 Market Study'!$D$70</f>
        <v>0.55000000000000004</v>
      </c>
      <c r="D112" s="43"/>
      <c r="E112" s="33"/>
      <c r="F112" s="33"/>
      <c r="G112" s="33"/>
      <c r="H112" s="33"/>
      <c r="I112" s="33"/>
      <c r="J112" s="33"/>
      <c r="K112" s="33"/>
      <c r="L112" s="33"/>
      <c r="M112" s="33"/>
      <c r="N112" s="33"/>
      <c r="O112" s="33"/>
      <c r="P112" s="33"/>
      <c r="Q112" s="33"/>
    </row>
    <row r="113" spans="1:17">
      <c r="A113" s="11"/>
      <c r="B113" s="11" t="s">
        <v>1332</v>
      </c>
      <c r="C113" s="92">
        <f>'01 Major Assumptions'!$D$33</f>
        <v>40920</v>
      </c>
      <c r="D113" s="10" t="s">
        <v>68</v>
      </c>
      <c r="E113" s="33"/>
      <c r="F113" s="33"/>
      <c r="G113" s="33"/>
      <c r="H113" s="33"/>
      <c r="I113" s="33"/>
      <c r="J113" s="33"/>
      <c r="K113" s="33"/>
      <c r="L113" s="33"/>
      <c r="M113" s="33"/>
      <c r="N113" s="33"/>
      <c r="O113" s="33"/>
      <c r="P113" s="33"/>
      <c r="Q113" s="33"/>
    </row>
    <row r="114" spans="1:17">
      <c r="A114" s="11"/>
      <c r="B114" s="11" t="s">
        <v>1464</v>
      </c>
      <c r="C114" s="16">
        <f>'01 Major Assumptions'!$D$195</f>
        <v>0.98</v>
      </c>
      <c r="D114" s="43"/>
      <c r="E114" s="33"/>
      <c r="F114" s="33"/>
      <c r="G114" s="33"/>
      <c r="H114" s="33"/>
      <c r="I114" s="33"/>
      <c r="J114" s="33"/>
      <c r="K114" s="33"/>
      <c r="L114" s="33"/>
      <c r="M114" s="33"/>
      <c r="N114" s="33"/>
      <c r="O114" s="33"/>
      <c r="P114" s="33"/>
      <c r="Q114" s="33"/>
    </row>
    <row r="115" spans="1:17">
      <c r="A115" s="11"/>
      <c r="B115" s="11"/>
      <c r="C115" s="11"/>
      <c r="D115" s="33"/>
      <c r="E115" s="33"/>
      <c r="F115" s="33"/>
      <c r="G115" s="33"/>
      <c r="H115" s="33"/>
      <c r="I115" s="33"/>
      <c r="J115" s="33"/>
      <c r="K115" s="33"/>
      <c r="L115" s="33"/>
      <c r="M115" s="33"/>
      <c r="N115" s="33"/>
      <c r="O115" s="33"/>
      <c r="P115" s="33"/>
      <c r="Q115" s="33"/>
    </row>
    <row r="116" spans="1:17">
      <c r="A116" s="11"/>
      <c r="B116" s="22" t="s">
        <v>1465</v>
      </c>
      <c r="C116" s="11"/>
      <c r="D116" s="33"/>
      <c r="E116" s="33"/>
      <c r="F116" s="33"/>
      <c r="G116" s="33"/>
      <c r="H116" s="33"/>
      <c r="I116" s="33"/>
      <c r="J116" s="33"/>
      <c r="K116" s="33"/>
      <c r="L116" s="33"/>
      <c r="M116" s="33"/>
      <c r="N116" s="33"/>
      <c r="O116" s="33"/>
      <c r="P116" s="33"/>
      <c r="Q116" s="33"/>
    </row>
    <row r="117" spans="1:17">
      <c r="A117" s="11"/>
      <c r="B117" s="22" t="s">
        <v>1466</v>
      </c>
      <c r="C117" s="65">
        <v>0.3</v>
      </c>
      <c r="D117" s="65">
        <v>0.35</v>
      </c>
      <c r="E117" s="65">
        <v>0.4</v>
      </c>
      <c r="F117" s="65">
        <v>0.45</v>
      </c>
      <c r="G117" s="65">
        <v>0.5</v>
      </c>
      <c r="H117" s="33"/>
      <c r="I117" s="33"/>
      <c r="J117" s="33"/>
      <c r="K117" s="33"/>
      <c r="L117" s="33"/>
      <c r="M117" s="33"/>
      <c r="N117" s="33"/>
      <c r="O117" s="33"/>
      <c r="P117" s="33"/>
      <c r="Q117" s="33"/>
    </row>
    <row r="118" spans="1:17">
      <c r="A118" s="11"/>
      <c r="B118" s="65">
        <v>0.45</v>
      </c>
      <c r="C118" s="6">
        <f t="shared" ref="C118:G122" si="1">MIN($C$114,(($C$110*$C$112*$B118)+$C$111)*C$117/$C$113)</f>
        <v>0.98</v>
      </c>
      <c r="D118" s="6">
        <f t="shared" si="1"/>
        <v>0.98</v>
      </c>
      <c r="E118" s="6">
        <f t="shared" si="1"/>
        <v>0.98</v>
      </c>
      <c r="F118" s="6">
        <f t="shared" si="1"/>
        <v>0.98</v>
      </c>
      <c r="G118" s="6">
        <f t="shared" si="1"/>
        <v>0.98</v>
      </c>
      <c r="H118" s="33"/>
      <c r="I118" s="33"/>
      <c r="J118" s="33"/>
      <c r="K118" s="33"/>
      <c r="L118" s="33"/>
      <c r="M118" s="33"/>
      <c r="N118" s="33"/>
      <c r="O118" s="33"/>
      <c r="P118" s="33"/>
      <c r="Q118" s="33"/>
    </row>
    <row r="119" spans="1:17">
      <c r="A119" s="11"/>
      <c r="B119" s="65">
        <v>0.52500000000000002</v>
      </c>
      <c r="C119" s="6">
        <f t="shared" si="1"/>
        <v>0.98</v>
      </c>
      <c r="D119" s="6">
        <f t="shared" si="1"/>
        <v>0.98</v>
      </c>
      <c r="E119" s="6">
        <f t="shared" si="1"/>
        <v>0.98</v>
      </c>
      <c r="F119" s="6">
        <f t="shared" si="1"/>
        <v>0.98</v>
      </c>
      <c r="G119" s="6">
        <f t="shared" si="1"/>
        <v>0.98</v>
      </c>
      <c r="H119" s="33"/>
      <c r="I119" s="33"/>
      <c r="J119" s="33"/>
      <c r="K119" s="33"/>
      <c r="L119" s="33"/>
      <c r="M119" s="33"/>
      <c r="N119" s="33"/>
      <c r="O119" s="33"/>
      <c r="P119" s="33"/>
      <c r="Q119" s="33"/>
    </row>
    <row r="120" spans="1:17">
      <c r="A120" s="11"/>
      <c r="B120" s="65">
        <v>0.6</v>
      </c>
      <c r="C120" s="6">
        <f t="shared" si="1"/>
        <v>0.98</v>
      </c>
      <c r="D120" s="6">
        <f t="shared" si="1"/>
        <v>0.98</v>
      </c>
      <c r="E120" s="77">
        <f t="shared" si="1"/>
        <v>0.98</v>
      </c>
      <c r="F120" s="6">
        <f t="shared" si="1"/>
        <v>0.98</v>
      </c>
      <c r="G120" s="6">
        <f t="shared" si="1"/>
        <v>0.98</v>
      </c>
      <c r="H120" s="33"/>
      <c r="I120" s="33"/>
      <c r="J120" s="33"/>
      <c r="K120" s="33"/>
      <c r="L120" s="33"/>
      <c r="M120" s="33"/>
      <c r="N120" s="33"/>
      <c r="O120" s="33"/>
      <c r="P120" s="33"/>
      <c r="Q120" s="33"/>
    </row>
    <row r="121" spans="1:17">
      <c r="A121" s="11"/>
      <c r="B121" s="65">
        <v>0.67500000000000004</v>
      </c>
      <c r="C121" s="6">
        <f t="shared" si="1"/>
        <v>0.98</v>
      </c>
      <c r="D121" s="6">
        <f t="shared" si="1"/>
        <v>0.98</v>
      </c>
      <c r="E121" s="6">
        <f t="shared" si="1"/>
        <v>0.98</v>
      </c>
      <c r="F121" s="6">
        <f t="shared" si="1"/>
        <v>0.98</v>
      </c>
      <c r="G121" s="6">
        <f t="shared" si="1"/>
        <v>0.98</v>
      </c>
      <c r="H121" s="33"/>
      <c r="I121" s="33"/>
      <c r="J121" s="33"/>
      <c r="K121" s="33"/>
      <c r="L121" s="33"/>
      <c r="M121" s="33"/>
      <c r="N121" s="33"/>
      <c r="O121" s="33"/>
      <c r="P121" s="33"/>
      <c r="Q121" s="33"/>
    </row>
    <row r="122" spans="1:17">
      <c r="A122" s="11"/>
      <c r="B122" s="65">
        <v>0.75</v>
      </c>
      <c r="C122" s="6">
        <f t="shared" si="1"/>
        <v>0.98</v>
      </c>
      <c r="D122" s="6">
        <f t="shared" si="1"/>
        <v>0.98</v>
      </c>
      <c r="E122" s="6">
        <f t="shared" si="1"/>
        <v>0.98</v>
      </c>
      <c r="F122" s="6">
        <f t="shared" si="1"/>
        <v>0.98</v>
      </c>
      <c r="G122" s="6">
        <f t="shared" si="1"/>
        <v>0.98</v>
      </c>
      <c r="H122" s="33"/>
      <c r="I122" s="33"/>
      <c r="J122" s="33"/>
      <c r="K122" s="33"/>
      <c r="L122" s="33"/>
      <c r="M122" s="33"/>
      <c r="N122" s="33"/>
      <c r="O122" s="33"/>
      <c r="P122" s="33"/>
      <c r="Q122" s="33"/>
    </row>
    <row r="123" spans="1:17">
      <c r="A123" s="11"/>
      <c r="B123" s="11"/>
      <c r="C123" s="11"/>
      <c r="D123" s="33"/>
      <c r="E123" s="33"/>
      <c r="F123" s="33"/>
      <c r="G123" s="33"/>
      <c r="H123" s="33"/>
      <c r="I123" s="33"/>
      <c r="J123" s="33"/>
      <c r="K123" s="33"/>
      <c r="L123" s="33"/>
      <c r="M123" s="33"/>
      <c r="N123" s="33"/>
      <c r="O123" s="33"/>
      <c r="P123" s="33"/>
      <c r="Q123" s="33"/>
    </row>
    <row r="124" spans="1:17">
      <c r="A124" s="11"/>
      <c r="B124" s="22" t="s">
        <v>1467</v>
      </c>
      <c r="C124" s="11"/>
      <c r="D124" s="33"/>
      <c r="E124" s="33"/>
      <c r="F124" s="33"/>
      <c r="G124" s="33"/>
      <c r="H124" s="33"/>
      <c r="I124" s="33"/>
      <c r="J124" s="33"/>
      <c r="K124" s="33"/>
      <c r="L124" s="33"/>
      <c r="M124" s="33"/>
      <c r="N124" s="33"/>
      <c r="O124" s="33"/>
      <c r="P124" s="33"/>
      <c r="Q124" s="33"/>
    </row>
    <row r="125" spans="1:17">
      <c r="A125" s="11"/>
      <c r="B125" s="22" t="s">
        <v>1468</v>
      </c>
      <c r="C125" s="22" t="s">
        <v>27</v>
      </c>
      <c r="D125" s="22" t="s">
        <v>28</v>
      </c>
      <c r="E125" s="22" t="s">
        <v>29</v>
      </c>
      <c r="F125" s="22" t="s">
        <v>1469</v>
      </c>
      <c r="G125" s="33"/>
      <c r="H125" s="33"/>
      <c r="I125" s="33"/>
      <c r="J125" s="33"/>
      <c r="K125" s="33"/>
      <c r="L125" s="33"/>
      <c r="M125" s="33"/>
      <c r="N125" s="33"/>
      <c r="O125" s="33"/>
      <c r="P125" s="33"/>
      <c r="Q125" s="33"/>
    </row>
    <row r="126" spans="1:17">
      <c r="A126" s="11"/>
      <c r="B126" s="79">
        <v>0.98</v>
      </c>
      <c r="C126" s="6">
        <v>0.22700000000000001</v>
      </c>
      <c r="D126" s="6">
        <v>0.155</v>
      </c>
      <c r="E126" s="63">
        <v>1.36</v>
      </c>
      <c r="F126" s="11" t="str">
        <f t="shared" ref="F126:F132" si="2">IF(E126&gt;=1.2,"Pass","BREACH")</f>
        <v>Pass</v>
      </c>
      <c r="G126" s="33"/>
      <c r="H126" s="33"/>
      <c r="I126" s="33"/>
      <c r="J126" s="33"/>
      <c r="K126" s="33"/>
      <c r="L126" s="33"/>
      <c r="M126" s="33"/>
      <c r="N126" s="33"/>
      <c r="O126" s="33"/>
      <c r="P126" s="33"/>
      <c r="Q126" s="33"/>
    </row>
    <row r="127" spans="1:17">
      <c r="A127" s="11"/>
      <c r="B127" s="6">
        <v>0.85</v>
      </c>
      <c r="C127" s="6">
        <v>0.19700000000000001</v>
      </c>
      <c r="D127" s="6">
        <v>0.124</v>
      </c>
      <c r="E127" s="63">
        <v>1.1499999999999999</v>
      </c>
      <c r="F127" s="11" t="str">
        <f t="shared" si="2"/>
        <v>BREACH</v>
      </c>
      <c r="G127" s="33"/>
      <c r="H127" s="33"/>
      <c r="I127" s="33"/>
      <c r="J127" s="33"/>
      <c r="K127" s="33"/>
      <c r="L127" s="33"/>
      <c r="M127" s="33"/>
      <c r="N127" s="33"/>
      <c r="O127" s="33"/>
      <c r="P127" s="33"/>
      <c r="Q127" s="33"/>
    </row>
    <row r="128" spans="1:17">
      <c r="A128" s="11"/>
      <c r="B128" s="6">
        <v>0.75</v>
      </c>
      <c r="C128" s="6">
        <v>0.17100000000000001</v>
      </c>
      <c r="D128" s="6">
        <v>9.5000000000000001E-2</v>
      </c>
      <c r="E128" s="63">
        <v>0.97</v>
      </c>
      <c r="F128" s="11" t="str">
        <f t="shared" si="2"/>
        <v>BREACH</v>
      </c>
      <c r="G128" s="33"/>
      <c r="H128" s="33"/>
      <c r="I128" s="33"/>
      <c r="J128" s="33"/>
      <c r="K128" s="33"/>
      <c r="L128" s="33"/>
      <c r="M128" s="33"/>
      <c r="N128" s="33"/>
      <c r="O128" s="33"/>
      <c r="P128" s="33"/>
      <c r="Q128" s="33"/>
    </row>
    <row r="129" spans="1:17">
      <c r="A129" s="11"/>
      <c r="B129" s="6">
        <v>0.65</v>
      </c>
      <c r="C129" s="6">
        <v>0.14199999999999999</v>
      </c>
      <c r="D129" s="6">
        <v>6.0999999999999999E-2</v>
      </c>
      <c r="E129" s="63">
        <v>0.78</v>
      </c>
      <c r="F129" s="11" t="str">
        <f t="shared" si="2"/>
        <v>BREACH</v>
      </c>
      <c r="G129" s="33"/>
      <c r="H129" s="33"/>
      <c r="I129" s="33"/>
      <c r="J129" s="33"/>
      <c r="K129" s="33"/>
      <c r="L129" s="33"/>
      <c r="M129" s="33"/>
      <c r="N129" s="33"/>
      <c r="O129" s="33"/>
      <c r="P129" s="33"/>
      <c r="Q129" s="33"/>
    </row>
    <row r="130" spans="1:17">
      <c r="A130" s="11"/>
      <c r="B130" s="6">
        <v>0.55000000000000004</v>
      </c>
      <c r="C130" s="6">
        <v>0.11</v>
      </c>
      <c r="D130" s="6">
        <v>1.9E-2</v>
      </c>
      <c r="E130" s="63">
        <v>0.59</v>
      </c>
      <c r="F130" s="11" t="str">
        <f t="shared" si="2"/>
        <v>BREACH</v>
      </c>
      <c r="G130" s="33"/>
      <c r="H130" s="33"/>
      <c r="I130" s="33"/>
      <c r="J130" s="33"/>
      <c r="K130" s="33"/>
      <c r="L130" s="33"/>
      <c r="M130" s="33"/>
      <c r="N130" s="33"/>
      <c r="O130" s="33"/>
      <c r="P130" s="33"/>
      <c r="Q130" s="33"/>
    </row>
    <row r="131" spans="1:17">
      <c r="A131" s="11"/>
      <c r="B131" s="6">
        <v>0.5</v>
      </c>
      <c r="C131" s="6">
        <v>9.0999999999999998E-2</v>
      </c>
      <c r="D131" s="6">
        <v>0</v>
      </c>
      <c r="E131" s="63">
        <v>0.5</v>
      </c>
      <c r="F131" s="11" t="str">
        <f t="shared" si="2"/>
        <v>BREACH</v>
      </c>
      <c r="G131" s="33"/>
      <c r="H131" s="33"/>
      <c r="I131" s="33"/>
      <c r="J131" s="33"/>
      <c r="K131" s="33"/>
      <c r="L131" s="33"/>
      <c r="M131" s="33"/>
      <c r="N131" s="33"/>
      <c r="O131" s="33"/>
      <c r="P131" s="33"/>
      <c r="Q131" s="33"/>
    </row>
    <row r="132" spans="1:17">
      <c r="A132" s="11"/>
      <c r="B132" s="6">
        <v>0.45</v>
      </c>
      <c r="C132" s="6">
        <v>7.0000000000000007E-2</v>
      </c>
      <c r="D132" s="6">
        <v>0</v>
      </c>
      <c r="E132" s="63">
        <v>0.41</v>
      </c>
      <c r="F132" s="11" t="str">
        <f t="shared" si="2"/>
        <v>BREACH</v>
      </c>
      <c r="G132" s="33"/>
      <c r="H132" s="33"/>
      <c r="I132" s="33"/>
      <c r="J132" s="33"/>
      <c r="K132" s="33"/>
      <c r="L132" s="33"/>
      <c r="M132" s="33"/>
      <c r="N132" s="33"/>
      <c r="O132" s="33"/>
      <c r="P132" s="33"/>
      <c r="Q132" s="33"/>
    </row>
    <row r="133" spans="1:17">
      <c r="A133" s="11"/>
      <c r="B133" s="11"/>
      <c r="C133" s="11"/>
      <c r="D133" s="33"/>
      <c r="E133" s="33"/>
      <c r="F133" s="33"/>
      <c r="G133" s="33"/>
      <c r="H133" s="33"/>
      <c r="I133" s="33"/>
      <c r="J133" s="33"/>
      <c r="K133" s="33"/>
      <c r="L133" s="33"/>
      <c r="M133" s="33"/>
      <c r="N133" s="33"/>
      <c r="O133" s="33"/>
      <c r="P133" s="33"/>
      <c r="Q133" s="33"/>
    </row>
    <row r="134" spans="1:17">
      <c r="A134" s="11"/>
      <c r="B134" s="22" t="s">
        <v>1470</v>
      </c>
      <c r="C134" s="65">
        <f>0.87</f>
        <v>0.87</v>
      </c>
      <c r="D134" s="33"/>
      <c r="E134" s="33"/>
      <c r="F134" s="33"/>
      <c r="G134" s="33"/>
      <c r="H134" s="33"/>
      <c r="I134" s="33"/>
      <c r="J134" s="33"/>
      <c r="K134" s="33"/>
      <c r="L134" s="33"/>
      <c r="M134" s="33"/>
      <c r="N134" s="33"/>
      <c r="O134" s="33"/>
      <c r="P134" s="33"/>
      <c r="Q134" s="33"/>
    </row>
    <row r="135" spans="1:17">
      <c r="A135" s="11"/>
      <c r="B135" s="22" t="s">
        <v>1471</v>
      </c>
      <c r="C135" s="65">
        <f>0.77</f>
        <v>0.77</v>
      </c>
      <c r="D135" s="33"/>
      <c r="E135" s="33"/>
      <c r="F135" s="33"/>
      <c r="G135" s="33"/>
      <c r="H135" s="33"/>
      <c r="I135" s="33"/>
      <c r="J135" s="33"/>
      <c r="K135" s="33"/>
      <c r="L135" s="33"/>
      <c r="M135" s="33"/>
      <c r="N135" s="33"/>
      <c r="O135" s="33"/>
      <c r="P135" s="33"/>
      <c r="Q135" s="33"/>
    </row>
    <row r="136" spans="1:17">
      <c r="A136" s="11"/>
      <c r="B136" s="22" t="s">
        <v>1472</v>
      </c>
      <c r="C136" s="65">
        <f>0.56</f>
        <v>0.56000000000000005</v>
      </c>
      <c r="D136" s="33"/>
      <c r="E136" s="33"/>
      <c r="F136" s="33"/>
      <c r="G136" s="33"/>
      <c r="H136" s="33"/>
      <c r="I136" s="33"/>
      <c r="J136" s="33"/>
      <c r="K136" s="33"/>
      <c r="L136" s="33"/>
      <c r="M136" s="33"/>
      <c r="N136" s="33"/>
      <c r="O136" s="33"/>
      <c r="P136" s="33"/>
      <c r="Q136" s="33"/>
    </row>
    <row r="137" spans="1:17">
      <c r="A137" s="11"/>
      <c r="B137" s="22" t="s">
        <v>1473</v>
      </c>
      <c r="C137" s="65">
        <f>E120</f>
        <v>0.98</v>
      </c>
      <c r="D137" s="33"/>
      <c r="E137" s="33"/>
      <c r="F137" s="33"/>
      <c r="G137" s="33"/>
      <c r="H137" s="33"/>
      <c r="I137" s="33"/>
      <c r="J137" s="33"/>
      <c r="K137" s="33"/>
      <c r="L137" s="33"/>
      <c r="M137" s="33"/>
      <c r="N137" s="33"/>
      <c r="O137" s="33"/>
      <c r="P137" s="33"/>
      <c r="Q137" s="33"/>
    </row>
    <row r="138" spans="1:17">
      <c r="A138" s="11"/>
      <c r="B138" s="22" t="s">
        <v>1474</v>
      </c>
      <c r="C138" s="65">
        <f>C137-C134</f>
        <v>0.10999999999999999</v>
      </c>
      <c r="D138" s="33"/>
      <c r="E138" s="33"/>
      <c r="F138" s="33"/>
      <c r="G138" s="33"/>
      <c r="H138" s="33"/>
      <c r="I138" s="33"/>
      <c r="J138" s="33"/>
      <c r="K138" s="33"/>
      <c r="L138" s="33"/>
      <c r="M138" s="33"/>
      <c r="N138" s="33"/>
      <c r="O138" s="33"/>
      <c r="P138" s="33"/>
      <c r="Q138" s="33"/>
    </row>
    <row r="139" spans="1:17">
      <c r="A139" s="11"/>
      <c r="B139" s="38" t="s">
        <v>1475</v>
      </c>
      <c r="C139" s="11"/>
      <c r="D139" s="33"/>
      <c r="E139" s="33"/>
      <c r="F139" s="33"/>
      <c r="G139" s="33"/>
      <c r="H139" s="33"/>
      <c r="I139" s="33"/>
      <c r="J139" s="33"/>
      <c r="K139" s="33"/>
      <c r="L139" s="33"/>
      <c r="M139" s="33"/>
      <c r="N139" s="33"/>
      <c r="O139" s="33"/>
      <c r="P139" s="33"/>
      <c r="Q139" s="33"/>
    </row>
    <row r="140" spans="1:17">
      <c r="A140" s="11"/>
      <c r="B140" s="1" t="s">
        <v>1476</v>
      </c>
      <c r="C140" s="11"/>
      <c r="D140" s="33"/>
      <c r="E140" s="33"/>
      <c r="F140" s="33"/>
      <c r="G140" s="33"/>
      <c r="H140" s="33"/>
      <c r="I140" s="33"/>
      <c r="J140" s="33"/>
      <c r="K140" s="33"/>
      <c r="L140" s="33"/>
      <c r="M140" s="33"/>
      <c r="N140" s="33"/>
      <c r="O140" s="33"/>
      <c r="P140" s="33"/>
      <c r="Q140" s="33"/>
    </row>
    <row r="141" spans="1:17">
      <c r="A141" s="11"/>
      <c r="B141" s="11"/>
      <c r="C141" s="11"/>
      <c r="D141" s="33"/>
      <c r="E141" s="33"/>
      <c r="F141" s="33"/>
      <c r="G141" s="33"/>
      <c r="H141" s="33"/>
      <c r="I141" s="33"/>
      <c r="J141" s="33"/>
      <c r="K141" s="33"/>
      <c r="L141" s="33"/>
      <c r="M141" s="33"/>
      <c r="N141" s="33"/>
      <c r="O141" s="33"/>
      <c r="P141" s="33"/>
      <c r="Q141" s="33"/>
    </row>
    <row r="142" spans="1:17">
      <c r="A142" s="18" t="s">
        <v>1799</v>
      </c>
      <c r="B142" s="18"/>
      <c r="C142" s="18"/>
      <c r="D142" s="39"/>
      <c r="E142" s="39"/>
      <c r="F142" s="39"/>
      <c r="G142" s="39"/>
      <c r="H142" s="39"/>
      <c r="I142" s="39"/>
      <c r="J142" s="39"/>
      <c r="K142" s="39"/>
      <c r="L142" s="39"/>
      <c r="M142" s="39"/>
      <c r="N142" s="39"/>
      <c r="O142" s="39"/>
      <c r="P142" s="39"/>
      <c r="Q142" s="39"/>
    </row>
    <row r="143" spans="1:17">
      <c r="A143" s="11"/>
      <c r="B143" s="1" t="s">
        <v>1810</v>
      </c>
      <c r="C143" s="11"/>
      <c r="D143" s="33"/>
      <c r="E143" s="33"/>
      <c r="F143" s="33"/>
      <c r="G143" s="33"/>
      <c r="H143" s="33"/>
      <c r="I143" s="33"/>
      <c r="J143" s="33"/>
      <c r="K143" s="33"/>
      <c r="L143" s="33"/>
      <c r="M143" s="33"/>
      <c r="N143" s="33"/>
      <c r="O143" s="33"/>
      <c r="P143" s="33"/>
      <c r="Q143" s="33"/>
    </row>
    <row r="144" spans="1:17">
      <c r="A144" s="11"/>
      <c r="B144" s="11"/>
      <c r="C144" s="11"/>
      <c r="D144" s="33"/>
      <c r="E144" s="33"/>
      <c r="F144" s="33"/>
      <c r="G144" s="33"/>
      <c r="H144" s="33"/>
      <c r="I144" s="33"/>
      <c r="J144" s="33"/>
      <c r="K144" s="33"/>
      <c r="L144" s="33"/>
      <c r="M144" s="33"/>
      <c r="N144" s="33"/>
      <c r="O144" s="33"/>
      <c r="P144" s="33"/>
      <c r="Q144" s="33"/>
    </row>
    <row r="145" spans="1:17">
      <c r="A145" s="11"/>
      <c r="B145" s="22" t="s">
        <v>1477</v>
      </c>
      <c r="C145" s="22" t="s">
        <v>1479</v>
      </c>
      <c r="D145" s="22" t="s">
        <v>27</v>
      </c>
      <c r="E145" s="22" t="s">
        <v>28</v>
      </c>
      <c r="F145" s="22" t="s">
        <v>29</v>
      </c>
      <c r="G145" s="22" t="s">
        <v>1480</v>
      </c>
      <c r="H145" s="22" t="s">
        <v>1469</v>
      </c>
      <c r="I145" s="33"/>
      <c r="J145" s="33"/>
      <c r="K145" s="33"/>
      <c r="L145" s="33"/>
      <c r="M145" s="33"/>
      <c r="N145" s="33"/>
      <c r="O145" s="33"/>
      <c r="P145" s="33"/>
      <c r="Q145" s="33"/>
    </row>
    <row r="146" spans="1:17">
      <c r="A146" s="11"/>
      <c r="B146" s="52" t="s">
        <v>1656</v>
      </c>
      <c r="C146" s="90">
        <v>3059654963</v>
      </c>
      <c r="D146" s="6">
        <v>0.22800000000000001</v>
      </c>
      <c r="E146" s="6">
        <v>0.155</v>
      </c>
      <c r="F146" s="63">
        <v>1.36</v>
      </c>
      <c r="G146" s="90">
        <v>264319385</v>
      </c>
      <c r="H146" s="11" t="str">
        <f>IF(F146&gt;=1.2,"Pass","BREACH")</f>
        <v>Pass</v>
      </c>
      <c r="I146" s="33"/>
      <c r="J146" s="33"/>
      <c r="K146" s="33"/>
      <c r="L146" s="33"/>
      <c r="M146" s="33"/>
      <c r="N146" s="33"/>
      <c r="O146" s="33"/>
      <c r="P146" s="33"/>
      <c r="Q146" s="33"/>
    </row>
    <row r="147" spans="1:17">
      <c r="A147" s="11"/>
      <c r="B147" s="11" t="s">
        <v>1481</v>
      </c>
      <c r="C147" s="90">
        <v>2805544679</v>
      </c>
      <c r="D147" s="6">
        <v>0.21099999999999999</v>
      </c>
      <c r="E147" s="6">
        <v>0.13600000000000001</v>
      </c>
      <c r="F147" s="63">
        <v>1.21</v>
      </c>
      <c r="G147" s="90">
        <v>953252860</v>
      </c>
      <c r="H147" s="11" t="str">
        <f>IF(F147&gt;=1.2,"Pass","BREACH")</f>
        <v>Pass</v>
      </c>
      <c r="I147" s="33"/>
      <c r="J147" s="33"/>
      <c r="K147" s="33"/>
      <c r="L147" s="33"/>
      <c r="M147" s="33"/>
      <c r="N147" s="33"/>
      <c r="O147" s="33"/>
      <c r="P147" s="33"/>
      <c r="Q147" s="33"/>
    </row>
    <row r="148" spans="1:17">
      <c r="A148" s="11"/>
      <c r="B148" s="25" t="s">
        <v>1809</v>
      </c>
      <c r="C148" s="91">
        <v>3070010433</v>
      </c>
      <c r="D148" s="72">
        <v>0.22700000000000001</v>
      </c>
      <c r="E148" s="72">
        <v>0.155</v>
      </c>
      <c r="F148" s="64">
        <v>1.36</v>
      </c>
      <c r="G148" s="91">
        <v>264319385</v>
      </c>
      <c r="H148" s="25" t="str">
        <f>IF(F148&gt;=1.2,"Pass","BREACH")</f>
        <v>Pass</v>
      </c>
      <c r="I148" s="33"/>
      <c r="J148" s="33"/>
      <c r="K148" s="33"/>
      <c r="L148" s="33"/>
      <c r="M148" s="33"/>
      <c r="N148" s="33"/>
      <c r="O148" s="33"/>
      <c r="P148" s="33"/>
      <c r="Q148" s="33"/>
    </row>
    <row r="149" spans="1:17">
      <c r="A149" s="11"/>
      <c r="B149" s="11"/>
      <c r="C149" s="11"/>
      <c r="D149" s="33"/>
      <c r="E149" s="33"/>
      <c r="F149" s="33"/>
      <c r="G149" s="33"/>
      <c r="H149" s="33"/>
      <c r="I149" s="33"/>
      <c r="J149" s="33"/>
      <c r="K149" s="33"/>
      <c r="L149" s="33"/>
      <c r="M149" s="33"/>
      <c r="N149" s="33"/>
      <c r="O149" s="33"/>
      <c r="P149" s="33"/>
      <c r="Q149" s="33"/>
    </row>
    <row r="150" spans="1:17">
      <c r="A150" s="11"/>
      <c r="B150" s="11" t="s">
        <v>1657</v>
      </c>
      <c r="C150" s="11"/>
      <c r="D150" s="33"/>
      <c r="E150" s="33"/>
      <c r="F150" s="33"/>
      <c r="G150" s="33"/>
      <c r="H150" s="33"/>
      <c r="I150" s="33"/>
      <c r="J150" s="33"/>
      <c r="K150" s="33"/>
      <c r="L150" s="33"/>
      <c r="M150" s="33"/>
      <c r="N150" s="33"/>
      <c r="O150" s="33"/>
      <c r="P150" s="33"/>
      <c r="Q150" s="33"/>
    </row>
    <row r="151" spans="1:17">
      <c r="A151" s="11"/>
      <c r="B151" s="38" t="s">
        <v>1482</v>
      </c>
      <c r="C151" s="11"/>
      <c r="D151" s="33"/>
      <c r="E151" s="33"/>
      <c r="F151" s="33"/>
      <c r="G151" s="33"/>
      <c r="H151" s="33"/>
      <c r="I151" s="33"/>
      <c r="J151" s="33"/>
      <c r="K151" s="33"/>
      <c r="L151" s="33"/>
      <c r="M151" s="33"/>
      <c r="N151" s="33"/>
      <c r="O151" s="33"/>
      <c r="P151" s="33"/>
      <c r="Q151" s="33"/>
    </row>
    <row r="152" spans="1:17">
      <c r="A152" s="11"/>
      <c r="B152" s="36" t="s">
        <v>1483</v>
      </c>
      <c r="C152" s="11"/>
      <c r="D152" s="33"/>
      <c r="E152" s="33"/>
      <c r="F152" s="33"/>
      <c r="G152" s="33"/>
      <c r="H152" s="33"/>
      <c r="I152" s="33"/>
      <c r="J152" s="33"/>
      <c r="K152" s="33"/>
      <c r="L152" s="33"/>
      <c r="M152" s="33"/>
      <c r="N152" s="33"/>
      <c r="O152" s="33"/>
      <c r="P152" s="33"/>
      <c r="Q152" s="33"/>
    </row>
    <row r="153" spans="1:17">
      <c r="A153" s="11"/>
      <c r="B153" s="11"/>
      <c r="C153" s="11"/>
      <c r="D153" s="33"/>
      <c r="E153" s="33"/>
      <c r="F153" s="33"/>
      <c r="G153" s="33"/>
      <c r="H153" s="33"/>
      <c r="I153" s="33"/>
      <c r="J153" s="33"/>
      <c r="K153" s="33"/>
      <c r="L153" s="33"/>
      <c r="M153" s="33"/>
      <c r="N153" s="33"/>
      <c r="O153" s="33"/>
      <c r="P153" s="33"/>
      <c r="Q153" s="33"/>
    </row>
    <row r="154" spans="1:17">
      <c r="A154" s="11"/>
      <c r="B154" s="11"/>
      <c r="C154" s="11"/>
      <c r="D154" s="33"/>
      <c r="E154" s="33"/>
      <c r="F154" s="33"/>
      <c r="G154" s="33"/>
      <c r="H154" s="33"/>
      <c r="I154" s="33"/>
      <c r="J154" s="33"/>
      <c r="K154" s="33"/>
      <c r="L154" s="33"/>
      <c r="M154" s="33"/>
      <c r="N154" s="33"/>
      <c r="O154" s="33"/>
      <c r="P154" s="33"/>
      <c r="Q154" s="33"/>
    </row>
    <row r="155" spans="1:17">
      <c r="A155" s="11"/>
      <c r="B155" s="11"/>
      <c r="C155" s="11"/>
      <c r="D155" s="33"/>
      <c r="E155" s="33"/>
      <c r="F155" s="33"/>
      <c r="G155" s="33"/>
      <c r="H155" s="33"/>
      <c r="I155" s="33"/>
      <c r="J155" s="33"/>
      <c r="K155" s="33"/>
      <c r="L155" s="33"/>
      <c r="M155" s="33"/>
      <c r="N155" s="33"/>
      <c r="O155" s="33"/>
      <c r="P155" s="33"/>
      <c r="Q155" s="33"/>
    </row>
    <row r="156" spans="1:17">
      <c r="A156" s="11"/>
      <c r="B156" s="11"/>
      <c r="C156" s="11"/>
      <c r="D156" s="33"/>
      <c r="E156" s="33"/>
      <c r="F156" s="33"/>
      <c r="G156" s="33"/>
      <c r="H156" s="33"/>
      <c r="I156" s="33"/>
      <c r="J156" s="33"/>
      <c r="K156" s="33"/>
      <c r="L156" s="33"/>
      <c r="M156" s="33"/>
      <c r="N156" s="33"/>
      <c r="O156" s="33"/>
      <c r="P156" s="33"/>
      <c r="Q156" s="33"/>
    </row>
    <row r="157" spans="1:17">
      <c r="A157" s="11"/>
      <c r="B157" s="11"/>
      <c r="C157" s="11"/>
      <c r="D157" s="33"/>
      <c r="E157" s="33"/>
      <c r="F157" s="33"/>
      <c r="G157" s="33"/>
      <c r="H157" s="33"/>
      <c r="I157" s="33"/>
      <c r="J157" s="33"/>
      <c r="K157" s="33"/>
      <c r="L157" s="33"/>
      <c r="M157" s="33"/>
      <c r="N157" s="33"/>
      <c r="O157" s="33"/>
      <c r="P157" s="33"/>
      <c r="Q157" s="33"/>
    </row>
    <row r="158" spans="1:17">
      <c r="A158" s="11"/>
      <c r="B158" s="11"/>
      <c r="C158" s="11"/>
      <c r="D158" s="33"/>
      <c r="E158" s="33"/>
      <c r="F158" s="33"/>
      <c r="G158" s="33"/>
      <c r="H158" s="33"/>
      <c r="I158" s="33"/>
      <c r="J158" s="33"/>
      <c r="K158" s="33"/>
      <c r="L158" s="33"/>
      <c r="M158" s="33"/>
      <c r="N158" s="33"/>
      <c r="O158" s="33"/>
      <c r="P158" s="33"/>
      <c r="Q158" s="33"/>
    </row>
    <row r="159" spans="1:17">
      <c r="A159" s="11"/>
      <c r="B159" s="11"/>
      <c r="C159" s="11"/>
      <c r="D159" s="33"/>
      <c r="E159" s="33"/>
      <c r="F159" s="33"/>
      <c r="G159" s="33"/>
      <c r="H159" s="33"/>
      <c r="I159" s="33"/>
      <c r="J159" s="33"/>
      <c r="K159" s="33"/>
      <c r="L159" s="33"/>
      <c r="M159" s="33"/>
      <c r="N159" s="33"/>
      <c r="O159" s="33"/>
      <c r="P159" s="33"/>
      <c r="Q159" s="33"/>
    </row>
    <row r="160" spans="1:17">
      <c r="A160" s="11"/>
      <c r="B160" s="11"/>
      <c r="C160" s="11"/>
      <c r="D160" s="33"/>
      <c r="E160" s="33"/>
      <c r="F160" s="33"/>
      <c r="G160" s="33"/>
      <c r="H160" s="33"/>
      <c r="I160" s="33"/>
      <c r="J160" s="33"/>
      <c r="K160" s="33"/>
      <c r="L160" s="33"/>
      <c r="M160" s="33"/>
      <c r="N160" s="33"/>
      <c r="O160" s="33"/>
      <c r="P160" s="33"/>
      <c r="Q160" s="33"/>
    </row>
    <row r="161" spans="1:17">
      <c r="A161" s="11"/>
      <c r="B161" s="11"/>
      <c r="C161" s="11"/>
      <c r="D161" s="33"/>
      <c r="E161" s="33"/>
      <c r="F161" s="33"/>
      <c r="G161" s="33"/>
      <c r="H161" s="33"/>
      <c r="I161" s="33"/>
      <c r="J161" s="33"/>
      <c r="K161" s="33"/>
      <c r="L161" s="33"/>
      <c r="M161" s="33"/>
      <c r="N161" s="33"/>
      <c r="O161" s="33"/>
      <c r="P161" s="33"/>
      <c r="Q161" s="33"/>
    </row>
    <row r="162" spans="1:17">
      <c r="A162" s="11"/>
      <c r="B162" s="11"/>
      <c r="C162" s="11"/>
      <c r="D162" s="33"/>
      <c r="E162" s="33"/>
      <c r="F162" s="33"/>
      <c r="G162" s="33"/>
      <c r="H162" s="33"/>
      <c r="I162" s="33"/>
      <c r="J162" s="33"/>
      <c r="K162" s="33"/>
      <c r="L162" s="33"/>
      <c r="M162" s="33"/>
      <c r="N162" s="33"/>
      <c r="O162" s="33"/>
      <c r="P162" s="33"/>
      <c r="Q162" s="33"/>
    </row>
    <row r="163" spans="1:17">
      <c r="A163" s="11"/>
      <c r="B163" s="11"/>
      <c r="C163" s="11"/>
      <c r="D163" s="33"/>
      <c r="E163" s="33"/>
      <c r="F163" s="33"/>
      <c r="G163" s="33"/>
      <c r="H163" s="33"/>
      <c r="I163" s="33"/>
      <c r="J163" s="33"/>
      <c r="K163" s="33"/>
      <c r="L163" s="33"/>
      <c r="M163" s="33"/>
      <c r="N163" s="33"/>
      <c r="O163" s="33"/>
      <c r="P163" s="33"/>
      <c r="Q163" s="33"/>
    </row>
    <row r="164" spans="1:17">
      <c r="A164" s="11"/>
      <c r="B164" s="11"/>
      <c r="C164" s="11"/>
      <c r="D164" s="33"/>
      <c r="E164" s="33"/>
      <c r="F164" s="33"/>
      <c r="G164" s="33"/>
      <c r="H164" s="33"/>
      <c r="I164" s="33"/>
      <c r="J164" s="33"/>
      <c r="K164" s="33"/>
      <c r="L164" s="33"/>
      <c r="M164" s="33"/>
      <c r="N164" s="33"/>
      <c r="O164" s="33"/>
      <c r="P164" s="33"/>
      <c r="Q164" s="33"/>
    </row>
    <row r="165" spans="1:17">
      <c r="A165" s="11"/>
      <c r="B165" s="11"/>
      <c r="C165" s="11"/>
      <c r="D165" s="33"/>
      <c r="E165" s="33"/>
      <c r="F165" s="33"/>
      <c r="G165" s="33"/>
      <c r="H165" s="33"/>
      <c r="I165" s="33"/>
      <c r="J165" s="33"/>
      <c r="K165" s="33"/>
      <c r="L165" s="33"/>
      <c r="M165" s="33"/>
      <c r="N165" s="33"/>
      <c r="O165" s="33"/>
      <c r="P165" s="33"/>
      <c r="Q165" s="33"/>
    </row>
    <row r="166" spans="1:17">
      <c r="A166" s="11"/>
      <c r="B166" s="11"/>
      <c r="C166" s="11"/>
      <c r="D166" s="33"/>
      <c r="E166" s="33"/>
      <c r="F166" s="33"/>
      <c r="G166" s="33"/>
      <c r="H166" s="33"/>
      <c r="I166" s="33"/>
      <c r="J166" s="33"/>
      <c r="K166" s="33"/>
      <c r="L166" s="33"/>
      <c r="M166" s="33"/>
      <c r="N166" s="33"/>
      <c r="O166" s="33"/>
      <c r="P166" s="33"/>
      <c r="Q166" s="33"/>
    </row>
    <row r="167" spans="1:17">
      <c r="A167" s="11"/>
      <c r="B167" s="11"/>
      <c r="C167" s="11"/>
      <c r="D167" s="33"/>
      <c r="E167" s="33"/>
      <c r="F167" s="33"/>
      <c r="G167" s="33"/>
      <c r="H167" s="33"/>
      <c r="I167" s="33"/>
      <c r="J167" s="33"/>
      <c r="K167" s="33"/>
      <c r="L167" s="33"/>
      <c r="M167" s="33"/>
      <c r="N167" s="33"/>
      <c r="O167" s="33"/>
      <c r="P167" s="33"/>
      <c r="Q167" s="33"/>
    </row>
    <row r="200" spans="2:5">
      <c r="B200" s="9" t="s">
        <v>1811</v>
      </c>
    </row>
    <row r="201" spans="2:5">
      <c r="B201" s="9" t="s">
        <v>1644</v>
      </c>
      <c r="C201" s="9" t="s">
        <v>1812</v>
      </c>
      <c r="D201" s="42">
        <v>35000</v>
      </c>
      <c r="E201" s="42" t="s">
        <v>682</v>
      </c>
    </row>
    <row r="202" spans="2:5">
      <c r="B202" s="9" t="s">
        <v>30</v>
      </c>
      <c r="C202" s="9" t="s">
        <v>1813</v>
      </c>
      <c r="D202" s="42">
        <v>1</v>
      </c>
      <c r="E202" s="42" t="s">
        <v>1814</v>
      </c>
    </row>
    <row r="203" spans="2:5">
      <c r="B203" s="9" t="s">
        <v>30</v>
      </c>
      <c r="C203" s="9" t="s">
        <v>1815</v>
      </c>
      <c r="D203" s="42">
        <v>1</v>
      </c>
      <c r="E203" s="42" t="s">
        <v>647</v>
      </c>
    </row>
    <row r="204" spans="2:5">
      <c r="B204" s="9" t="s">
        <v>30</v>
      </c>
      <c r="C204" s="9" t="s">
        <v>1816</v>
      </c>
      <c r="D204" s="42">
        <v>1</v>
      </c>
      <c r="E204" s="42" t="s">
        <v>648</v>
      </c>
    </row>
    <row r="205" spans="2:5">
      <c r="B205" s="9" t="s">
        <v>30</v>
      </c>
      <c r="C205" s="9" t="s">
        <v>1817</v>
      </c>
      <c r="D205" s="42">
        <v>0.3</v>
      </c>
      <c r="E205" s="42" t="s">
        <v>664</v>
      </c>
    </row>
    <row r="206" spans="2:5">
      <c r="B206" s="9" t="s">
        <v>30</v>
      </c>
      <c r="C206" s="9" t="s">
        <v>1818</v>
      </c>
      <c r="D206" s="42">
        <v>341</v>
      </c>
      <c r="E206" s="42" t="s">
        <v>65</v>
      </c>
    </row>
    <row r="207" spans="2:5">
      <c r="B207" s="9" t="s">
        <v>30</v>
      </c>
      <c r="C207" s="9" t="s">
        <v>1819</v>
      </c>
      <c r="D207" s="42">
        <v>0.38</v>
      </c>
      <c r="E207" s="42" t="s">
        <v>663</v>
      </c>
    </row>
    <row r="208" spans="2:5">
      <c r="B208" s="9" t="s">
        <v>30</v>
      </c>
      <c r="C208" s="9" t="s">
        <v>1820</v>
      </c>
      <c r="D208" s="42">
        <v>0.98</v>
      </c>
      <c r="E208" s="42" t="s">
        <v>687</v>
      </c>
    </row>
    <row r="209" spans="2:5">
      <c r="B209" s="9" t="s">
        <v>30</v>
      </c>
      <c r="C209" s="9" t="s">
        <v>1821</v>
      </c>
      <c r="D209" s="42">
        <v>1</v>
      </c>
      <c r="E209" s="42" t="s">
        <v>762</v>
      </c>
    </row>
    <row r="210" spans="2:5">
      <c r="B210" s="9" t="s">
        <v>30</v>
      </c>
      <c r="C210" s="9" t="s">
        <v>1822</v>
      </c>
      <c r="D210" s="42">
        <v>7.0000000000000007E-2</v>
      </c>
      <c r="E210" s="42" t="s">
        <v>665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2877F2-8EB1-214E-B4B5-8EA8E47F8EF6}">
  <sheetPr>
    <tabColor rgb="FFC8E6C9"/>
  </sheetPr>
  <dimension ref="A1:BN68"/>
  <sheetViews>
    <sheetView workbookViewId="0">
      <selection activeCell="C39" sqref="C39"/>
    </sheetView>
  </sheetViews>
  <sheetFormatPr baseColWidth="10" defaultRowHeight="15"/>
  <cols>
    <col min="1" max="1" width="3.83203125" style="9" customWidth="1"/>
    <col min="2" max="2" width="58.33203125" style="9" customWidth="1"/>
    <col min="3" max="3" width="33.33203125" style="9" customWidth="1"/>
    <col min="4" max="5" width="17.5" style="42" customWidth="1"/>
    <col min="6" max="15" width="14" style="42" customWidth="1"/>
    <col min="16" max="66" width="14" style="34" customWidth="1"/>
  </cols>
  <sheetData>
    <row r="1" spans="1:15" ht="18">
      <c r="A1" s="21" t="s">
        <v>1678</v>
      </c>
      <c r="B1" s="11"/>
      <c r="C1" s="11"/>
      <c r="D1" s="33"/>
      <c r="E1" s="33"/>
      <c r="F1" s="33"/>
      <c r="G1" s="33"/>
      <c r="H1" s="33"/>
      <c r="I1" s="33"/>
      <c r="J1" s="33"/>
      <c r="K1" s="33"/>
      <c r="L1" s="33"/>
      <c r="M1" s="33"/>
      <c r="N1" s="33"/>
      <c r="O1" s="33"/>
    </row>
    <row r="2" spans="1:15" ht="16">
      <c r="A2" s="12" t="s">
        <v>1648</v>
      </c>
      <c r="B2" s="11"/>
      <c r="C2" s="11"/>
      <c r="D2" s="33"/>
      <c r="E2" s="33"/>
      <c r="F2" s="33"/>
      <c r="G2" s="33"/>
      <c r="H2" s="33"/>
      <c r="I2" s="33"/>
      <c r="J2" s="33"/>
      <c r="K2" s="33"/>
      <c r="L2" s="33"/>
      <c r="M2" s="33"/>
      <c r="N2" s="33"/>
      <c r="O2" s="33"/>
    </row>
    <row r="3" spans="1:15">
      <c r="A3" s="13" t="s">
        <v>703</v>
      </c>
      <c r="B3" s="11"/>
      <c r="C3" s="11"/>
      <c r="D3" s="33"/>
      <c r="E3" s="33"/>
      <c r="F3" s="33"/>
      <c r="G3" s="33"/>
      <c r="H3" s="33"/>
      <c r="I3" s="33"/>
      <c r="J3" s="33"/>
      <c r="K3" s="33"/>
      <c r="L3" s="33"/>
      <c r="M3" s="33"/>
      <c r="N3" s="33"/>
      <c r="O3" s="33"/>
    </row>
    <row r="4" spans="1:15">
      <c r="A4" s="11"/>
      <c r="B4" s="11"/>
      <c r="C4" s="11"/>
      <c r="D4" s="33"/>
      <c r="E4" s="33"/>
      <c r="F4" s="33"/>
      <c r="G4" s="33"/>
      <c r="H4" s="33"/>
      <c r="I4" s="33"/>
      <c r="J4" s="33"/>
      <c r="K4" s="33"/>
      <c r="L4" s="33"/>
      <c r="M4" s="33"/>
      <c r="N4" s="33"/>
      <c r="O4" s="33"/>
    </row>
    <row r="5" spans="1:15">
      <c r="A5" s="18" t="s">
        <v>704</v>
      </c>
      <c r="B5" s="18"/>
      <c r="C5" s="18"/>
      <c r="D5" s="39"/>
      <c r="E5" s="39"/>
      <c r="F5" s="39"/>
      <c r="G5" s="39"/>
      <c r="H5" s="39"/>
      <c r="I5" s="39"/>
      <c r="J5" s="39"/>
      <c r="K5" s="39"/>
      <c r="L5" s="39"/>
      <c r="M5" s="39"/>
      <c r="N5" s="39"/>
      <c r="O5" s="39"/>
    </row>
    <row r="6" spans="1:15">
      <c r="A6" s="11"/>
      <c r="B6" s="11" t="s">
        <v>1210</v>
      </c>
      <c r="C6" s="11"/>
      <c r="D6" s="68">
        <f>D67</f>
        <v>34.990870020964358</v>
      </c>
      <c r="E6" s="10" t="s">
        <v>705</v>
      </c>
      <c r="F6" s="33"/>
      <c r="G6" s="33"/>
      <c r="H6" s="33"/>
      <c r="I6" s="33"/>
      <c r="J6" s="33"/>
      <c r="K6" s="33"/>
      <c r="L6" s="33"/>
      <c r="M6" s="33"/>
      <c r="N6" s="33"/>
      <c r="O6" s="33"/>
    </row>
    <row r="7" spans="1:15">
      <c r="A7" s="11"/>
      <c r="B7" s="11" t="s">
        <v>706</v>
      </c>
      <c r="C7" s="11"/>
      <c r="D7" s="95">
        <v>12</v>
      </c>
      <c r="E7" s="10" t="s">
        <v>707</v>
      </c>
      <c r="F7" s="33"/>
      <c r="G7" s="33"/>
      <c r="H7" s="33"/>
      <c r="I7" s="33"/>
      <c r="J7" s="33"/>
      <c r="K7" s="33"/>
      <c r="L7" s="33"/>
      <c r="M7" s="33"/>
      <c r="N7" s="33"/>
      <c r="O7" s="33"/>
    </row>
    <row r="8" spans="1:15">
      <c r="A8" s="11"/>
      <c r="B8" s="11" t="s">
        <v>708</v>
      </c>
      <c r="C8" s="11"/>
      <c r="D8" s="69">
        <v>1.6</v>
      </c>
      <c r="E8" s="10" t="s">
        <v>175</v>
      </c>
      <c r="F8" s="33"/>
      <c r="G8" s="33"/>
      <c r="H8" s="33"/>
      <c r="I8" s="33"/>
      <c r="J8" s="33"/>
      <c r="K8" s="33"/>
      <c r="L8" s="33"/>
      <c r="M8" s="33"/>
      <c r="N8" s="33"/>
      <c r="O8" s="33"/>
    </row>
    <row r="9" spans="1:15">
      <c r="A9" s="11"/>
      <c r="B9" s="11" t="s">
        <v>709</v>
      </c>
      <c r="C9" s="11"/>
      <c r="D9" s="95">
        <v>180</v>
      </c>
      <c r="E9" s="10" t="s">
        <v>70</v>
      </c>
      <c r="F9" s="33"/>
      <c r="G9" s="33"/>
      <c r="H9" s="33"/>
      <c r="I9" s="33"/>
      <c r="J9" s="33"/>
      <c r="K9" s="33"/>
      <c r="L9" s="33"/>
      <c r="M9" s="33"/>
      <c r="N9" s="33"/>
      <c r="O9" s="33"/>
    </row>
    <row r="10" spans="1:15">
      <c r="A10" s="11"/>
      <c r="B10" s="11" t="s">
        <v>710</v>
      </c>
      <c r="C10" s="11"/>
      <c r="D10" s="95">
        <v>70</v>
      </c>
      <c r="E10" s="10" t="s">
        <v>70</v>
      </c>
      <c r="F10" s="33"/>
      <c r="G10" s="33"/>
      <c r="H10" s="33"/>
      <c r="I10" s="33"/>
      <c r="J10" s="33"/>
      <c r="K10" s="33"/>
      <c r="L10" s="33"/>
      <c r="M10" s="33"/>
      <c r="N10" s="33"/>
      <c r="O10" s="33"/>
    </row>
    <row r="11" spans="1:15">
      <c r="A11" s="11"/>
      <c r="B11" s="11" t="s">
        <v>711</v>
      </c>
      <c r="C11" s="11"/>
      <c r="D11" s="19">
        <v>1.4999999999999999E-2</v>
      </c>
      <c r="E11" s="10" t="s">
        <v>712</v>
      </c>
      <c r="F11" s="33"/>
      <c r="G11" s="33"/>
      <c r="H11" s="33"/>
      <c r="I11" s="33"/>
      <c r="J11" s="33"/>
      <c r="K11" s="33"/>
      <c r="L11" s="33"/>
      <c r="M11" s="33"/>
      <c r="N11" s="33"/>
      <c r="O11" s="33"/>
    </row>
    <row r="12" spans="1:15">
      <c r="A12" s="11"/>
      <c r="B12" s="11"/>
      <c r="C12" s="11"/>
      <c r="D12" s="33"/>
      <c r="E12" s="33"/>
      <c r="F12" s="33"/>
      <c r="G12" s="33"/>
      <c r="H12" s="33"/>
      <c r="I12" s="33"/>
      <c r="J12" s="33"/>
      <c r="K12" s="33"/>
      <c r="L12" s="33"/>
      <c r="M12" s="33"/>
      <c r="N12" s="33"/>
      <c r="O12" s="33"/>
    </row>
    <row r="13" spans="1:15">
      <c r="A13" s="18" t="s">
        <v>713</v>
      </c>
      <c r="B13" s="18"/>
      <c r="C13" s="18"/>
      <c r="D13" s="39"/>
      <c r="E13" s="39"/>
      <c r="F13" s="39"/>
      <c r="G13" s="39"/>
      <c r="H13" s="39"/>
      <c r="I13" s="39"/>
      <c r="J13" s="39"/>
      <c r="K13" s="39"/>
      <c r="L13" s="39"/>
      <c r="M13" s="39"/>
      <c r="N13" s="39"/>
      <c r="O13" s="39"/>
    </row>
    <row r="14" spans="1:15">
      <c r="A14" s="11"/>
      <c r="B14" s="22" t="s">
        <v>714</v>
      </c>
      <c r="C14" s="22" t="s">
        <v>715</v>
      </c>
      <c r="D14" s="22" t="s">
        <v>716</v>
      </c>
      <c r="E14" s="22" t="s">
        <v>717</v>
      </c>
      <c r="F14" s="22" t="s">
        <v>718</v>
      </c>
      <c r="G14" s="22" t="s">
        <v>719</v>
      </c>
      <c r="H14" s="22" t="s">
        <v>720</v>
      </c>
      <c r="I14" s="22" t="s">
        <v>721</v>
      </c>
      <c r="J14" s="22" t="s">
        <v>722</v>
      </c>
      <c r="K14" s="22" t="s">
        <v>723</v>
      </c>
      <c r="L14" s="22" t="s">
        <v>724</v>
      </c>
      <c r="M14" s="22" t="s">
        <v>725</v>
      </c>
      <c r="N14" s="22" t="s">
        <v>726</v>
      </c>
      <c r="O14" s="22" t="s">
        <v>727</v>
      </c>
    </row>
    <row r="15" spans="1:15">
      <c r="A15" s="11"/>
      <c r="B15" s="11" t="s">
        <v>728</v>
      </c>
      <c r="C15" s="11" t="s">
        <v>729</v>
      </c>
      <c r="D15" s="19">
        <v>0.15</v>
      </c>
      <c r="E15" s="95">
        <v>210</v>
      </c>
      <c r="F15" s="95">
        <v>3700</v>
      </c>
      <c r="G15" s="90">
        <f t="shared" ref="G15:G23" si="0">ROUNDUP($K15/$D$7,0)</f>
        <v>512</v>
      </c>
      <c r="H15" s="63">
        <f t="shared" ref="H15:H23" si="1">$E15*$D$8*$D$6/$D$7</f>
        <v>979.74436058700201</v>
      </c>
      <c r="I15" s="90">
        <f t="shared" ref="I15:I23" si="2">$D$9+$D$10</f>
        <v>250</v>
      </c>
      <c r="J15" s="90">
        <f t="shared" ref="J15:J23" si="3">($F15+H15+I15)/(1-$D$11)</f>
        <v>5004.8166097329968</v>
      </c>
      <c r="K15" s="90">
        <f>$D15*'01 Major Assumptions'!$D$33</f>
        <v>6138</v>
      </c>
      <c r="L15" s="90">
        <f t="shared" ref="L15:L23" si="4">H15*K15</f>
        <v>6013670.8852830185</v>
      </c>
      <c r="M15" s="90">
        <f t="shared" ref="M15:M23" si="5">J15*K15</f>
        <v>30719564.350541133</v>
      </c>
      <c r="N15" s="63">
        <f t="shared" ref="N15:N23" si="6">$D15*$E15</f>
        <v>31.5</v>
      </c>
      <c r="O15" s="6">
        <f>SUM($D$15:$D15)</f>
        <v>0.15</v>
      </c>
    </row>
    <row r="16" spans="1:15">
      <c r="A16" s="11"/>
      <c r="B16" s="11" t="s">
        <v>730</v>
      </c>
      <c r="C16" s="11" t="s">
        <v>731</v>
      </c>
      <c r="D16" s="19">
        <v>0.12</v>
      </c>
      <c r="E16" s="95">
        <v>130</v>
      </c>
      <c r="F16" s="95">
        <v>3700</v>
      </c>
      <c r="G16" s="90">
        <f t="shared" si="0"/>
        <v>410</v>
      </c>
      <c r="H16" s="63">
        <f t="shared" si="1"/>
        <v>606.50841369671559</v>
      </c>
      <c r="I16" s="90">
        <f t="shared" si="2"/>
        <v>250</v>
      </c>
      <c r="J16" s="90">
        <f t="shared" si="3"/>
        <v>4625.8968666971732</v>
      </c>
      <c r="K16" s="90">
        <f>$D16*'01 Major Assumptions'!$D$33</f>
        <v>4910.3999999999996</v>
      </c>
      <c r="L16" s="90">
        <f t="shared" si="4"/>
        <v>2978198.9146163519</v>
      </c>
      <c r="M16" s="90">
        <f t="shared" si="5"/>
        <v>22715003.974229798</v>
      </c>
      <c r="N16" s="63">
        <f t="shared" si="6"/>
        <v>15.6</v>
      </c>
      <c r="O16" s="6">
        <f>SUM($D$15:$D16)</f>
        <v>0.27</v>
      </c>
    </row>
    <row r="17" spans="1:15">
      <c r="A17" s="11"/>
      <c r="B17" s="11" t="s">
        <v>732</v>
      </c>
      <c r="C17" s="11" t="s">
        <v>733</v>
      </c>
      <c r="D17" s="19">
        <v>0.15</v>
      </c>
      <c r="E17" s="95">
        <v>55</v>
      </c>
      <c r="F17" s="95">
        <v>3700</v>
      </c>
      <c r="G17" s="90">
        <f t="shared" si="0"/>
        <v>512</v>
      </c>
      <c r="H17" s="63">
        <f t="shared" si="1"/>
        <v>256.59971348707194</v>
      </c>
      <c r="I17" s="90">
        <f t="shared" si="2"/>
        <v>250</v>
      </c>
      <c r="J17" s="90">
        <f t="shared" si="3"/>
        <v>4270.6596076010883</v>
      </c>
      <c r="K17" s="90">
        <f>$D17*'01 Major Assumptions'!$D$33</f>
        <v>6138</v>
      </c>
      <c r="L17" s="90">
        <f t="shared" si="4"/>
        <v>1575009.0413836476</v>
      </c>
      <c r="M17" s="90">
        <f t="shared" si="5"/>
        <v>26213308.67145548</v>
      </c>
      <c r="N17" s="63">
        <f t="shared" si="6"/>
        <v>8.25</v>
      </c>
      <c r="O17" s="6">
        <f>SUM($D$15:$D17)</f>
        <v>0.42000000000000004</v>
      </c>
    </row>
    <row r="18" spans="1:15">
      <c r="A18" s="11"/>
      <c r="B18" s="11" t="s">
        <v>734</v>
      </c>
      <c r="C18" s="11" t="s">
        <v>735</v>
      </c>
      <c r="D18" s="19">
        <v>0.12</v>
      </c>
      <c r="E18" s="95">
        <v>95</v>
      </c>
      <c r="F18" s="95">
        <v>3700</v>
      </c>
      <c r="G18" s="90">
        <f t="shared" si="0"/>
        <v>410</v>
      </c>
      <c r="H18" s="63">
        <f t="shared" si="1"/>
        <v>443.2176869322152</v>
      </c>
      <c r="I18" s="90">
        <f t="shared" si="2"/>
        <v>250</v>
      </c>
      <c r="J18" s="90">
        <f t="shared" si="3"/>
        <v>4460.119479119001</v>
      </c>
      <c r="K18" s="90">
        <f>$D18*'01 Major Assumptions'!$D$33</f>
        <v>4910.3999999999996</v>
      </c>
      <c r="L18" s="90">
        <f t="shared" si="4"/>
        <v>2176376.1299119494</v>
      </c>
      <c r="M18" s="90">
        <f t="shared" si="5"/>
        <v>21900970.690265942</v>
      </c>
      <c r="N18" s="63">
        <f t="shared" si="6"/>
        <v>11.4</v>
      </c>
      <c r="O18" s="6">
        <f>SUM($D$15:$D18)</f>
        <v>0.54</v>
      </c>
    </row>
    <row r="19" spans="1:15">
      <c r="A19" s="11"/>
      <c r="B19" s="11" t="s">
        <v>736</v>
      </c>
      <c r="C19" s="11" t="s">
        <v>737</v>
      </c>
      <c r="D19" s="19">
        <v>0.1</v>
      </c>
      <c r="E19" s="95">
        <v>165</v>
      </c>
      <c r="F19" s="95">
        <v>3700</v>
      </c>
      <c r="G19" s="90">
        <f t="shared" si="0"/>
        <v>341</v>
      </c>
      <c r="H19" s="63">
        <f t="shared" si="1"/>
        <v>769.79914046121587</v>
      </c>
      <c r="I19" s="90">
        <f t="shared" si="2"/>
        <v>250</v>
      </c>
      <c r="J19" s="90">
        <f t="shared" si="3"/>
        <v>4791.6742542753464</v>
      </c>
      <c r="K19" s="90">
        <f>$D19*'01 Major Assumptions'!$D$33</f>
        <v>4092</v>
      </c>
      <c r="L19" s="90">
        <f t="shared" si="4"/>
        <v>3150018.0827672952</v>
      </c>
      <c r="M19" s="90">
        <f t="shared" si="5"/>
        <v>19607531.048494719</v>
      </c>
      <c r="N19" s="63">
        <f t="shared" si="6"/>
        <v>16.5</v>
      </c>
      <c r="O19" s="6">
        <f>SUM($D$15:$D19)</f>
        <v>0.64</v>
      </c>
    </row>
    <row r="20" spans="1:15">
      <c r="A20" s="11"/>
      <c r="B20" s="11" t="s">
        <v>738</v>
      </c>
      <c r="C20" s="11" t="s">
        <v>739</v>
      </c>
      <c r="D20" s="19">
        <v>0.08</v>
      </c>
      <c r="E20" s="95">
        <v>145</v>
      </c>
      <c r="F20" s="95">
        <v>3700</v>
      </c>
      <c r="G20" s="90">
        <f t="shared" si="0"/>
        <v>273</v>
      </c>
      <c r="H20" s="63">
        <f t="shared" si="1"/>
        <v>676.49015373864427</v>
      </c>
      <c r="I20" s="90">
        <f t="shared" si="2"/>
        <v>250</v>
      </c>
      <c r="J20" s="90">
        <f t="shared" si="3"/>
        <v>4696.94431851639</v>
      </c>
      <c r="K20" s="90">
        <f>$D20*'01 Major Assumptions'!$D$33</f>
        <v>3273.6</v>
      </c>
      <c r="L20" s="90">
        <f t="shared" si="4"/>
        <v>2214558.1672788258</v>
      </c>
      <c r="M20" s="90">
        <f t="shared" si="5"/>
        <v>15375916.921095254</v>
      </c>
      <c r="N20" s="63">
        <f t="shared" si="6"/>
        <v>11.6</v>
      </c>
      <c r="O20" s="6">
        <f>SUM($D$15:$D20)</f>
        <v>0.72</v>
      </c>
    </row>
    <row r="21" spans="1:15">
      <c r="A21" s="11"/>
      <c r="B21" s="11" t="s">
        <v>740</v>
      </c>
      <c r="C21" s="11" t="s">
        <v>741</v>
      </c>
      <c r="D21" s="19">
        <v>0.08</v>
      </c>
      <c r="E21" s="95">
        <v>145</v>
      </c>
      <c r="F21" s="95">
        <v>3700</v>
      </c>
      <c r="G21" s="90">
        <f t="shared" si="0"/>
        <v>273</v>
      </c>
      <c r="H21" s="63">
        <f t="shared" si="1"/>
        <v>676.49015373864427</v>
      </c>
      <c r="I21" s="90">
        <f t="shared" si="2"/>
        <v>250</v>
      </c>
      <c r="J21" s="90">
        <f t="shared" si="3"/>
        <v>4696.94431851639</v>
      </c>
      <c r="K21" s="90">
        <f>$D21*'01 Major Assumptions'!$D$33</f>
        <v>3273.6</v>
      </c>
      <c r="L21" s="90">
        <f t="shared" si="4"/>
        <v>2214558.1672788258</v>
      </c>
      <c r="M21" s="90">
        <f t="shared" si="5"/>
        <v>15375916.921095254</v>
      </c>
      <c r="N21" s="63">
        <f t="shared" si="6"/>
        <v>11.6</v>
      </c>
      <c r="O21" s="6">
        <f>SUM($D$15:$D21)</f>
        <v>0.79999999999999993</v>
      </c>
    </row>
    <row r="22" spans="1:15">
      <c r="A22" s="11"/>
      <c r="B22" s="11" t="s">
        <v>742</v>
      </c>
      <c r="C22" s="11" t="s">
        <v>743</v>
      </c>
      <c r="D22" s="19">
        <v>0.12</v>
      </c>
      <c r="E22" s="95">
        <v>60</v>
      </c>
      <c r="F22" s="95">
        <v>3700</v>
      </c>
      <c r="G22" s="90">
        <f t="shared" si="0"/>
        <v>410</v>
      </c>
      <c r="H22" s="63">
        <f t="shared" si="1"/>
        <v>279.92696016771487</v>
      </c>
      <c r="I22" s="90">
        <f t="shared" si="2"/>
        <v>250</v>
      </c>
      <c r="J22" s="90">
        <f t="shared" si="3"/>
        <v>4294.3420915408278</v>
      </c>
      <c r="K22" s="90">
        <f>$D22*'01 Major Assumptions'!$D$33</f>
        <v>4910.3999999999996</v>
      </c>
      <c r="L22" s="90">
        <f t="shared" si="4"/>
        <v>1374553.3452075471</v>
      </c>
      <c r="M22" s="90">
        <f t="shared" si="5"/>
        <v>21086937.40630208</v>
      </c>
      <c r="N22" s="63">
        <f t="shared" si="6"/>
        <v>7.1999999999999993</v>
      </c>
      <c r="O22" s="6">
        <f>SUM($D$15:$D22)</f>
        <v>0.91999999999999993</v>
      </c>
    </row>
    <row r="23" spans="1:15">
      <c r="A23" s="11"/>
      <c r="B23" s="11" t="s">
        <v>744</v>
      </c>
      <c r="C23" s="11" t="s">
        <v>745</v>
      </c>
      <c r="D23" s="19">
        <v>0.08</v>
      </c>
      <c r="E23" s="95">
        <v>260</v>
      </c>
      <c r="F23" s="95">
        <v>3700</v>
      </c>
      <c r="G23" s="90">
        <f t="shared" si="0"/>
        <v>273</v>
      </c>
      <c r="H23" s="90">
        <f t="shared" si="1"/>
        <v>1213.0168273934312</v>
      </c>
      <c r="I23" s="90">
        <f t="shared" si="2"/>
        <v>250</v>
      </c>
      <c r="J23" s="90">
        <f t="shared" si="3"/>
        <v>5241.6414491303876</v>
      </c>
      <c r="K23" s="90">
        <f>$D23*'01 Major Assumptions'!$D$33</f>
        <v>3273.6</v>
      </c>
      <c r="L23" s="90">
        <f t="shared" si="4"/>
        <v>3970931.8861551364</v>
      </c>
      <c r="M23" s="90">
        <f t="shared" si="5"/>
        <v>17159037.447873235</v>
      </c>
      <c r="N23" s="63">
        <f t="shared" si="6"/>
        <v>20.8</v>
      </c>
      <c r="O23" s="6">
        <f>SUM($D$15:$D23)</f>
        <v>0.99999999999999989</v>
      </c>
    </row>
    <row r="24" spans="1:15">
      <c r="A24" s="11"/>
      <c r="B24" s="22" t="s">
        <v>746</v>
      </c>
      <c r="C24" s="22"/>
      <c r="D24" s="65">
        <f>SUM(D15:D23)</f>
        <v>0.99999999999999989</v>
      </c>
      <c r="E24" s="62">
        <f>SUMPRODUCT($D$15:$D$23,E15:E23)</f>
        <v>134.44999999999999</v>
      </c>
      <c r="F24" s="89">
        <f>SUMPRODUCT($D$15:$D$23,F15:F23)</f>
        <v>3700</v>
      </c>
      <c r="G24" s="89">
        <f>SUM(G15:G23)</f>
        <v>3414</v>
      </c>
      <c r="H24" s="62">
        <f>SUMPRODUCT($D$15:$D$23,H15:H23)</f>
        <v>627.26966324248781</v>
      </c>
      <c r="I24" s="89">
        <f>SUMPRODUCT($D$15:$D$23,I15:I23)</f>
        <v>250</v>
      </c>
      <c r="J24" s="89">
        <f>M24/K24</f>
        <v>4646.9742774035403</v>
      </c>
      <c r="K24" s="89">
        <f>SUM(K15:K23)</f>
        <v>40920</v>
      </c>
      <c r="L24" s="89">
        <f>SUM(L15:L23)</f>
        <v>25667874.619882595</v>
      </c>
      <c r="M24" s="89">
        <f>SUM(M15:M23)</f>
        <v>190154187.43135285</v>
      </c>
      <c r="N24" s="62">
        <f>SUM(N15:N23)</f>
        <v>134.44999999999999</v>
      </c>
      <c r="O24" s="5"/>
    </row>
    <row r="25" spans="1:15">
      <c r="A25" s="11"/>
      <c r="B25" s="11" t="s">
        <v>747</v>
      </c>
      <c r="C25" s="11"/>
      <c r="D25" s="6">
        <f>D24</f>
        <v>0.99999999999999989</v>
      </c>
      <c r="E25" s="33"/>
      <c r="F25" s="33"/>
      <c r="G25" s="33"/>
      <c r="H25" s="33"/>
      <c r="I25" s="33"/>
      <c r="J25" s="33"/>
      <c r="K25" s="33"/>
      <c r="L25" s="33"/>
      <c r="M25" s="33"/>
      <c r="N25" s="33"/>
      <c r="O25" s="33"/>
    </row>
    <row r="26" spans="1:15">
      <c r="A26" s="11"/>
      <c r="B26" s="1" t="s">
        <v>748</v>
      </c>
      <c r="C26" s="11"/>
      <c r="D26" s="33"/>
      <c r="E26" s="33"/>
      <c r="F26" s="33"/>
      <c r="G26" s="33"/>
      <c r="H26" s="33"/>
      <c r="I26" s="33"/>
      <c r="J26" s="33"/>
      <c r="K26" s="33"/>
      <c r="L26" s="33"/>
      <c r="M26" s="33"/>
      <c r="N26" s="33"/>
      <c r="O26" s="33"/>
    </row>
    <row r="27" spans="1:15">
      <c r="A27" s="11"/>
      <c r="B27" s="11"/>
      <c r="C27" s="11"/>
      <c r="D27" s="33"/>
      <c r="E27" s="33"/>
      <c r="F27" s="33"/>
      <c r="G27" s="33"/>
      <c r="H27" s="33"/>
      <c r="I27" s="33"/>
      <c r="J27" s="33"/>
      <c r="K27" s="33"/>
      <c r="L27" s="33"/>
      <c r="M27" s="33"/>
      <c r="N27" s="33"/>
      <c r="O27" s="33"/>
    </row>
    <row r="28" spans="1:15">
      <c r="A28" s="18" t="s">
        <v>749</v>
      </c>
      <c r="B28" s="18"/>
      <c r="C28" s="18"/>
      <c r="D28" s="39"/>
      <c r="E28" s="39"/>
      <c r="F28" s="39"/>
      <c r="G28" s="39"/>
      <c r="H28" s="39"/>
      <c r="I28" s="39"/>
      <c r="J28" s="39"/>
      <c r="K28" s="39"/>
      <c r="L28" s="39"/>
      <c r="M28" s="39"/>
      <c r="N28" s="39"/>
      <c r="O28" s="39"/>
    </row>
    <row r="29" spans="1:15">
      <c r="A29" s="11"/>
      <c r="B29" s="11" t="s">
        <v>750</v>
      </c>
      <c r="C29" s="11"/>
      <c r="D29" s="90">
        <f>F24</f>
        <v>3700</v>
      </c>
      <c r="E29" s="10" t="s">
        <v>70</v>
      </c>
      <c r="F29" s="33"/>
      <c r="G29" s="33"/>
      <c r="H29" s="33"/>
      <c r="I29" s="33"/>
      <c r="J29" s="33"/>
      <c r="K29" s="33"/>
      <c r="L29" s="33"/>
      <c r="M29" s="33"/>
      <c r="N29" s="33"/>
      <c r="O29" s="33"/>
    </row>
    <row r="30" spans="1:15">
      <c r="A30" s="11"/>
      <c r="B30" s="11" t="s">
        <v>751</v>
      </c>
      <c r="C30" s="11"/>
      <c r="D30" s="63">
        <f>H24</f>
        <v>627.26966324248781</v>
      </c>
      <c r="E30" s="10" t="s">
        <v>70</v>
      </c>
      <c r="F30" s="33"/>
      <c r="G30" s="33"/>
      <c r="H30" s="33"/>
      <c r="I30" s="33"/>
      <c r="J30" s="33"/>
      <c r="K30" s="33"/>
      <c r="L30" s="33"/>
      <c r="M30" s="33"/>
      <c r="N30" s="33"/>
      <c r="O30" s="33"/>
    </row>
    <row r="31" spans="1:15">
      <c r="A31" s="11"/>
      <c r="B31" s="11" t="s">
        <v>752</v>
      </c>
      <c r="C31" s="11"/>
      <c r="D31" s="90">
        <f>I24</f>
        <v>250</v>
      </c>
      <c r="E31" s="10" t="s">
        <v>70</v>
      </c>
      <c r="F31" s="33"/>
      <c r="G31" s="33"/>
      <c r="H31" s="33"/>
      <c r="I31" s="33"/>
      <c r="J31" s="33"/>
      <c r="K31" s="33"/>
      <c r="L31" s="33"/>
      <c r="M31" s="33"/>
      <c r="N31" s="33"/>
      <c r="O31" s="33"/>
    </row>
    <row r="32" spans="1:15">
      <c r="A32" s="11"/>
      <c r="B32" s="11" t="s">
        <v>753</v>
      </c>
      <c r="C32" s="11"/>
      <c r="D32" s="63">
        <f>J24-F24-H24-I24</f>
        <v>69.704614161052518</v>
      </c>
      <c r="E32" s="10" t="s">
        <v>70</v>
      </c>
      <c r="F32" s="33"/>
      <c r="G32" s="33"/>
      <c r="H32" s="33"/>
      <c r="I32" s="33"/>
      <c r="J32" s="33"/>
      <c r="K32" s="33"/>
      <c r="L32" s="33"/>
      <c r="M32" s="33"/>
      <c r="N32" s="33"/>
      <c r="O32" s="33"/>
    </row>
    <row r="33" spans="1:15">
      <c r="A33" s="11"/>
      <c r="B33" s="22" t="s">
        <v>754</v>
      </c>
      <c r="C33" s="22"/>
      <c r="D33" s="89">
        <f>J24</f>
        <v>4646.9742774035403</v>
      </c>
      <c r="E33" s="37" t="s">
        <v>70</v>
      </c>
      <c r="F33" s="33"/>
      <c r="G33" s="33"/>
      <c r="H33" s="33"/>
      <c r="I33" s="33"/>
      <c r="J33" s="33"/>
      <c r="K33" s="33"/>
      <c r="L33" s="33"/>
      <c r="M33" s="33"/>
      <c r="N33" s="33"/>
      <c r="O33" s="33"/>
    </row>
    <row r="34" spans="1:15">
      <c r="A34" s="11"/>
      <c r="B34" s="11" t="s">
        <v>755</v>
      </c>
      <c r="C34" s="11"/>
      <c r="D34" s="63">
        <f>E24</f>
        <v>134.44999999999999</v>
      </c>
      <c r="E34" s="10" t="s">
        <v>756</v>
      </c>
      <c r="F34" s="33"/>
      <c r="G34" s="33"/>
      <c r="H34" s="33"/>
      <c r="I34" s="33"/>
      <c r="J34" s="33"/>
      <c r="K34" s="33"/>
      <c r="L34" s="33"/>
      <c r="M34" s="33"/>
      <c r="N34" s="33"/>
      <c r="O34" s="33"/>
    </row>
    <row r="35" spans="1:15">
      <c r="A35" s="11"/>
      <c r="B35" s="11" t="s">
        <v>757</v>
      </c>
      <c r="C35" s="11"/>
      <c r="D35" s="6">
        <f>H24/J24</f>
        <v>0.13498453526903742</v>
      </c>
      <c r="E35" s="43"/>
      <c r="F35" s="33"/>
      <c r="G35" s="33"/>
      <c r="H35" s="33"/>
      <c r="I35" s="33"/>
      <c r="J35" s="33"/>
      <c r="K35" s="33"/>
      <c r="L35" s="33"/>
      <c r="M35" s="33"/>
      <c r="N35" s="33"/>
      <c r="O35" s="33"/>
    </row>
    <row r="36" spans="1:15">
      <c r="A36" s="11"/>
      <c r="B36" s="11" t="s">
        <v>758</v>
      </c>
      <c r="C36" s="11"/>
      <c r="D36" s="90">
        <f>M24</f>
        <v>190154187.43135285</v>
      </c>
      <c r="E36" s="10" t="s">
        <v>155</v>
      </c>
      <c r="F36" s="33"/>
      <c r="G36" s="33"/>
      <c r="H36" s="33"/>
      <c r="I36" s="33"/>
      <c r="J36" s="33"/>
      <c r="K36" s="33"/>
      <c r="L36" s="33"/>
      <c r="M36" s="33"/>
      <c r="N36" s="33"/>
      <c r="O36" s="33"/>
    </row>
    <row r="37" spans="1:15">
      <c r="A37" s="11"/>
      <c r="B37" s="11" t="s">
        <v>1211</v>
      </c>
      <c r="C37" s="11"/>
      <c r="D37" s="90">
        <f>(D29+D31)/(1-D11)</f>
        <v>4010.1522842639592</v>
      </c>
      <c r="E37" s="10" t="s">
        <v>70</v>
      </c>
      <c r="F37" s="33"/>
      <c r="G37" s="33"/>
      <c r="H37" s="33"/>
      <c r="I37" s="33"/>
      <c r="J37" s="33"/>
      <c r="K37" s="33"/>
      <c r="L37" s="33"/>
      <c r="M37" s="33"/>
      <c r="N37" s="33"/>
      <c r="O37" s="33"/>
    </row>
    <row r="38" spans="1:15">
      <c r="A38" s="11"/>
      <c r="B38" s="11" t="s">
        <v>1212</v>
      </c>
      <c r="C38" s="11"/>
      <c r="D38" s="63">
        <f>D30/(1-D11)</f>
        <v>636.82199313958154</v>
      </c>
      <c r="E38" s="10" t="s">
        <v>70</v>
      </c>
      <c r="F38" s="33"/>
      <c r="G38" s="33"/>
      <c r="H38" s="33"/>
      <c r="I38" s="33"/>
      <c r="J38" s="33"/>
      <c r="K38" s="33"/>
      <c r="L38" s="33"/>
      <c r="M38" s="33"/>
      <c r="N38" s="33"/>
      <c r="O38" s="33"/>
    </row>
    <row r="39" spans="1:15">
      <c r="A39" s="11"/>
      <c r="B39" s="25" t="s">
        <v>1213</v>
      </c>
      <c r="C39" s="25"/>
      <c r="D39" s="91">
        <f>D37+D38-D33</f>
        <v>0</v>
      </c>
      <c r="E39" s="1" t="s">
        <v>70</v>
      </c>
      <c r="F39" s="33"/>
      <c r="G39" s="33"/>
      <c r="H39" s="33"/>
      <c r="I39" s="33"/>
      <c r="J39" s="33"/>
      <c r="K39" s="33"/>
      <c r="L39" s="33"/>
      <c r="M39" s="33"/>
      <c r="N39" s="33"/>
      <c r="O39" s="33"/>
    </row>
    <row r="40" spans="1:15">
      <c r="A40" s="11"/>
      <c r="B40" s="11"/>
      <c r="C40" s="11"/>
      <c r="D40" s="33"/>
      <c r="E40" s="33"/>
      <c r="F40" s="33"/>
      <c r="G40" s="33"/>
      <c r="H40" s="33"/>
      <c r="I40" s="33"/>
      <c r="J40" s="33"/>
      <c r="K40" s="33"/>
      <c r="L40" s="33"/>
      <c r="M40" s="33"/>
      <c r="N40" s="33"/>
      <c r="O40" s="33"/>
    </row>
    <row r="41" spans="1:15">
      <c r="A41" s="11"/>
      <c r="B41" s="11"/>
      <c r="C41" s="11"/>
      <c r="D41" s="33"/>
      <c r="E41" s="33"/>
      <c r="F41" s="33"/>
      <c r="G41" s="33"/>
      <c r="H41" s="33"/>
      <c r="I41" s="33"/>
      <c r="J41" s="33"/>
      <c r="K41" s="33"/>
      <c r="L41" s="33"/>
      <c r="M41" s="33"/>
      <c r="N41" s="33"/>
      <c r="O41" s="33"/>
    </row>
    <row r="42" spans="1:15">
      <c r="A42" s="11"/>
      <c r="B42" s="11"/>
      <c r="C42" s="11"/>
      <c r="D42" s="33"/>
      <c r="E42" s="33"/>
      <c r="F42" s="33"/>
      <c r="G42" s="33"/>
      <c r="H42" s="33"/>
      <c r="I42" s="33"/>
      <c r="J42" s="33"/>
      <c r="K42" s="33"/>
      <c r="L42" s="33"/>
      <c r="M42" s="33"/>
      <c r="N42" s="33"/>
      <c r="O42" s="33"/>
    </row>
    <row r="43" spans="1:15">
      <c r="A43" s="11"/>
      <c r="B43" s="11"/>
      <c r="C43" s="11"/>
      <c r="D43" s="33"/>
      <c r="E43" s="33"/>
      <c r="F43" s="33"/>
      <c r="G43" s="33"/>
      <c r="H43" s="33"/>
      <c r="I43" s="33"/>
      <c r="J43" s="33"/>
      <c r="K43" s="33"/>
      <c r="L43" s="33"/>
      <c r="M43" s="33"/>
      <c r="N43" s="33"/>
      <c r="O43" s="33"/>
    </row>
    <row r="44" spans="1:15">
      <c r="A44" s="11"/>
      <c r="B44" s="11"/>
      <c r="C44" s="11"/>
      <c r="D44" s="33"/>
      <c r="E44" s="33"/>
      <c r="F44" s="33"/>
      <c r="G44" s="33"/>
      <c r="H44" s="33"/>
      <c r="I44" s="33"/>
      <c r="J44" s="33"/>
      <c r="K44" s="33"/>
      <c r="L44" s="33"/>
      <c r="M44" s="33"/>
      <c r="N44" s="33"/>
      <c r="O44" s="33"/>
    </row>
    <row r="45" spans="1:15">
      <c r="A45" s="11"/>
      <c r="B45" s="11"/>
      <c r="C45" s="11"/>
      <c r="D45" s="33"/>
      <c r="E45" s="33"/>
      <c r="F45" s="33"/>
      <c r="G45" s="33"/>
      <c r="H45" s="33"/>
      <c r="I45" s="33"/>
      <c r="J45" s="33"/>
      <c r="K45" s="33"/>
      <c r="L45" s="33"/>
      <c r="M45" s="33"/>
      <c r="N45" s="33"/>
      <c r="O45" s="33"/>
    </row>
    <row r="46" spans="1:15">
      <c r="A46" s="11"/>
      <c r="B46" s="11"/>
      <c r="C46" s="11"/>
      <c r="D46" s="33"/>
      <c r="E46" s="33"/>
      <c r="F46" s="33"/>
      <c r="G46" s="33"/>
      <c r="H46" s="33"/>
      <c r="I46" s="33"/>
      <c r="J46" s="33"/>
      <c r="K46" s="33"/>
      <c r="L46" s="33"/>
      <c r="M46" s="33"/>
      <c r="N46" s="33"/>
      <c r="O46" s="33"/>
    </row>
    <row r="47" spans="1:15">
      <c r="A47" s="11"/>
      <c r="B47" s="11"/>
      <c r="C47" s="11"/>
      <c r="D47" s="33"/>
      <c r="E47" s="33"/>
      <c r="F47" s="33"/>
      <c r="G47" s="33"/>
      <c r="H47" s="33"/>
      <c r="I47" s="33"/>
      <c r="J47" s="33"/>
      <c r="K47" s="33"/>
      <c r="L47" s="33"/>
      <c r="M47" s="33"/>
      <c r="N47" s="33"/>
      <c r="O47" s="33"/>
    </row>
    <row r="48" spans="1:15">
      <c r="A48" s="11"/>
      <c r="B48" s="11"/>
      <c r="C48" s="11"/>
      <c r="D48" s="33"/>
      <c r="E48" s="33"/>
      <c r="F48" s="33"/>
      <c r="G48" s="33"/>
      <c r="H48" s="33"/>
      <c r="I48" s="33"/>
      <c r="J48" s="33"/>
      <c r="K48" s="33"/>
      <c r="L48" s="33"/>
      <c r="M48" s="33"/>
      <c r="N48" s="33"/>
      <c r="O48" s="33"/>
    </row>
    <row r="49" spans="1:15">
      <c r="A49" s="11"/>
      <c r="B49" s="11"/>
      <c r="C49" s="11"/>
      <c r="D49" s="33"/>
      <c r="E49" s="33"/>
      <c r="F49" s="33"/>
      <c r="G49" s="33"/>
      <c r="H49" s="33"/>
      <c r="I49" s="33"/>
      <c r="J49" s="33"/>
      <c r="K49" s="33"/>
      <c r="L49" s="33"/>
      <c r="M49" s="33"/>
      <c r="N49" s="33"/>
      <c r="O49" s="33"/>
    </row>
    <row r="50" spans="1:15">
      <c r="A50" s="11"/>
      <c r="B50" s="11"/>
      <c r="C50" s="11"/>
      <c r="D50" s="33"/>
      <c r="E50" s="33"/>
      <c r="F50" s="33"/>
      <c r="G50" s="33"/>
      <c r="H50" s="33"/>
      <c r="I50" s="33"/>
      <c r="J50" s="33"/>
      <c r="K50" s="33"/>
      <c r="L50" s="33"/>
      <c r="M50" s="33"/>
      <c r="N50" s="33"/>
      <c r="O50" s="33"/>
    </row>
    <row r="51" spans="1:15">
      <c r="A51" s="11"/>
      <c r="B51" s="11"/>
      <c r="C51" s="11"/>
      <c r="D51" s="33"/>
      <c r="E51" s="33"/>
      <c r="F51" s="33"/>
      <c r="G51" s="33"/>
      <c r="H51" s="33"/>
      <c r="I51" s="33"/>
      <c r="J51" s="33"/>
      <c r="K51" s="33"/>
      <c r="L51" s="33"/>
      <c r="M51" s="33"/>
      <c r="N51" s="33"/>
      <c r="O51" s="33"/>
    </row>
    <row r="52" spans="1:15">
      <c r="A52" s="11"/>
      <c r="B52" s="11"/>
      <c r="C52" s="11"/>
      <c r="D52" s="33"/>
      <c r="E52" s="33"/>
      <c r="F52" s="33"/>
      <c r="G52" s="33"/>
      <c r="H52" s="33"/>
      <c r="I52" s="33"/>
      <c r="J52" s="33"/>
      <c r="K52" s="33"/>
      <c r="L52" s="33"/>
      <c r="M52" s="33"/>
      <c r="N52" s="33"/>
      <c r="O52" s="33"/>
    </row>
    <row r="53" spans="1:15">
      <c r="A53" s="11"/>
      <c r="B53" s="11"/>
      <c r="C53" s="11"/>
      <c r="D53" s="33"/>
      <c r="E53" s="33"/>
      <c r="F53" s="33"/>
      <c r="G53" s="33"/>
      <c r="H53" s="33"/>
      <c r="I53" s="33"/>
      <c r="J53" s="33"/>
      <c r="K53" s="33"/>
      <c r="L53" s="33"/>
      <c r="M53" s="33"/>
      <c r="N53" s="33"/>
      <c r="O53" s="33"/>
    </row>
    <row r="54" spans="1:15">
      <c r="A54" s="11"/>
      <c r="B54" s="11"/>
      <c r="C54" s="11"/>
      <c r="D54" s="33"/>
      <c r="E54" s="33"/>
      <c r="F54" s="33"/>
      <c r="G54" s="33"/>
      <c r="H54" s="33"/>
      <c r="I54" s="33"/>
      <c r="J54" s="33"/>
      <c r="K54" s="33"/>
      <c r="L54" s="33"/>
      <c r="M54" s="33"/>
      <c r="N54" s="33"/>
      <c r="O54" s="33"/>
    </row>
    <row r="55" spans="1:15">
      <c r="A55" s="11"/>
      <c r="B55" s="11"/>
      <c r="C55" s="11"/>
      <c r="D55" s="33"/>
      <c r="E55" s="33"/>
      <c r="F55" s="33"/>
      <c r="G55" s="33"/>
      <c r="H55" s="33"/>
      <c r="I55" s="33"/>
      <c r="J55" s="33"/>
      <c r="K55" s="33"/>
      <c r="L55" s="33"/>
      <c r="M55" s="33"/>
      <c r="N55" s="33"/>
      <c r="O55" s="33"/>
    </row>
    <row r="56" spans="1:15">
      <c r="A56" s="11"/>
      <c r="B56" s="11"/>
      <c r="C56" s="11"/>
      <c r="D56" s="33"/>
      <c r="E56" s="33"/>
      <c r="F56" s="33"/>
      <c r="G56" s="33"/>
      <c r="H56" s="33"/>
      <c r="I56" s="33"/>
      <c r="J56" s="33"/>
      <c r="K56" s="33"/>
      <c r="L56" s="33"/>
      <c r="M56" s="33"/>
      <c r="N56" s="33"/>
      <c r="O56" s="33"/>
    </row>
    <row r="57" spans="1:15">
      <c r="A57" s="11"/>
      <c r="B57" s="11"/>
      <c r="C57" s="11"/>
      <c r="D57" s="33"/>
      <c r="E57" s="33"/>
      <c r="F57" s="33"/>
      <c r="G57" s="33"/>
      <c r="H57" s="33"/>
      <c r="I57" s="33"/>
      <c r="J57" s="33"/>
      <c r="K57" s="33"/>
      <c r="L57" s="33"/>
      <c r="M57" s="33"/>
      <c r="N57" s="33"/>
      <c r="O57" s="33"/>
    </row>
    <row r="58" spans="1:15">
      <c r="A58" s="11"/>
      <c r="B58" s="11"/>
      <c r="C58" s="11"/>
      <c r="D58" s="33"/>
      <c r="E58" s="33"/>
      <c r="F58" s="33"/>
      <c r="G58" s="33"/>
      <c r="H58" s="33"/>
      <c r="I58" s="33"/>
      <c r="J58" s="33"/>
      <c r="K58" s="33"/>
      <c r="L58" s="33"/>
      <c r="M58" s="33"/>
      <c r="N58" s="33"/>
      <c r="O58" s="33"/>
    </row>
    <row r="59" spans="1:15">
      <c r="A59" s="11"/>
      <c r="B59" s="11"/>
      <c r="C59" s="11"/>
      <c r="D59" s="33"/>
      <c r="E59" s="33"/>
      <c r="F59" s="33"/>
      <c r="G59" s="33"/>
      <c r="H59" s="33"/>
      <c r="I59" s="33"/>
      <c r="J59" s="33"/>
      <c r="K59" s="33"/>
      <c r="L59" s="33"/>
      <c r="M59" s="33"/>
      <c r="N59" s="33"/>
      <c r="O59" s="33"/>
    </row>
    <row r="60" spans="1:15">
      <c r="A60" s="11"/>
      <c r="B60" s="11"/>
      <c r="C60" s="11"/>
      <c r="D60" s="33"/>
      <c r="E60" s="33"/>
      <c r="F60" s="33"/>
      <c r="G60" s="33"/>
      <c r="H60" s="33"/>
      <c r="I60" s="33"/>
      <c r="J60" s="33"/>
      <c r="K60" s="33"/>
      <c r="L60" s="33"/>
      <c r="M60" s="33"/>
      <c r="N60" s="33"/>
      <c r="O60" s="33"/>
    </row>
    <row r="61" spans="1:15">
      <c r="A61" s="11"/>
      <c r="B61" s="11"/>
      <c r="C61" s="11"/>
      <c r="D61" s="33"/>
      <c r="E61" s="33"/>
      <c r="F61" s="33"/>
      <c r="G61" s="33"/>
      <c r="H61" s="33"/>
      <c r="I61" s="33"/>
      <c r="J61" s="33"/>
      <c r="K61" s="33"/>
      <c r="L61" s="33"/>
      <c r="M61" s="33"/>
      <c r="N61" s="33"/>
      <c r="O61" s="33"/>
    </row>
    <row r="62" spans="1:15">
      <c r="A62" s="18" t="s">
        <v>1200</v>
      </c>
      <c r="B62" s="18"/>
      <c r="C62" s="18"/>
      <c r="D62" s="39"/>
      <c r="E62" s="39"/>
      <c r="F62" s="39"/>
      <c r="G62" s="39"/>
      <c r="H62" s="39"/>
      <c r="I62" s="39"/>
      <c r="J62" s="39"/>
      <c r="K62" s="39"/>
      <c r="L62" s="39"/>
      <c r="M62" s="39"/>
      <c r="N62" s="39"/>
      <c r="O62" s="39"/>
    </row>
    <row r="63" spans="1:15">
      <c r="A63" s="11"/>
      <c r="B63" s="11" t="s">
        <v>1201</v>
      </c>
      <c r="C63" s="11"/>
      <c r="D63" s="95">
        <v>3</v>
      </c>
      <c r="E63" s="10" t="s">
        <v>1202</v>
      </c>
      <c r="F63" s="33"/>
      <c r="G63" s="33"/>
      <c r="H63" s="33"/>
      <c r="I63" s="33"/>
      <c r="J63" s="33"/>
      <c r="K63" s="33"/>
      <c r="L63" s="33"/>
      <c r="M63" s="33"/>
      <c r="N63" s="33"/>
      <c r="O63" s="33"/>
    </row>
    <row r="64" spans="1:15">
      <c r="A64" s="11"/>
      <c r="B64" s="11" t="s">
        <v>1203</v>
      </c>
      <c r="C64" s="11"/>
      <c r="D64" s="66">
        <f>'02 Oil Price Analysis'!$D$72</f>
        <v>31.98261006289308</v>
      </c>
      <c r="E64" s="10" t="s">
        <v>102</v>
      </c>
      <c r="F64" s="33"/>
      <c r="G64" s="33"/>
      <c r="H64" s="33"/>
      <c r="I64" s="33"/>
      <c r="J64" s="33"/>
      <c r="K64" s="33"/>
      <c r="L64" s="33"/>
      <c r="M64" s="33"/>
      <c r="N64" s="33"/>
      <c r="O64" s="33"/>
    </row>
    <row r="65" spans="1:15">
      <c r="A65" s="11"/>
      <c r="B65" s="11" t="s">
        <v>1204</v>
      </c>
      <c r="C65" s="11"/>
      <c r="D65" s="66">
        <f>D64/D63</f>
        <v>10.66087002096436</v>
      </c>
      <c r="E65" s="10" t="s">
        <v>1205</v>
      </c>
      <c r="F65" s="33"/>
      <c r="G65" s="33"/>
      <c r="H65" s="33"/>
      <c r="I65" s="33"/>
      <c r="J65" s="33"/>
      <c r="K65" s="33"/>
      <c r="L65" s="33"/>
      <c r="M65" s="33"/>
      <c r="N65" s="33"/>
      <c r="O65" s="33"/>
    </row>
    <row r="66" spans="1:15">
      <c r="A66" s="11"/>
      <c r="B66" s="11" t="s">
        <v>1206</v>
      </c>
      <c r="C66" s="11"/>
      <c r="D66" s="69">
        <v>24.33</v>
      </c>
      <c r="E66" s="10" t="s">
        <v>1205</v>
      </c>
      <c r="F66" s="33"/>
      <c r="G66" s="33"/>
      <c r="H66" s="33"/>
      <c r="I66" s="33"/>
      <c r="J66" s="33"/>
      <c r="K66" s="33"/>
      <c r="L66" s="33"/>
      <c r="M66" s="33"/>
      <c r="N66" s="33"/>
      <c r="O66" s="33"/>
    </row>
    <row r="67" spans="1:15">
      <c r="A67" s="11"/>
      <c r="B67" s="11" t="s">
        <v>1207</v>
      </c>
      <c r="C67" s="11"/>
      <c r="D67" s="66">
        <f>D65+D66</f>
        <v>34.990870020964358</v>
      </c>
      <c r="E67" s="10" t="s">
        <v>1208</v>
      </c>
      <c r="F67" s="33"/>
      <c r="G67" s="33"/>
      <c r="H67" s="33"/>
      <c r="I67" s="33"/>
      <c r="J67" s="33"/>
      <c r="K67" s="33"/>
      <c r="L67" s="33"/>
      <c r="M67" s="33"/>
      <c r="N67" s="33"/>
      <c r="O67" s="33"/>
    </row>
    <row r="68" spans="1:15">
      <c r="A68" s="11"/>
      <c r="B68" s="11" t="s">
        <v>1209</v>
      </c>
      <c r="C68" s="11"/>
      <c r="D68" s="16">
        <f>D65/D67</f>
        <v>0.30467576297980098</v>
      </c>
      <c r="E68" s="43"/>
      <c r="F68" s="33"/>
      <c r="G68" s="33"/>
      <c r="H68" s="33"/>
      <c r="I68" s="33"/>
      <c r="J68" s="33"/>
      <c r="K68" s="33"/>
      <c r="L68" s="33"/>
      <c r="M68" s="33"/>
      <c r="N68" s="33"/>
      <c r="O68" s="33"/>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BD585E-9BB7-0043-B244-8EC360300855}">
  <sheetPr>
    <tabColor rgb="FFBBDEFB"/>
  </sheetPr>
  <dimension ref="A1:BO99"/>
  <sheetViews>
    <sheetView workbookViewId="0">
      <pane xSplit="6" ySplit="6" topLeftCell="G7" activePane="bottomRight" state="frozen"/>
      <selection pane="topRight" activeCell="G1" sqref="G1"/>
      <selection pane="bottomLeft" activeCell="A7" sqref="A7"/>
      <selection pane="bottomRight" activeCell="I18" sqref="I18"/>
    </sheetView>
  </sheetViews>
  <sheetFormatPr baseColWidth="10" defaultRowHeight="15"/>
  <cols>
    <col min="1" max="1" width="3.83203125" style="9" customWidth="1"/>
    <col min="2" max="2" width="58.33203125" style="9" customWidth="1"/>
    <col min="3" max="3" width="5.83203125" style="9" customWidth="1"/>
    <col min="4" max="5" width="5.83203125" style="42" customWidth="1"/>
    <col min="6" max="6" width="12.83203125" style="42" customWidth="1"/>
    <col min="7" max="67" width="14" style="42" customWidth="1"/>
  </cols>
  <sheetData>
    <row r="1" spans="1:67" ht="18">
      <c r="A1" s="21" t="s">
        <v>1678</v>
      </c>
      <c r="B1" s="11"/>
      <c r="C1" s="11"/>
      <c r="D1" s="33"/>
      <c r="E1" s="33"/>
      <c r="F1" s="33"/>
      <c r="G1" s="33"/>
      <c r="H1" s="33"/>
      <c r="I1" s="33"/>
      <c r="J1" s="33"/>
      <c r="K1" s="33"/>
      <c r="L1" s="33"/>
      <c r="M1" s="33"/>
      <c r="N1" s="33"/>
      <c r="O1" s="33"/>
      <c r="P1" s="33"/>
      <c r="Q1" s="33"/>
      <c r="R1" s="33"/>
      <c r="S1" s="33"/>
      <c r="T1" s="33"/>
      <c r="U1" s="33"/>
      <c r="V1" s="33"/>
      <c r="W1" s="33"/>
      <c r="X1" s="33"/>
      <c r="Y1" s="33"/>
      <c r="Z1" s="33"/>
      <c r="AA1" s="33"/>
      <c r="AB1" s="33"/>
      <c r="AC1" s="33"/>
      <c r="AD1" s="33"/>
      <c r="AE1" s="33"/>
      <c r="AF1" s="33"/>
      <c r="AG1" s="33"/>
      <c r="AH1" s="33"/>
      <c r="AI1" s="33"/>
      <c r="AJ1" s="33"/>
      <c r="AK1" s="33"/>
      <c r="AL1" s="33"/>
      <c r="AM1" s="33"/>
      <c r="AN1" s="33"/>
      <c r="AO1" s="33"/>
      <c r="AP1" s="33"/>
      <c r="AQ1" s="33"/>
      <c r="AR1" s="33"/>
      <c r="AS1" s="33"/>
      <c r="AT1" s="33"/>
      <c r="AU1" s="33"/>
      <c r="AV1" s="33"/>
      <c r="AW1" s="33"/>
      <c r="AX1" s="33"/>
      <c r="AY1" s="33"/>
      <c r="AZ1" s="33"/>
      <c r="BA1" s="33"/>
      <c r="BB1" s="33"/>
      <c r="BC1" s="33"/>
      <c r="BD1" s="33"/>
      <c r="BE1" s="33"/>
      <c r="BF1" s="33"/>
      <c r="BG1" s="33"/>
      <c r="BH1" s="33"/>
      <c r="BI1" s="33"/>
      <c r="BJ1" s="33"/>
      <c r="BK1" s="33"/>
      <c r="BL1" s="33"/>
      <c r="BM1" s="33"/>
      <c r="BN1" s="33"/>
      <c r="BO1" s="33"/>
    </row>
    <row r="2" spans="1:67" ht="16">
      <c r="A2" s="12" t="s">
        <v>1649</v>
      </c>
      <c r="B2" s="11"/>
      <c r="C2" s="11"/>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row>
    <row r="3" spans="1:67">
      <c r="A3" s="13" t="s">
        <v>790</v>
      </c>
      <c r="B3" s="11"/>
      <c r="C3" s="11"/>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row>
    <row r="4" spans="1:67">
      <c r="A4" s="11"/>
      <c r="B4" s="11"/>
      <c r="C4" s="11"/>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row>
    <row r="5" spans="1:67">
      <c r="A5" s="11"/>
      <c r="B5" s="22" t="s">
        <v>213</v>
      </c>
      <c r="C5" s="11"/>
      <c r="D5" s="33"/>
      <c r="E5" s="33"/>
      <c r="F5" s="33"/>
      <c r="G5" s="23" t="str">
        <f>'01 Major Assumptions'!G$12</f>
        <v>Jan-27</v>
      </c>
      <c r="H5" s="23" t="str">
        <f>'01 Major Assumptions'!H$12</f>
        <v>Feb-27</v>
      </c>
      <c r="I5" s="23" t="str">
        <f>'01 Major Assumptions'!I$12</f>
        <v>Mar-27</v>
      </c>
      <c r="J5" s="23" t="str">
        <f>'01 Major Assumptions'!J$12</f>
        <v>Apr-27</v>
      </c>
      <c r="K5" s="23" t="str">
        <f>'01 Major Assumptions'!K$12</f>
        <v>May-27</v>
      </c>
      <c r="L5" s="23" t="str">
        <f>'01 Major Assumptions'!L$12</f>
        <v>Jun-27</v>
      </c>
      <c r="M5" s="23" t="str">
        <f>'01 Major Assumptions'!M$12</f>
        <v>Jul-27</v>
      </c>
      <c r="N5" s="23" t="str">
        <f>'01 Major Assumptions'!N$12</f>
        <v>Aug-27</v>
      </c>
      <c r="O5" s="23" t="str">
        <f>'01 Major Assumptions'!O$12</f>
        <v>Sep-27</v>
      </c>
      <c r="P5" s="23" t="str">
        <f>'01 Major Assumptions'!P$12</f>
        <v>Oct-27</v>
      </c>
      <c r="Q5" s="23" t="str">
        <f>'01 Major Assumptions'!Q$12</f>
        <v>Nov-27</v>
      </c>
      <c r="R5" s="23" t="str">
        <f>'01 Major Assumptions'!R$12</f>
        <v>Dec-27</v>
      </c>
      <c r="S5" s="23" t="str">
        <f>'01 Major Assumptions'!S$12</f>
        <v>Jan-28</v>
      </c>
      <c r="T5" s="23" t="str">
        <f>'01 Major Assumptions'!T$12</f>
        <v>Feb-28</v>
      </c>
      <c r="U5" s="23" t="str">
        <f>'01 Major Assumptions'!U$12</f>
        <v>Mar-28</v>
      </c>
      <c r="V5" s="23" t="str">
        <f>'01 Major Assumptions'!V$12</f>
        <v>Apr-28</v>
      </c>
      <c r="W5" s="23" t="str">
        <f>'01 Major Assumptions'!W$12</f>
        <v>May-28</v>
      </c>
      <c r="X5" s="23" t="str">
        <f>'01 Major Assumptions'!X$12</f>
        <v>Jun-28</v>
      </c>
      <c r="Y5" s="23" t="str">
        <f>'01 Major Assumptions'!Y$12</f>
        <v>Jul-28</v>
      </c>
      <c r="Z5" s="23" t="str">
        <f>'01 Major Assumptions'!Z$12</f>
        <v>Aug-28</v>
      </c>
      <c r="AA5" s="23" t="str">
        <f>'01 Major Assumptions'!AA$12</f>
        <v>Sep-28</v>
      </c>
      <c r="AB5" s="23" t="str">
        <f>'01 Major Assumptions'!AB$12</f>
        <v>Oct-28</v>
      </c>
      <c r="AC5" s="23" t="str">
        <f>'01 Major Assumptions'!AC$12</f>
        <v>Nov-28</v>
      </c>
      <c r="AD5" s="23" t="str">
        <f>'01 Major Assumptions'!AD$12</f>
        <v>Dec-28</v>
      </c>
      <c r="AE5" s="23" t="str">
        <f>'01 Major Assumptions'!AE$12</f>
        <v>Jan-29</v>
      </c>
      <c r="AF5" s="23" t="str">
        <f>'01 Major Assumptions'!AF$12</f>
        <v>Feb-29</v>
      </c>
      <c r="AG5" s="23" t="str">
        <f>'01 Major Assumptions'!AG$12</f>
        <v>Mar-29</v>
      </c>
      <c r="AH5" s="23" t="str">
        <f>'01 Major Assumptions'!AH$12</f>
        <v>Apr-29</v>
      </c>
      <c r="AI5" s="23" t="str">
        <f>'01 Major Assumptions'!AI$12</f>
        <v>May-29</v>
      </c>
      <c r="AJ5" s="23" t="str">
        <f>'01 Major Assumptions'!AJ$12</f>
        <v>Jun-29</v>
      </c>
      <c r="AK5" s="23" t="str">
        <f>'01 Major Assumptions'!AK$12</f>
        <v>Jul-29</v>
      </c>
      <c r="AL5" s="23" t="str">
        <f>'01 Major Assumptions'!AL$12</f>
        <v>Aug-29</v>
      </c>
      <c r="AM5" s="23" t="str">
        <f>'01 Major Assumptions'!AM$12</f>
        <v>Sep-29</v>
      </c>
      <c r="AN5" s="23" t="str">
        <f>'01 Major Assumptions'!AN$12</f>
        <v>Oct-29</v>
      </c>
      <c r="AO5" s="23" t="str">
        <f>'01 Major Assumptions'!AO$12</f>
        <v>Nov-29</v>
      </c>
      <c r="AP5" s="23" t="str">
        <f>'01 Major Assumptions'!AP$12</f>
        <v>Dec-29</v>
      </c>
      <c r="AQ5" s="23" t="str">
        <f>'01 Major Assumptions'!AQ$12</f>
        <v>Jan-30</v>
      </c>
      <c r="AR5" s="23" t="str">
        <f>'01 Major Assumptions'!AR$12</f>
        <v>Feb-30</v>
      </c>
      <c r="AS5" s="23" t="str">
        <f>'01 Major Assumptions'!AS$12</f>
        <v>Mar-30</v>
      </c>
      <c r="AT5" s="23" t="str">
        <f>'01 Major Assumptions'!AT$12</f>
        <v>Apr-30</v>
      </c>
      <c r="AU5" s="23" t="str">
        <f>'01 Major Assumptions'!AU$12</f>
        <v>May-30</v>
      </c>
      <c r="AV5" s="23" t="str">
        <f>'01 Major Assumptions'!AV$12</f>
        <v>Jun-30</v>
      </c>
      <c r="AW5" s="23" t="str">
        <f>'01 Major Assumptions'!AW$12</f>
        <v>Jul-30</v>
      </c>
      <c r="AX5" s="23" t="str">
        <f>'01 Major Assumptions'!AX$12</f>
        <v>Aug-30</v>
      </c>
      <c r="AY5" s="23" t="str">
        <f>'01 Major Assumptions'!AY$12</f>
        <v>Sep-30</v>
      </c>
      <c r="AZ5" s="23" t="str">
        <f>'01 Major Assumptions'!AZ$12</f>
        <v>Oct-30</v>
      </c>
      <c r="BA5" s="23" t="str">
        <f>'01 Major Assumptions'!BA$12</f>
        <v>Nov-30</v>
      </c>
      <c r="BB5" s="23" t="str">
        <f>'01 Major Assumptions'!BB$12</f>
        <v>Dec-30</v>
      </c>
      <c r="BC5" s="23" t="str">
        <f>'01 Major Assumptions'!BC$12</f>
        <v>Jan-31</v>
      </c>
      <c r="BD5" s="23" t="str">
        <f>'01 Major Assumptions'!BD$12</f>
        <v>Feb-31</v>
      </c>
      <c r="BE5" s="23" t="str">
        <f>'01 Major Assumptions'!BE$12</f>
        <v>Mar-31</v>
      </c>
      <c r="BF5" s="23" t="str">
        <f>'01 Major Assumptions'!BF$12</f>
        <v>Apr-31</v>
      </c>
      <c r="BG5" s="23" t="str">
        <f>'01 Major Assumptions'!BG$12</f>
        <v>May-31</v>
      </c>
      <c r="BH5" s="23" t="str">
        <f>'01 Major Assumptions'!BH$12</f>
        <v>Jun-31</v>
      </c>
      <c r="BI5" s="23" t="str">
        <f>'01 Major Assumptions'!BI$12</f>
        <v>FY2032</v>
      </c>
      <c r="BJ5" s="23" t="str">
        <f>'01 Major Assumptions'!BJ$12</f>
        <v>FY2033</v>
      </c>
      <c r="BK5" s="23" t="str">
        <f>'01 Major Assumptions'!BK$12</f>
        <v>FY2034</v>
      </c>
      <c r="BL5" s="23" t="str">
        <f>'01 Major Assumptions'!BL$12</f>
        <v>FY2035</v>
      </c>
      <c r="BM5" s="23" t="str">
        <f>'01 Major Assumptions'!BM$12</f>
        <v>FY2036</v>
      </c>
      <c r="BN5" s="23" t="str">
        <f>'01 Major Assumptions'!BN$12</f>
        <v>FY2037</v>
      </c>
      <c r="BO5" s="23" t="str">
        <f>'01 Major Assumptions'!BO$12</f>
        <v>FY2038</v>
      </c>
    </row>
    <row r="6" spans="1:67">
      <c r="A6" s="11"/>
      <c r="B6" s="11"/>
      <c r="C6" s="11"/>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row>
    <row r="7" spans="1:67">
      <c r="A7" s="18" t="s">
        <v>791</v>
      </c>
      <c r="B7" s="18"/>
      <c r="C7" s="18"/>
      <c r="D7" s="39"/>
      <c r="E7" s="39"/>
      <c r="F7" s="39"/>
      <c r="G7" s="39"/>
      <c r="H7" s="39"/>
      <c r="I7" s="39"/>
      <c r="J7" s="39"/>
      <c r="K7" s="39"/>
      <c r="L7" s="39"/>
      <c r="M7" s="39"/>
      <c r="N7" s="39"/>
      <c r="O7" s="39"/>
      <c r="P7" s="39"/>
      <c r="Q7" s="39"/>
      <c r="R7" s="39"/>
      <c r="S7" s="39"/>
      <c r="T7" s="39"/>
      <c r="U7" s="39"/>
      <c r="V7" s="39"/>
      <c r="W7" s="39"/>
      <c r="X7" s="39"/>
      <c r="Y7" s="39"/>
      <c r="Z7" s="39"/>
      <c r="AA7" s="39"/>
      <c r="AB7" s="39"/>
      <c r="AC7" s="39"/>
      <c r="AD7" s="39"/>
      <c r="AE7" s="39"/>
      <c r="AF7" s="39"/>
      <c r="AG7" s="39"/>
      <c r="AH7" s="39"/>
      <c r="AI7" s="39"/>
      <c r="AJ7" s="39"/>
      <c r="AK7" s="39"/>
      <c r="AL7" s="39"/>
      <c r="AM7" s="39"/>
      <c r="AN7" s="39"/>
      <c r="AO7" s="39"/>
      <c r="AP7" s="39"/>
      <c r="AQ7" s="39"/>
      <c r="AR7" s="39"/>
      <c r="AS7" s="39"/>
      <c r="AT7" s="39"/>
      <c r="AU7" s="39"/>
      <c r="AV7" s="39"/>
      <c r="AW7" s="39"/>
      <c r="AX7" s="39"/>
      <c r="AY7" s="39"/>
      <c r="AZ7" s="39"/>
      <c r="BA7" s="39"/>
      <c r="BB7" s="39"/>
      <c r="BC7" s="39"/>
      <c r="BD7" s="39"/>
      <c r="BE7" s="39"/>
      <c r="BF7" s="39"/>
      <c r="BG7" s="39"/>
      <c r="BH7" s="39"/>
      <c r="BI7" s="39"/>
      <c r="BJ7" s="39"/>
      <c r="BK7" s="39"/>
      <c r="BL7" s="39"/>
      <c r="BM7" s="39"/>
      <c r="BN7" s="39"/>
      <c r="BO7" s="39"/>
    </row>
    <row r="8" spans="1:67">
      <c r="A8" s="11"/>
      <c r="B8" s="11"/>
      <c r="C8" s="11"/>
      <c r="D8" s="33"/>
      <c r="E8" s="33"/>
      <c r="F8" s="22" t="s">
        <v>792</v>
      </c>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row>
    <row r="9" spans="1:67">
      <c r="A9" s="11"/>
      <c r="B9" s="11" t="s">
        <v>793</v>
      </c>
      <c r="C9" s="11"/>
      <c r="D9" s="33"/>
      <c r="E9" s="33"/>
      <c r="F9" s="10" t="s">
        <v>794</v>
      </c>
      <c r="G9" s="90">
        <f>'05 Opex'!G$8</f>
        <v>0</v>
      </c>
      <c r="H9" s="90">
        <f>'05 Opex'!H$8</f>
        <v>0</v>
      </c>
      <c r="I9" s="90">
        <f>'05 Opex'!I$8</f>
        <v>0</v>
      </c>
      <c r="J9" s="90">
        <f>'05 Opex'!J$8</f>
        <v>0</v>
      </c>
      <c r="K9" s="90">
        <f>'05 Opex'!K$8</f>
        <v>0</v>
      </c>
      <c r="L9" s="90">
        <f>'05 Opex'!L$8</f>
        <v>0</v>
      </c>
      <c r="M9" s="90">
        <f>'05 Opex'!M$8</f>
        <v>0</v>
      </c>
      <c r="N9" s="90">
        <f>'05 Opex'!N$8</f>
        <v>0</v>
      </c>
      <c r="O9" s="90">
        <f>'05 Opex'!O$8</f>
        <v>0</v>
      </c>
      <c r="P9" s="90">
        <f>'05 Opex'!P$8</f>
        <v>0</v>
      </c>
      <c r="Q9" s="90">
        <f>'05 Opex'!Q$8</f>
        <v>0</v>
      </c>
      <c r="R9" s="90">
        <f>'05 Opex'!R$8</f>
        <v>0</v>
      </c>
      <c r="S9" s="90">
        <f>'05 Opex'!S$8</f>
        <v>0</v>
      </c>
      <c r="T9" s="90">
        <f>'05 Opex'!T$8</f>
        <v>0</v>
      </c>
      <c r="U9" s="90">
        <f>'05 Opex'!U$8</f>
        <v>0</v>
      </c>
      <c r="V9" s="90">
        <f>'05 Opex'!V$8</f>
        <v>0</v>
      </c>
      <c r="W9" s="90">
        <f>'05 Opex'!W$8</f>
        <v>0</v>
      </c>
      <c r="X9" s="90">
        <f>'05 Opex'!X$8</f>
        <v>0</v>
      </c>
      <c r="Y9" s="90">
        <f>'05 Opex'!Y$8</f>
        <v>0</v>
      </c>
      <c r="Z9" s="90">
        <f>'05 Opex'!Z$8</f>
        <v>0</v>
      </c>
      <c r="AA9" s="90">
        <f>'05 Opex'!AA$8</f>
        <v>0</v>
      </c>
      <c r="AB9" s="90">
        <f>'05 Opex'!AB$8</f>
        <v>20046862.653140757</v>
      </c>
      <c r="AC9" s="90">
        <f>'05 Opex'!AC$8</f>
        <v>4230580.9053037409</v>
      </c>
      <c r="AD9" s="90">
        <f>'05 Opex'!AD$8</f>
        <v>5268270.5613216525</v>
      </c>
      <c r="AE9" s="90">
        <f>'05 Opex'!AE$8</f>
        <v>6449910.9514385723</v>
      </c>
      <c r="AF9" s="90">
        <f>'05 Opex'!AF$8</f>
        <v>7511288.7029411104</v>
      </c>
      <c r="AG9" s="90">
        <f>'05 Opex'!AG$8</f>
        <v>8572666.4544436615</v>
      </c>
      <c r="AH9" s="90">
        <f>'05 Opex'!AH$8</f>
        <v>9634044.2059462089</v>
      </c>
      <c r="AI9" s="90">
        <f>'05 Opex'!AI$8</f>
        <v>10695421.957448756</v>
      </c>
      <c r="AJ9" s="90">
        <f>'05 Opex'!AJ$8</f>
        <v>11756799.708951313</v>
      </c>
      <c r="AK9" s="90">
        <f>'05 Opex'!AK$8</f>
        <v>12818177.460453855</v>
      </c>
      <c r="AL9" s="90">
        <f>'05 Opex'!AL$8</f>
        <v>13879555.211956404</v>
      </c>
      <c r="AM9" s="90">
        <f>'05 Opex'!AM$8</f>
        <v>14940932.963458961</v>
      </c>
      <c r="AN9" s="90">
        <f>'05 Opex'!AN$8</f>
        <v>16002310.714961493</v>
      </c>
      <c r="AO9" s="90">
        <f>'05 Opex'!AO$8</f>
        <v>16002310.714961501</v>
      </c>
      <c r="AP9" s="90">
        <f>'05 Opex'!AP$8</f>
        <v>16002310.714961501</v>
      </c>
      <c r="AQ9" s="90">
        <f>'05 Opex'!AQ$8</f>
        <v>16367614.706065277</v>
      </c>
      <c r="AR9" s="90">
        <f>'05 Opex'!AR$8</f>
        <v>16367614.706065277</v>
      </c>
      <c r="AS9" s="90">
        <f>'05 Opex'!AS$8</f>
        <v>16367614.706065277</v>
      </c>
      <c r="AT9" s="90">
        <f>'05 Opex'!AT$8</f>
        <v>16367614.706065277</v>
      </c>
      <c r="AU9" s="90">
        <f>'05 Opex'!AU$8</f>
        <v>16367614.706065277</v>
      </c>
      <c r="AV9" s="90">
        <f>'05 Opex'!AV$8</f>
        <v>16367614.706065277</v>
      </c>
      <c r="AW9" s="90">
        <f>'05 Opex'!AW$8</f>
        <v>16367614.706065277</v>
      </c>
      <c r="AX9" s="90">
        <f>'05 Opex'!AX$8</f>
        <v>16367614.706065277</v>
      </c>
      <c r="AY9" s="90">
        <f>'05 Opex'!AY$8</f>
        <v>16367614.706065277</v>
      </c>
      <c r="AZ9" s="90">
        <f>'05 Opex'!AZ$8</f>
        <v>16367614.706065277</v>
      </c>
      <c r="BA9" s="90">
        <f>'05 Opex'!BA$8</f>
        <v>16367614.706065277</v>
      </c>
      <c r="BB9" s="90">
        <f>'05 Opex'!BB$8</f>
        <v>16367614.706065277</v>
      </c>
      <c r="BC9" s="90">
        <f>'05 Opex'!BC$8</f>
        <v>16741265.705857635</v>
      </c>
      <c r="BD9" s="90">
        <f>'05 Opex'!BD$8</f>
        <v>16741265.705857635</v>
      </c>
      <c r="BE9" s="90">
        <f>'05 Opex'!BE$8</f>
        <v>16741265.705857635</v>
      </c>
      <c r="BF9" s="90">
        <f>'05 Opex'!BF$8</f>
        <v>16741265.705857635</v>
      </c>
      <c r="BG9" s="90">
        <f>'05 Opex'!BG$8</f>
        <v>16741265.705857635</v>
      </c>
      <c r="BH9" s="90">
        <f>'05 Opex'!BH$8</f>
        <v>16741265.705857635</v>
      </c>
      <c r="BI9" s="90">
        <f>'05 Opex'!BI$8</f>
        <v>205481455.15051526</v>
      </c>
      <c r="BJ9" s="90">
        <f>'05 Opex'!BJ$8</f>
        <v>210172519.51129225</v>
      </c>
      <c r="BK9" s="90">
        <f>'05 Opex'!BK$8</f>
        <v>214970778.17021331</v>
      </c>
      <c r="BL9" s="90">
        <f>'05 Opex'!BL$8</f>
        <v>219878682.59249288</v>
      </c>
      <c r="BM9" s="90">
        <f>'05 Opex'!BM$8</f>
        <v>224898740.34697211</v>
      </c>
      <c r="BN9" s="90">
        <f>'05 Opex'!BN$8</f>
        <v>230033516.39090145</v>
      </c>
      <c r="BO9" s="90">
        <f>'05 Opex'!BO$8</f>
        <v>235027948.49261314</v>
      </c>
    </row>
    <row r="10" spans="1:67">
      <c r="A10" s="11"/>
      <c r="B10" s="11" t="s">
        <v>795</v>
      </c>
      <c r="C10" s="11"/>
      <c r="D10" s="33"/>
      <c r="E10" s="33"/>
      <c r="F10" s="10" t="s">
        <v>794</v>
      </c>
      <c r="G10" s="90">
        <f>'05 Opex'!G$9</f>
        <v>0</v>
      </c>
      <c r="H10" s="90">
        <f>'05 Opex'!H$9</f>
        <v>0</v>
      </c>
      <c r="I10" s="90">
        <f>'05 Opex'!I$9</f>
        <v>0</v>
      </c>
      <c r="J10" s="90">
        <f>'05 Opex'!J$9</f>
        <v>0</v>
      </c>
      <c r="K10" s="90">
        <f>'05 Opex'!K$9</f>
        <v>0</v>
      </c>
      <c r="L10" s="90">
        <f>'05 Opex'!L$9</f>
        <v>0</v>
      </c>
      <c r="M10" s="90">
        <f>'05 Opex'!M$9</f>
        <v>0</v>
      </c>
      <c r="N10" s="90">
        <f>'05 Opex'!N$9</f>
        <v>0</v>
      </c>
      <c r="O10" s="90">
        <f>'05 Opex'!O$9</f>
        <v>0</v>
      </c>
      <c r="P10" s="90">
        <f>'05 Opex'!P$9</f>
        <v>0</v>
      </c>
      <c r="Q10" s="90">
        <f>'05 Opex'!Q$9</f>
        <v>0</v>
      </c>
      <c r="R10" s="90">
        <f>'05 Opex'!R$9</f>
        <v>0</v>
      </c>
      <c r="S10" s="90">
        <f>'05 Opex'!S$9</f>
        <v>0</v>
      </c>
      <c r="T10" s="90">
        <f>'05 Opex'!T$9</f>
        <v>0</v>
      </c>
      <c r="U10" s="90">
        <f>'05 Opex'!U$9</f>
        <v>0</v>
      </c>
      <c r="V10" s="90">
        <f>'05 Opex'!V$9</f>
        <v>0</v>
      </c>
      <c r="W10" s="90">
        <f>'05 Opex'!W$9</f>
        <v>0</v>
      </c>
      <c r="X10" s="90">
        <f>'05 Opex'!X$9</f>
        <v>0</v>
      </c>
      <c r="Y10" s="90">
        <f>'05 Opex'!Y$9</f>
        <v>0</v>
      </c>
      <c r="Z10" s="90">
        <f>'05 Opex'!Z$9</f>
        <v>0</v>
      </c>
      <c r="AA10" s="90">
        <f>'05 Opex'!AA$9</f>
        <v>0</v>
      </c>
      <c r="AB10" s="90">
        <f>'05 Opex'!AB$9</f>
        <v>0</v>
      </c>
      <c r="AC10" s="90">
        <f>'05 Opex'!AC$9</f>
        <v>0</v>
      </c>
      <c r="AD10" s="90">
        <f>'05 Opex'!AD$9</f>
        <v>0</v>
      </c>
      <c r="AE10" s="90">
        <f>'05 Opex'!AE$9</f>
        <v>0</v>
      </c>
      <c r="AF10" s="90">
        <f>'05 Opex'!AF$9</f>
        <v>0</v>
      </c>
      <c r="AG10" s="90">
        <f>'05 Opex'!AG$9</f>
        <v>0</v>
      </c>
      <c r="AH10" s="90">
        <f>'05 Opex'!AH$9</f>
        <v>0</v>
      </c>
      <c r="AI10" s="90">
        <f>'05 Opex'!AI$9</f>
        <v>0</v>
      </c>
      <c r="AJ10" s="90">
        <f>'05 Opex'!AJ$9</f>
        <v>0</v>
      </c>
      <c r="AK10" s="90">
        <f>'05 Opex'!AK$9</f>
        <v>0</v>
      </c>
      <c r="AL10" s="90">
        <f>'05 Opex'!AL$9</f>
        <v>0</v>
      </c>
      <c r="AM10" s="90">
        <f>'05 Opex'!AM$9</f>
        <v>0</v>
      </c>
      <c r="AN10" s="90">
        <f>'05 Opex'!AN$9</f>
        <v>0</v>
      </c>
      <c r="AO10" s="90">
        <f>'05 Opex'!AO$9</f>
        <v>0</v>
      </c>
      <c r="AP10" s="90">
        <f>'05 Opex'!AP$9</f>
        <v>0</v>
      </c>
      <c r="AQ10" s="90">
        <f>'05 Opex'!AQ$9</f>
        <v>0</v>
      </c>
      <c r="AR10" s="90">
        <f>'05 Opex'!AR$9</f>
        <v>0</v>
      </c>
      <c r="AS10" s="90">
        <f>'05 Opex'!AS$9</f>
        <v>0</v>
      </c>
      <c r="AT10" s="90">
        <f>'05 Opex'!AT$9</f>
        <v>0</v>
      </c>
      <c r="AU10" s="90">
        <f>'05 Opex'!AU$9</f>
        <v>0</v>
      </c>
      <c r="AV10" s="90">
        <f>'05 Opex'!AV$9</f>
        <v>0</v>
      </c>
      <c r="AW10" s="90">
        <f>'05 Opex'!AW$9</f>
        <v>0</v>
      </c>
      <c r="AX10" s="90">
        <f>'05 Opex'!AX$9</f>
        <v>0</v>
      </c>
      <c r="AY10" s="90">
        <f>'05 Opex'!AY$9</f>
        <v>0</v>
      </c>
      <c r="AZ10" s="90">
        <f>'05 Opex'!AZ$9</f>
        <v>0</v>
      </c>
      <c r="BA10" s="90">
        <f>'05 Opex'!BA$9</f>
        <v>0</v>
      </c>
      <c r="BB10" s="90">
        <f>'05 Opex'!BB$9</f>
        <v>0</v>
      </c>
      <c r="BC10" s="90">
        <f>'05 Opex'!BC$9</f>
        <v>0</v>
      </c>
      <c r="BD10" s="90">
        <f>'05 Opex'!BD$9</f>
        <v>0</v>
      </c>
      <c r="BE10" s="90">
        <f>'05 Opex'!BE$9</f>
        <v>0</v>
      </c>
      <c r="BF10" s="90">
        <f>'05 Opex'!BF$9</f>
        <v>0</v>
      </c>
      <c r="BG10" s="90">
        <f>'05 Opex'!BG$9</f>
        <v>0</v>
      </c>
      <c r="BH10" s="90">
        <f>'05 Opex'!BH$9</f>
        <v>0</v>
      </c>
      <c r="BI10" s="90">
        <f>'05 Opex'!BI$9</f>
        <v>0</v>
      </c>
      <c r="BJ10" s="90">
        <f>'05 Opex'!BJ$9</f>
        <v>0</v>
      </c>
      <c r="BK10" s="90">
        <f>'05 Opex'!BK$9</f>
        <v>0</v>
      </c>
      <c r="BL10" s="90">
        <f>'05 Opex'!BL$9</f>
        <v>0</v>
      </c>
      <c r="BM10" s="90">
        <f>'05 Opex'!BM$9</f>
        <v>0</v>
      </c>
      <c r="BN10" s="90">
        <f>'05 Opex'!BN$9</f>
        <v>0</v>
      </c>
      <c r="BO10" s="90">
        <f>'05 Opex'!BO$9</f>
        <v>0</v>
      </c>
    </row>
    <row r="11" spans="1:67">
      <c r="A11" s="11"/>
      <c r="B11" s="11" t="s">
        <v>796</v>
      </c>
      <c r="C11" s="11"/>
      <c r="D11" s="33"/>
      <c r="E11" s="33"/>
      <c r="F11" s="10" t="s">
        <v>794</v>
      </c>
      <c r="G11" s="90">
        <f>'05 Opex'!G$37+'05 Opex'!G$38</f>
        <v>0</v>
      </c>
      <c r="H11" s="90">
        <f>'05 Opex'!H$37+'05 Opex'!H$38</f>
        <v>0</v>
      </c>
      <c r="I11" s="90">
        <f>'05 Opex'!I$37+'05 Opex'!I$38</f>
        <v>0</v>
      </c>
      <c r="J11" s="90">
        <f>'05 Opex'!J$37+'05 Opex'!J$38</f>
        <v>0</v>
      </c>
      <c r="K11" s="90">
        <f>'05 Opex'!K$37+'05 Opex'!K$38</f>
        <v>0</v>
      </c>
      <c r="L11" s="90">
        <f>'05 Opex'!L$37+'05 Opex'!L$38</f>
        <v>0</v>
      </c>
      <c r="M11" s="90">
        <f>'05 Opex'!M$37+'05 Opex'!M$38</f>
        <v>0</v>
      </c>
      <c r="N11" s="90">
        <f>'05 Opex'!N$37+'05 Opex'!N$38</f>
        <v>0</v>
      </c>
      <c r="O11" s="90">
        <f>'05 Opex'!O$37+'05 Opex'!O$38</f>
        <v>0</v>
      </c>
      <c r="P11" s="90">
        <f>'05 Opex'!P$37+'05 Opex'!P$38</f>
        <v>0</v>
      </c>
      <c r="Q11" s="90">
        <f>'05 Opex'!Q$37+'05 Opex'!Q$38</f>
        <v>0</v>
      </c>
      <c r="R11" s="90">
        <f>'05 Opex'!R$37+'05 Opex'!R$38</f>
        <v>0</v>
      </c>
      <c r="S11" s="90">
        <f>'05 Opex'!S$37+'05 Opex'!S$38</f>
        <v>0</v>
      </c>
      <c r="T11" s="90">
        <f>'05 Opex'!T$37+'05 Opex'!T$38</f>
        <v>0</v>
      </c>
      <c r="U11" s="90">
        <f>'05 Opex'!U$37+'05 Opex'!U$38</f>
        <v>0</v>
      </c>
      <c r="V11" s="90">
        <f>'05 Opex'!V$37+'05 Opex'!V$38</f>
        <v>0</v>
      </c>
      <c r="W11" s="90">
        <f>'05 Opex'!W$37+'05 Opex'!W$38</f>
        <v>0</v>
      </c>
      <c r="X11" s="90">
        <f>'05 Opex'!X$37+'05 Opex'!X$38</f>
        <v>0</v>
      </c>
      <c r="Y11" s="90">
        <f>'05 Opex'!Y$37+'05 Opex'!Y$38</f>
        <v>0</v>
      </c>
      <c r="Z11" s="90">
        <f>'05 Opex'!Z$37+'05 Opex'!Z$38</f>
        <v>0</v>
      </c>
      <c r="AA11" s="90">
        <f>'05 Opex'!AA$37+'05 Opex'!AA$38</f>
        <v>0</v>
      </c>
      <c r="AB11" s="90">
        <f>'05 Opex'!AB$37+'05 Opex'!AB$38</f>
        <v>1110564.0000000002</v>
      </c>
      <c r="AC11" s="90">
        <f>'05 Opex'!AC$37+'05 Opex'!AC$38</f>
        <v>1110564.0000000002</v>
      </c>
      <c r="AD11" s="90">
        <f>'05 Opex'!AD$37+'05 Opex'!AD$38</f>
        <v>1110564.0000000002</v>
      </c>
      <c r="AE11" s="90">
        <f>'05 Opex'!AE$37+'05 Opex'!AE$38</f>
        <v>1166092.2000000002</v>
      </c>
      <c r="AF11" s="90">
        <f>'05 Opex'!AF$37+'05 Opex'!AF$38</f>
        <v>1166092.2000000002</v>
      </c>
      <c r="AG11" s="90">
        <f>'05 Opex'!AG$37+'05 Opex'!AG$38</f>
        <v>1166092.2000000002</v>
      </c>
      <c r="AH11" s="90">
        <f>'05 Opex'!AH$37+'05 Opex'!AH$38</f>
        <v>1166092.2000000002</v>
      </c>
      <c r="AI11" s="90">
        <f>'05 Opex'!AI$37+'05 Opex'!AI$38</f>
        <v>1166092.2000000002</v>
      </c>
      <c r="AJ11" s="90">
        <f>'05 Opex'!AJ$37+'05 Opex'!AJ$38</f>
        <v>1166092.2000000002</v>
      </c>
      <c r="AK11" s="90">
        <f>'05 Opex'!AK$37+'05 Opex'!AK$38</f>
        <v>1166092.2000000002</v>
      </c>
      <c r="AL11" s="90">
        <f>'05 Opex'!AL$37+'05 Opex'!AL$38</f>
        <v>1166092.2000000002</v>
      </c>
      <c r="AM11" s="90">
        <f>'05 Opex'!AM$37+'05 Opex'!AM$38</f>
        <v>1166092.2000000002</v>
      </c>
      <c r="AN11" s="90">
        <f>'05 Opex'!AN$37+'05 Opex'!AN$38</f>
        <v>1166092.2000000002</v>
      </c>
      <c r="AO11" s="90">
        <f>'05 Opex'!AO$37+'05 Opex'!AO$38</f>
        <v>1166092.2000000002</v>
      </c>
      <c r="AP11" s="90">
        <f>'05 Opex'!AP$37+'05 Opex'!AP$38</f>
        <v>1166092.2000000002</v>
      </c>
      <c r="AQ11" s="90">
        <f>'05 Opex'!AQ$37+'05 Opex'!AQ$38</f>
        <v>1224396.8100000003</v>
      </c>
      <c r="AR11" s="90">
        <f>'05 Opex'!AR$37+'05 Opex'!AR$38</f>
        <v>1224396.8100000003</v>
      </c>
      <c r="AS11" s="90">
        <f>'05 Opex'!AS$37+'05 Opex'!AS$38</f>
        <v>1224396.8100000003</v>
      </c>
      <c r="AT11" s="90">
        <f>'05 Opex'!AT$37+'05 Opex'!AT$38</f>
        <v>1224396.8100000003</v>
      </c>
      <c r="AU11" s="90">
        <f>'05 Opex'!AU$37+'05 Opex'!AU$38</f>
        <v>1224396.8100000003</v>
      </c>
      <c r="AV11" s="90">
        <f>'05 Opex'!AV$37+'05 Opex'!AV$38</f>
        <v>1224396.8100000003</v>
      </c>
      <c r="AW11" s="90">
        <f>'05 Opex'!AW$37+'05 Opex'!AW$38</f>
        <v>1224396.8100000003</v>
      </c>
      <c r="AX11" s="90">
        <f>'05 Opex'!AX$37+'05 Opex'!AX$38</f>
        <v>1224396.8100000003</v>
      </c>
      <c r="AY11" s="90">
        <f>'05 Opex'!AY$37+'05 Opex'!AY$38</f>
        <v>1224396.8100000003</v>
      </c>
      <c r="AZ11" s="90">
        <f>'05 Opex'!AZ$37+'05 Opex'!AZ$38</f>
        <v>1224396.8100000003</v>
      </c>
      <c r="BA11" s="90">
        <f>'05 Opex'!BA$37+'05 Opex'!BA$38</f>
        <v>1224396.8100000003</v>
      </c>
      <c r="BB11" s="90">
        <f>'05 Opex'!BB$37+'05 Opex'!BB$38</f>
        <v>1224396.8100000003</v>
      </c>
      <c r="BC11" s="90">
        <f>'05 Opex'!BC$37+'05 Opex'!BC$38</f>
        <v>1285616.6505</v>
      </c>
      <c r="BD11" s="90">
        <f>'05 Opex'!BD$37+'05 Opex'!BD$38</f>
        <v>1285616.6505</v>
      </c>
      <c r="BE11" s="90">
        <f>'05 Opex'!BE$37+'05 Opex'!BE$38</f>
        <v>1285616.6505</v>
      </c>
      <c r="BF11" s="90">
        <f>'05 Opex'!BF$37+'05 Opex'!BF$38</f>
        <v>1285616.6505</v>
      </c>
      <c r="BG11" s="90">
        <f>'05 Opex'!BG$37+'05 Opex'!BG$38</f>
        <v>1285616.6505</v>
      </c>
      <c r="BH11" s="90">
        <f>'05 Opex'!BH$37+'05 Opex'!BH$38</f>
        <v>1285616.6505</v>
      </c>
      <c r="BI11" s="90">
        <f>'05 Opex'!BI$37+'05 Opex'!BI$38</f>
        <v>16198769.796300005</v>
      </c>
      <c r="BJ11" s="90">
        <f>'05 Opex'!BJ$37+'05 Opex'!BJ$38</f>
        <v>17008708.286115002</v>
      </c>
      <c r="BK11" s="90">
        <f>'05 Opex'!BK$37+'05 Opex'!BK$38</f>
        <v>17859143.700420756</v>
      </c>
      <c r="BL11" s="90">
        <f>'05 Opex'!BL$37+'05 Opex'!BL$38</f>
        <v>18752100.885441791</v>
      </c>
      <c r="BM11" s="90">
        <f>'05 Opex'!BM$37+'05 Opex'!BM$38</f>
        <v>19689705.929713883</v>
      </c>
      <c r="BN11" s="90">
        <f>'05 Opex'!BN$37+'05 Opex'!BN$38</f>
        <v>20674191.226199575</v>
      </c>
      <c r="BO11" s="90">
        <f>'05 Opex'!BO$37+'05 Opex'!BO$38</f>
        <v>21707900.787509557</v>
      </c>
    </row>
    <row r="12" spans="1:67">
      <c r="A12" s="11"/>
      <c r="B12" s="11" t="s">
        <v>797</v>
      </c>
      <c r="C12" s="11"/>
      <c r="D12" s="33"/>
      <c r="E12" s="33"/>
      <c r="F12" s="10" t="s">
        <v>798</v>
      </c>
      <c r="G12" s="90">
        <f>'05 Opex'!G$34+'05 Opex'!G$35+'05 Opex'!G$36+'05 Opex'!G$40+'05 Opex'!G$41+'05 Opex'!G$42+'05 Opex'!G$44+'05 Opex'!G$45+'05 Opex'!G$46</f>
        <v>0</v>
      </c>
      <c r="H12" s="90">
        <f>'05 Opex'!H$34+'05 Opex'!H$35+'05 Opex'!H$36+'05 Opex'!H$40+'05 Opex'!H$41+'05 Opex'!H$42+'05 Opex'!H$44+'05 Opex'!H$45+'05 Opex'!H$46</f>
        <v>0</v>
      </c>
      <c r="I12" s="90">
        <f>'05 Opex'!I$34+'05 Opex'!I$35+'05 Opex'!I$36+'05 Opex'!I$40+'05 Opex'!I$41+'05 Opex'!I$42+'05 Opex'!I$44+'05 Opex'!I$45+'05 Opex'!I$46</f>
        <v>0</v>
      </c>
      <c r="J12" s="90">
        <f>'05 Opex'!J$34+'05 Opex'!J$35+'05 Opex'!J$36+'05 Opex'!J$40+'05 Opex'!J$41+'05 Opex'!J$42+'05 Opex'!J$44+'05 Opex'!J$45+'05 Opex'!J$46</f>
        <v>0</v>
      </c>
      <c r="K12" s="90">
        <f>'05 Opex'!K$34+'05 Opex'!K$35+'05 Opex'!K$36+'05 Opex'!K$40+'05 Opex'!K$41+'05 Opex'!K$42+'05 Opex'!K$44+'05 Opex'!K$45+'05 Opex'!K$46</f>
        <v>0</v>
      </c>
      <c r="L12" s="90">
        <f>'05 Opex'!L$34+'05 Opex'!L$35+'05 Opex'!L$36+'05 Opex'!L$40+'05 Opex'!L$41+'05 Opex'!L$42+'05 Opex'!L$44+'05 Opex'!L$45+'05 Opex'!L$46</f>
        <v>0</v>
      </c>
      <c r="M12" s="90">
        <f>'05 Opex'!M$34+'05 Opex'!M$35+'05 Opex'!M$36+'05 Opex'!M$40+'05 Opex'!M$41+'05 Opex'!M$42+'05 Opex'!M$44+'05 Opex'!M$45+'05 Opex'!M$46</f>
        <v>0</v>
      </c>
      <c r="N12" s="90">
        <f>'05 Opex'!N$34+'05 Opex'!N$35+'05 Opex'!N$36+'05 Opex'!N$40+'05 Opex'!N$41+'05 Opex'!N$42+'05 Opex'!N$44+'05 Opex'!N$45+'05 Opex'!N$46</f>
        <v>0</v>
      </c>
      <c r="O12" s="90">
        <f>'05 Opex'!O$34+'05 Opex'!O$35+'05 Opex'!O$36+'05 Opex'!O$40+'05 Opex'!O$41+'05 Opex'!O$42+'05 Opex'!O$44+'05 Opex'!O$45+'05 Opex'!O$46</f>
        <v>0</v>
      </c>
      <c r="P12" s="90">
        <f>'05 Opex'!P$34+'05 Opex'!P$35+'05 Opex'!P$36+'05 Opex'!P$40+'05 Opex'!P$41+'05 Opex'!P$42+'05 Opex'!P$44+'05 Opex'!P$45+'05 Opex'!P$46</f>
        <v>0</v>
      </c>
      <c r="Q12" s="90">
        <f>'05 Opex'!Q$34+'05 Opex'!Q$35+'05 Opex'!Q$36+'05 Opex'!Q$40+'05 Opex'!Q$41+'05 Opex'!Q$42+'05 Opex'!Q$44+'05 Opex'!Q$45+'05 Opex'!Q$46</f>
        <v>0</v>
      </c>
      <c r="R12" s="90">
        <f>'05 Opex'!R$34+'05 Opex'!R$35+'05 Opex'!R$36+'05 Opex'!R$40+'05 Opex'!R$41+'05 Opex'!R$42+'05 Opex'!R$44+'05 Opex'!R$45+'05 Opex'!R$46</f>
        <v>0</v>
      </c>
      <c r="S12" s="90">
        <f>'05 Opex'!S$34+'05 Opex'!S$35+'05 Opex'!S$36+'05 Opex'!S$40+'05 Opex'!S$41+'05 Opex'!S$42+'05 Opex'!S$44+'05 Opex'!S$45+'05 Opex'!S$46</f>
        <v>0</v>
      </c>
      <c r="T12" s="90">
        <f>'05 Opex'!T$34+'05 Opex'!T$35+'05 Opex'!T$36+'05 Opex'!T$40+'05 Opex'!T$41+'05 Opex'!T$42+'05 Opex'!T$44+'05 Opex'!T$45+'05 Opex'!T$46</f>
        <v>0</v>
      </c>
      <c r="U12" s="90">
        <f>'05 Opex'!U$34+'05 Opex'!U$35+'05 Opex'!U$36+'05 Opex'!U$40+'05 Opex'!U$41+'05 Opex'!U$42+'05 Opex'!U$44+'05 Opex'!U$45+'05 Opex'!U$46</f>
        <v>0</v>
      </c>
      <c r="V12" s="90">
        <f>'05 Opex'!V$34+'05 Opex'!V$35+'05 Opex'!V$36+'05 Opex'!V$40+'05 Opex'!V$41+'05 Opex'!V$42+'05 Opex'!V$44+'05 Opex'!V$45+'05 Opex'!V$46</f>
        <v>0</v>
      </c>
      <c r="W12" s="90">
        <f>'05 Opex'!W$34+'05 Opex'!W$35+'05 Opex'!W$36+'05 Opex'!W$40+'05 Opex'!W$41+'05 Opex'!W$42+'05 Opex'!W$44+'05 Opex'!W$45+'05 Opex'!W$46</f>
        <v>0</v>
      </c>
      <c r="X12" s="90">
        <f>'05 Opex'!X$34+'05 Opex'!X$35+'05 Opex'!X$36+'05 Opex'!X$40+'05 Opex'!X$41+'05 Opex'!X$42+'05 Opex'!X$44+'05 Opex'!X$45+'05 Opex'!X$46</f>
        <v>0</v>
      </c>
      <c r="Y12" s="90">
        <f>'05 Opex'!Y$34+'05 Opex'!Y$35+'05 Opex'!Y$36+'05 Opex'!Y$40+'05 Opex'!Y$41+'05 Opex'!Y$42+'05 Opex'!Y$44+'05 Opex'!Y$45+'05 Opex'!Y$46</f>
        <v>0</v>
      </c>
      <c r="Z12" s="90">
        <f>'05 Opex'!Z$34+'05 Opex'!Z$35+'05 Opex'!Z$36+'05 Opex'!Z$40+'05 Opex'!Z$41+'05 Opex'!Z$42+'05 Opex'!Z$44+'05 Opex'!Z$45+'05 Opex'!Z$46</f>
        <v>0</v>
      </c>
      <c r="AA12" s="90">
        <f>'05 Opex'!AA$34+'05 Opex'!AA$35+'05 Opex'!AA$36+'05 Opex'!AA$40+'05 Opex'!AA$41+'05 Opex'!AA$42+'05 Opex'!AA$44+'05 Opex'!AA$45+'05 Opex'!AA$46</f>
        <v>0</v>
      </c>
      <c r="AB12" s="90">
        <f>'05 Opex'!AB$34+'05 Opex'!AB$35+'05 Opex'!AB$36+'05 Opex'!AB$40+'05 Opex'!AB$41+'05 Opex'!AB$42+'05 Opex'!AB$44+'05 Opex'!AB$45+'05 Opex'!AB$46</f>
        <v>1751966.1250000002</v>
      </c>
      <c r="AC12" s="90">
        <f>'05 Opex'!AC$34+'05 Opex'!AC$35+'05 Opex'!AC$36+'05 Opex'!AC$40+'05 Opex'!AC$41+'05 Opex'!AC$42+'05 Opex'!AC$44+'05 Opex'!AC$45+'05 Opex'!AC$46</f>
        <v>1751966.1250000002</v>
      </c>
      <c r="AD12" s="90">
        <f>'05 Opex'!AD$34+'05 Opex'!AD$35+'05 Opex'!AD$36+'05 Opex'!AD$40+'05 Opex'!AD$41+'05 Opex'!AD$42+'05 Opex'!AD$44+'05 Opex'!AD$45+'05 Opex'!AD$46</f>
        <v>1751966.1250000002</v>
      </c>
      <c r="AE12" s="90">
        <f>'05 Opex'!AE$34+'05 Opex'!AE$35+'05 Opex'!AE$36+'05 Opex'!AE$40+'05 Opex'!AE$41+'05 Opex'!AE$42+'05 Opex'!AE$44+'05 Opex'!AE$45+'05 Opex'!AE$46</f>
        <v>1839564.4312500004</v>
      </c>
      <c r="AF12" s="90">
        <f>'05 Opex'!AF$34+'05 Opex'!AF$35+'05 Opex'!AF$36+'05 Opex'!AF$40+'05 Opex'!AF$41+'05 Opex'!AF$42+'05 Opex'!AF$44+'05 Opex'!AF$45+'05 Opex'!AF$46</f>
        <v>1839564.4312500004</v>
      </c>
      <c r="AG12" s="90">
        <f>'05 Opex'!AG$34+'05 Opex'!AG$35+'05 Opex'!AG$36+'05 Opex'!AG$40+'05 Opex'!AG$41+'05 Opex'!AG$42+'05 Opex'!AG$44+'05 Opex'!AG$45+'05 Opex'!AG$46</f>
        <v>1839564.4312500004</v>
      </c>
      <c r="AH12" s="90">
        <f>'05 Opex'!AH$34+'05 Opex'!AH$35+'05 Opex'!AH$36+'05 Opex'!AH$40+'05 Opex'!AH$41+'05 Opex'!AH$42+'05 Opex'!AH$44+'05 Opex'!AH$45+'05 Opex'!AH$46</f>
        <v>1839564.4312500004</v>
      </c>
      <c r="AI12" s="90">
        <f>'05 Opex'!AI$34+'05 Opex'!AI$35+'05 Opex'!AI$36+'05 Opex'!AI$40+'05 Opex'!AI$41+'05 Opex'!AI$42+'05 Opex'!AI$44+'05 Opex'!AI$45+'05 Opex'!AI$46</f>
        <v>1839564.4312500004</v>
      </c>
      <c r="AJ12" s="90">
        <f>'05 Opex'!AJ$34+'05 Opex'!AJ$35+'05 Opex'!AJ$36+'05 Opex'!AJ$40+'05 Opex'!AJ$41+'05 Opex'!AJ$42+'05 Opex'!AJ$44+'05 Opex'!AJ$45+'05 Opex'!AJ$46</f>
        <v>1839564.4312500004</v>
      </c>
      <c r="AK12" s="90">
        <f>'05 Opex'!AK$34+'05 Opex'!AK$35+'05 Opex'!AK$36+'05 Opex'!AK$40+'05 Opex'!AK$41+'05 Opex'!AK$42+'05 Opex'!AK$44+'05 Opex'!AK$45+'05 Opex'!AK$46</f>
        <v>1839564.4312500004</v>
      </c>
      <c r="AL12" s="90">
        <f>'05 Opex'!AL$34+'05 Opex'!AL$35+'05 Opex'!AL$36+'05 Opex'!AL$40+'05 Opex'!AL$41+'05 Opex'!AL$42+'05 Opex'!AL$44+'05 Opex'!AL$45+'05 Opex'!AL$46</f>
        <v>1839564.4312500004</v>
      </c>
      <c r="AM12" s="90">
        <f>'05 Opex'!AM$34+'05 Opex'!AM$35+'05 Opex'!AM$36+'05 Opex'!AM$40+'05 Opex'!AM$41+'05 Opex'!AM$42+'05 Opex'!AM$44+'05 Opex'!AM$45+'05 Opex'!AM$46</f>
        <v>1839564.4312500004</v>
      </c>
      <c r="AN12" s="90">
        <f>'05 Opex'!AN$34+'05 Opex'!AN$35+'05 Opex'!AN$36+'05 Opex'!AN$40+'05 Opex'!AN$41+'05 Opex'!AN$42+'05 Opex'!AN$44+'05 Opex'!AN$45+'05 Opex'!AN$46</f>
        <v>1839564.4312500004</v>
      </c>
      <c r="AO12" s="90">
        <f>'05 Opex'!AO$34+'05 Opex'!AO$35+'05 Opex'!AO$36+'05 Opex'!AO$40+'05 Opex'!AO$41+'05 Opex'!AO$42+'05 Opex'!AO$44+'05 Opex'!AO$45+'05 Opex'!AO$46</f>
        <v>1839564.4312500004</v>
      </c>
      <c r="AP12" s="90">
        <f>'05 Opex'!AP$34+'05 Opex'!AP$35+'05 Opex'!AP$36+'05 Opex'!AP$40+'05 Opex'!AP$41+'05 Opex'!AP$42+'05 Opex'!AP$44+'05 Opex'!AP$45+'05 Opex'!AP$46</f>
        <v>1839564.4312500004</v>
      </c>
      <c r="AQ12" s="90">
        <f>'05 Opex'!AQ$34+'05 Opex'!AQ$35+'05 Opex'!AQ$36+'05 Opex'!AQ$40+'05 Opex'!AQ$41+'05 Opex'!AQ$42+'05 Opex'!AQ$44+'05 Opex'!AQ$45+'05 Opex'!AQ$46</f>
        <v>1931542.6528125005</v>
      </c>
      <c r="AR12" s="90">
        <f>'05 Opex'!AR$34+'05 Opex'!AR$35+'05 Opex'!AR$36+'05 Opex'!AR$40+'05 Opex'!AR$41+'05 Opex'!AR$42+'05 Opex'!AR$44+'05 Opex'!AR$45+'05 Opex'!AR$46</f>
        <v>1931542.6528125005</v>
      </c>
      <c r="AS12" s="90">
        <f>'05 Opex'!AS$34+'05 Opex'!AS$35+'05 Opex'!AS$36+'05 Opex'!AS$40+'05 Opex'!AS$41+'05 Opex'!AS$42+'05 Opex'!AS$44+'05 Opex'!AS$45+'05 Opex'!AS$46</f>
        <v>1931542.6528125005</v>
      </c>
      <c r="AT12" s="90">
        <f>'05 Opex'!AT$34+'05 Opex'!AT$35+'05 Opex'!AT$36+'05 Opex'!AT$40+'05 Opex'!AT$41+'05 Opex'!AT$42+'05 Opex'!AT$44+'05 Opex'!AT$45+'05 Opex'!AT$46</f>
        <v>1931542.6528125005</v>
      </c>
      <c r="AU12" s="90">
        <f>'05 Opex'!AU$34+'05 Opex'!AU$35+'05 Opex'!AU$36+'05 Opex'!AU$40+'05 Opex'!AU$41+'05 Opex'!AU$42+'05 Opex'!AU$44+'05 Opex'!AU$45+'05 Opex'!AU$46</f>
        <v>1931542.6528125005</v>
      </c>
      <c r="AV12" s="90">
        <f>'05 Opex'!AV$34+'05 Opex'!AV$35+'05 Opex'!AV$36+'05 Opex'!AV$40+'05 Opex'!AV$41+'05 Opex'!AV$42+'05 Opex'!AV$44+'05 Opex'!AV$45+'05 Opex'!AV$46</f>
        <v>1931542.6528125005</v>
      </c>
      <c r="AW12" s="90">
        <f>'05 Opex'!AW$34+'05 Opex'!AW$35+'05 Opex'!AW$36+'05 Opex'!AW$40+'05 Opex'!AW$41+'05 Opex'!AW$42+'05 Opex'!AW$44+'05 Opex'!AW$45+'05 Opex'!AW$46</f>
        <v>1931542.6528125005</v>
      </c>
      <c r="AX12" s="90">
        <f>'05 Opex'!AX$34+'05 Opex'!AX$35+'05 Opex'!AX$36+'05 Opex'!AX$40+'05 Opex'!AX$41+'05 Opex'!AX$42+'05 Opex'!AX$44+'05 Opex'!AX$45+'05 Opex'!AX$46</f>
        <v>1931542.6528125005</v>
      </c>
      <c r="AY12" s="90">
        <f>'05 Opex'!AY$34+'05 Opex'!AY$35+'05 Opex'!AY$36+'05 Opex'!AY$40+'05 Opex'!AY$41+'05 Opex'!AY$42+'05 Opex'!AY$44+'05 Opex'!AY$45+'05 Opex'!AY$46</f>
        <v>1931542.6528125005</v>
      </c>
      <c r="AZ12" s="90">
        <f>'05 Opex'!AZ$34+'05 Opex'!AZ$35+'05 Opex'!AZ$36+'05 Opex'!AZ$40+'05 Opex'!AZ$41+'05 Opex'!AZ$42+'05 Opex'!AZ$44+'05 Opex'!AZ$45+'05 Opex'!AZ$46</f>
        <v>1931542.6528125005</v>
      </c>
      <c r="BA12" s="90">
        <f>'05 Opex'!BA$34+'05 Opex'!BA$35+'05 Opex'!BA$36+'05 Opex'!BA$40+'05 Opex'!BA$41+'05 Opex'!BA$42+'05 Opex'!BA$44+'05 Opex'!BA$45+'05 Opex'!BA$46</f>
        <v>1931542.6528125005</v>
      </c>
      <c r="BB12" s="90">
        <f>'05 Opex'!BB$34+'05 Opex'!BB$35+'05 Opex'!BB$36+'05 Opex'!BB$40+'05 Opex'!BB$41+'05 Opex'!BB$42+'05 Opex'!BB$44+'05 Opex'!BB$45+'05 Opex'!BB$46</f>
        <v>1931542.6528125005</v>
      </c>
      <c r="BC12" s="90">
        <f>'05 Opex'!BC$34+'05 Opex'!BC$35+'05 Opex'!BC$36+'05 Opex'!BC$40+'05 Opex'!BC$41+'05 Opex'!BC$42+'05 Opex'!BC$44+'05 Opex'!BC$45+'05 Opex'!BC$46</f>
        <v>2028119.7854531254</v>
      </c>
      <c r="BD12" s="90">
        <f>'05 Opex'!BD$34+'05 Opex'!BD$35+'05 Opex'!BD$36+'05 Opex'!BD$40+'05 Opex'!BD$41+'05 Opex'!BD$42+'05 Opex'!BD$44+'05 Opex'!BD$45+'05 Opex'!BD$46</f>
        <v>2028119.7854531254</v>
      </c>
      <c r="BE12" s="90">
        <f>'05 Opex'!BE$34+'05 Opex'!BE$35+'05 Opex'!BE$36+'05 Opex'!BE$40+'05 Opex'!BE$41+'05 Opex'!BE$42+'05 Opex'!BE$44+'05 Opex'!BE$45+'05 Opex'!BE$46</f>
        <v>2028119.7854531254</v>
      </c>
      <c r="BF12" s="90">
        <f>'05 Opex'!BF$34+'05 Opex'!BF$35+'05 Opex'!BF$36+'05 Opex'!BF$40+'05 Opex'!BF$41+'05 Opex'!BF$42+'05 Opex'!BF$44+'05 Opex'!BF$45+'05 Opex'!BF$46</f>
        <v>2028119.7854531254</v>
      </c>
      <c r="BG12" s="90">
        <f>'05 Opex'!BG$34+'05 Opex'!BG$35+'05 Opex'!BG$36+'05 Opex'!BG$40+'05 Opex'!BG$41+'05 Opex'!BG$42+'05 Opex'!BG$44+'05 Opex'!BG$45+'05 Opex'!BG$46</f>
        <v>2028119.7854531254</v>
      </c>
      <c r="BH12" s="90">
        <f>'05 Opex'!BH$34+'05 Opex'!BH$35+'05 Opex'!BH$36+'05 Opex'!BH$40+'05 Opex'!BH$41+'05 Opex'!BH$42+'05 Opex'!BH$44+'05 Opex'!BH$45+'05 Opex'!BH$46</f>
        <v>2028119.7854531254</v>
      </c>
      <c r="BI12" s="90">
        <f>'05 Opex'!BI$34+'05 Opex'!BI$35+'05 Opex'!BI$36+'05 Opex'!BI$40+'05 Opex'!BI$41+'05 Opex'!BI$42+'05 Opex'!BI$44+'05 Opex'!BI$45+'05 Opex'!BI$46</f>
        <v>25554309.296709374</v>
      </c>
      <c r="BJ12" s="90">
        <f>'05 Opex'!BJ$34+'05 Opex'!BJ$35+'05 Opex'!BJ$36+'05 Opex'!BJ$40+'05 Opex'!BJ$41+'05 Opex'!BJ$42+'05 Opex'!BJ$44+'05 Opex'!BJ$45+'05 Opex'!BJ$46</f>
        <v>26832024.761544842</v>
      </c>
      <c r="BK12" s="90">
        <f>'05 Opex'!BK$34+'05 Opex'!BK$35+'05 Opex'!BK$36+'05 Opex'!BK$40+'05 Opex'!BK$41+'05 Opex'!BK$42+'05 Opex'!BK$44+'05 Opex'!BK$45+'05 Opex'!BK$46</f>
        <v>28173625.999622092</v>
      </c>
      <c r="BL12" s="90">
        <f>'05 Opex'!BL$34+'05 Opex'!BL$35+'05 Opex'!BL$36+'05 Opex'!BL$40+'05 Opex'!BL$41+'05 Opex'!BL$42+'05 Opex'!BL$44+'05 Opex'!BL$45+'05 Opex'!BL$46</f>
        <v>29582307.299603194</v>
      </c>
      <c r="BM12" s="90">
        <f>'05 Opex'!BM$34+'05 Opex'!BM$35+'05 Opex'!BM$36+'05 Opex'!BM$40+'05 Opex'!BM$41+'05 Opex'!BM$42+'05 Opex'!BM$44+'05 Opex'!BM$45+'05 Opex'!BM$46</f>
        <v>31061422.664583355</v>
      </c>
      <c r="BN12" s="90">
        <f>'05 Opex'!BN$34+'05 Opex'!BN$35+'05 Opex'!BN$36+'05 Opex'!BN$40+'05 Opex'!BN$41+'05 Opex'!BN$42+'05 Opex'!BN$44+'05 Opex'!BN$45+'05 Opex'!BN$46</f>
        <v>32614493.797812521</v>
      </c>
      <c r="BO12" s="90">
        <f>'05 Opex'!BO$34+'05 Opex'!BO$35+'05 Opex'!BO$36+'05 Opex'!BO$40+'05 Opex'!BO$41+'05 Opex'!BO$42+'05 Opex'!BO$44+'05 Opex'!BO$45+'05 Opex'!BO$46</f>
        <v>34245218.487703152</v>
      </c>
    </row>
    <row r="13" spans="1:67">
      <c r="A13" s="11"/>
      <c r="B13" s="11" t="s">
        <v>786</v>
      </c>
      <c r="C13" s="11"/>
      <c r="D13" s="33"/>
      <c r="E13" s="33"/>
      <c r="F13" s="10" t="s">
        <v>794</v>
      </c>
      <c r="G13" s="90">
        <f>'05 Opex'!G$13</f>
        <v>0</v>
      </c>
      <c r="H13" s="90">
        <f>'05 Opex'!H$13</f>
        <v>0</v>
      </c>
      <c r="I13" s="90">
        <f>'05 Opex'!I$13</f>
        <v>0</v>
      </c>
      <c r="J13" s="90">
        <f>'05 Opex'!J$13</f>
        <v>0</v>
      </c>
      <c r="K13" s="90">
        <f>'05 Opex'!K$13</f>
        <v>0</v>
      </c>
      <c r="L13" s="90">
        <f>'05 Opex'!L$13</f>
        <v>0</v>
      </c>
      <c r="M13" s="90">
        <f>'05 Opex'!M$13</f>
        <v>0</v>
      </c>
      <c r="N13" s="90">
        <f>'05 Opex'!N$13</f>
        <v>0</v>
      </c>
      <c r="O13" s="90">
        <f>'05 Opex'!O$13</f>
        <v>0</v>
      </c>
      <c r="P13" s="90">
        <f>'05 Opex'!P$13</f>
        <v>0</v>
      </c>
      <c r="Q13" s="90">
        <f>'05 Opex'!Q$13</f>
        <v>0</v>
      </c>
      <c r="R13" s="90">
        <f>'05 Opex'!R$13</f>
        <v>0</v>
      </c>
      <c r="S13" s="90">
        <f>'05 Opex'!S$13</f>
        <v>0</v>
      </c>
      <c r="T13" s="90">
        <f>'05 Opex'!T$13</f>
        <v>0</v>
      </c>
      <c r="U13" s="90">
        <f>'05 Opex'!U$13</f>
        <v>0</v>
      </c>
      <c r="V13" s="90">
        <f>'05 Opex'!V$13</f>
        <v>0</v>
      </c>
      <c r="W13" s="90">
        <f>'05 Opex'!W$13</f>
        <v>0</v>
      </c>
      <c r="X13" s="90">
        <f>'05 Opex'!X$13</f>
        <v>0</v>
      </c>
      <c r="Y13" s="90">
        <f>'05 Opex'!Y$13</f>
        <v>0</v>
      </c>
      <c r="Z13" s="90">
        <f>'05 Opex'!Z$13</f>
        <v>0</v>
      </c>
      <c r="AA13" s="90">
        <f>'05 Opex'!AA$13</f>
        <v>0</v>
      </c>
      <c r="AB13" s="90">
        <f>'05 Opex'!AB$13</f>
        <v>120901.63973684209</v>
      </c>
      <c r="AC13" s="90">
        <f>'05 Opex'!AC$13</f>
        <v>160194.67265131581</v>
      </c>
      <c r="AD13" s="90">
        <f>'05 Opex'!AD$13</f>
        <v>199487.70556578948</v>
      </c>
      <c r="AE13" s="90">
        <f>'05 Opex'!AE$13</f>
        <v>244272.69546530923</v>
      </c>
      <c r="AF13" s="90">
        <f>'05 Opex'!AF$13</f>
        <v>284469.46813681582</v>
      </c>
      <c r="AG13" s="90">
        <f>'05 Opex'!AG$13</f>
        <v>324666.24080832244</v>
      </c>
      <c r="AH13" s="90">
        <f>'05 Opex'!AH$13</f>
        <v>364863.01347982895</v>
      </c>
      <c r="AI13" s="90">
        <f>'05 Opex'!AI$13</f>
        <v>405059.78615133546</v>
      </c>
      <c r="AJ13" s="90">
        <f>'05 Opex'!AJ$13</f>
        <v>445256.55882284208</v>
      </c>
      <c r="AK13" s="90">
        <f>'05 Opex'!AK$13</f>
        <v>485453.33149434888</v>
      </c>
      <c r="AL13" s="90">
        <f>'05 Opex'!AL$13</f>
        <v>525650.10416585533</v>
      </c>
      <c r="AM13" s="90">
        <f>'05 Opex'!AM$13</f>
        <v>565846.87683736195</v>
      </c>
      <c r="AN13" s="90">
        <f>'05 Opex'!AN$13</f>
        <v>606043.64950886834</v>
      </c>
      <c r="AO13" s="90">
        <f>'05 Opex'!AO$13</f>
        <v>606043.64950886834</v>
      </c>
      <c r="AP13" s="90">
        <f>'05 Opex'!AP$13</f>
        <v>606043.64950886834</v>
      </c>
      <c r="AQ13" s="90">
        <f>'05 Opex'!AQ$13</f>
        <v>619982.65344757214</v>
      </c>
      <c r="AR13" s="90">
        <f>'05 Opex'!AR$13</f>
        <v>619982.65344757214</v>
      </c>
      <c r="AS13" s="90">
        <f>'05 Opex'!AS$13</f>
        <v>619982.65344757214</v>
      </c>
      <c r="AT13" s="90">
        <f>'05 Opex'!AT$13</f>
        <v>619982.65344757214</v>
      </c>
      <c r="AU13" s="90">
        <f>'05 Opex'!AU$13</f>
        <v>619982.65344757214</v>
      </c>
      <c r="AV13" s="90">
        <f>'05 Opex'!AV$13</f>
        <v>619982.65344757214</v>
      </c>
      <c r="AW13" s="90">
        <f>'05 Opex'!AW$13</f>
        <v>619982.65344757214</v>
      </c>
      <c r="AX13" s="90">
        <f>'05 Opex'!AX$13</f>
        <v>619982.65344757214</v>
      </c>
      <c r="AY13" s="90">
        <f>'05 Opex'!AY$13</f>
        <v>619982.65344757214</v>
      </c>
      <c r="AZ13" s="90">
        <f>'05 Opex'!AZ$13</f>
        <v>619982.65344757214</v>
      </c>
      <c r="BA13" s="90">
        <f>'05 Opex'!BA$13</f>
        <v>619982.65344757214</v>
      </c>
      <c r="BB13" s="90">
        <f>'05 Opex'!BB$13</f>
        <v>619982.65344757214</v>
      </c>
      <c r="BC13" s="90">
        <f>'05 Opex'!BC$13</f>
        <v>634242.25447686634</v>
      </c>
      <c r="BD13" s="90">
        <f>'05 Opex'!BD$13</f>
        <v>634242.25447686634</v>
      </c>
      <c r="BE13" s="90">
        <f>'05 Opex'!BE$13</f>
        <v>634242.25447686634</v>
      </c>
      <c r="BF13" s="90">
        <f>'05 Opex'!BF$13</f>
        <v>634242.25447686634</v>
      </c>
      <c r="BG13" s="90">
        <f>'05 Opex'!BG$13</f>
        <v>634242.25447686634</v>
      </c>
      <c r="BH13" s="90">
        <f>'05 Opex'!BH$13</f>
        <v>634242.25447686634</v>
      </c>
      <c r="BI13" s="90">
        <f>'05 Opex'!BI$13</f>
        <v>7785957.9159580087</v>
      </c>
      <c r="BJ13" s="90">
        <f>'05 Opex'!BJ$13</f>
        <v>7965034.9480250431</v>
      </c>
      <c r="BK13" s="90">
        <f>'05 Opex'!BK$13</f>
        <v>8148230.7518296177</v>
      </c>
      <c r="BL13" s="90">
        <f>'05 Opex'!BL$13</f>
        <v>8335640.0591216981</v>
      </c>
      <c r="BM13" s="90">
        <f>'05 Opex'!BM$13</f>
        <v>8527359.7804814968</v>
      </c>
      <c r="BN13" s="90">
        <f>'05 Opex'!BN$13</f>
        <v>8723489.0554325692</v>
      </c>
      <c r="BO13" s="90">
        <f>'05 Opex'!BO$13</f>
        <v>8924129.3037075195</v>
      </c>
    </row>
    <row r="14" spans="1:67">
      <c r="A14" s="11"/>
      <c r="B14" s="11" t="s">
        <v>799</v>
      </c>
      <c r="C14" s="11"/>
      <c r="D14" s="33"/>
      <c r="E14" s="33"/>
      <c r="F14" s="10" t="s">
        <v>798</v>
      </c>
      <c r="G14" s="90">
        <f>'05 Opex'!G$56+'05 Opex'!G$57</f>
        <v>0</v>
      </c>
      <c r="H14" s="90">
        <f>'05 Opex'!H$56+'05 Opex'!H$57</f>
        <v>0</v>
      </c>
      <c r="I14" s="90">
        <f>'05 Opex'!I$56+'05 Opex'!I$57</f>
        <v>0</v>
      </c>
      <c r="J14" s="90">
        <f>'05 Opex'!J$56+'05 Opex'!J$57</f>
        <v>0</v>
      </c>
      <c r="K14" s="90">
        <f>'05 Opex'!K$56+'05 Opex'!K$57</f>
        <v>0</v>
      </c>
      <c r="L14" s="90">
        <f>'05 Opex'!L$56+'05 Opex'!L$57</f>
        <v>0</v>
      </c>
      <c r="M14" s="90">
        <f>'05 Opex'!M$56+'05 Opex'!M$57</f>
        <v>0</v>
      </c>
      <c r="N14" s="90">
        <f>'05 Opex'!N$56+'05 Opex'!N$57</f>
        <v>0</v>
      </c>
      <c r="O14" s="90">
        <f>'05 Opex'!O$56+'05 Opex'!O$57</f>
        <v>0</v>
      </c>
      <c r="P14" s="90">
        <f>'05 Opex'!P$56+'05 Opex'!P$57</f>
        <v>0</v>
      </c>
      <c r="Q14" s="90">
        <f>'05 Opex'!Q$56+'05 Opex'!Q$57</f>
        <v>0</v>
      </c>
      <c r="R14" s="90">
        <f>'05 Opex'!R$56+'05 Opex'!R$57</f>
        <v>0</v>
      </c>
      <c r="S14" s="90">
        <f>'05 Opex'!S$56+'05 Opex'!S$57</f>
        <v>0</v>
      </c>
      <c r="T14" s="90">
        <f>'05 Opex'!T$56+'05 Opex'!T$57</f>
        <v>0</v>
      </c>
      <c r="U14" s="90">
        <f>'05 Opex'!U$56+'05 Opex'!U$57</f>
        <v>0</v>
      </c>
      <c r="V14" s="90">
        <f>'05 Opex'!V$56+'05 Opex'!V$57</f>
        <v>0</v>
      </c>
      <c r="W14" s="90">
        <f>'05 Opex'!W$56+'05 Opex'!W$57</f>
        <v>0</v>
      </c>
      <c r="X14" s="90">
        <f>'05 Opex'!X$56+'05 Opex'!X$57</f>
        <v>0</v>
      </c>
      <c r="Y14" s="90">
        <f>'05 Opex'!Y$56+'05 Opex'!Y$57</f>
        <v>0</v>
      </c>
      <c r="Z14" s="90">
        <f>'05 Opex'!Z$56+'05 Opex'!Z$57</f>
        <v>0</v>
      </c>
      <c r="AA14" s="90">
        <f>'05 Opex'!AA$56+'05 Opex'!AA$57</f>
        <v>0</v>
      </c>
      <c r="AB14" s="90">
        <f>'05 Opex'!AB$56+'05 Opex'!AB$57</f>
        <v>2557351.5624999995</v>
      </c>
      <c r="AC14" s="90">
        <f>'05 Opex'!AC$56+'05 Opex'!AC$57</f>
        <v>2561928.1250000005</v>
      </c>
      <c r="AD14" s="90">
        <f>'05 Opex'!AD$56+'05 Opex'!AD$57</f>
        <v>2566504.6875</v>
      </c>
      <c r="AE14" s="90">
        <f>'05 Opex'!AE$56+'05 Opex'!AE$57</f>
        <v>2596792.0625</v>
      </c>
      <c r="AF14" s="90">
        <f>'05 Opex'!AF$56+'05 Opex'!AF$57</f>
        <v>2601414.390625</v>
      </c>
      <c r="AG14" s="90">
        <f>'05 Opex'!AG$56+'05 Opex'!AG$57</f>
        <v>2606036.71875</v>
      </c>
      <c r="AH14" s="90">
        <f>'05 Opex'!AH$56+'05 Opex'!AH$57</f>
        <v>2610659.046875</v>
      </c>
      <c r="AI14" s="90">
        <f>'05 Opex'!AI$56+'05 Opex'!AI$57</f>
        <v>2615281.375</v>
      </c>
      <c r="AJ14" s="90">
        <f>'05 Opex'!AJ$56+'05 Opex'!AJ$57</f>
        <v>2619903.703125</v>
      </c>
      <c r="AK14" s="90">
        <f>'05 Opex'!AK$56+'05 Opex'!AK$57</f>
        <v>2624526.03125</v>
      </c>
      <c r="AL14" s="90">
        <f>'05 Opex'!AL$56+'05 Opex'!AL$57</f>
        <v>2629148.359375</v>
      </c>
      <c r="AM14" s="90">
        <f>'05 Opex'!AM$56+'05 Opex'!AM$57</f>
        <v>2633770.6875</v>
      </c>
      <c r="AN14" s="90">
        <f>'05 Opex'!AN$56+'05 Opex'!AN$57</f>
        <v>2638393.015625</v>
      </c>
      <c r="AO14" s="90">
        <f>'05 Opex'!AO$56+'05 Opex'!AO$57</f>
        <v>2643015.34375</v>
      </c>
      <c r="AP14" s="90">
        <f>'05 Opex'!AP$56+'05 Opex'!AP$57</f>
        <v>2647637.671875</v>
      </c>
      <c r="AQ14" s="90">
        <f>'05 Opex'!AQ$56+'05 Opex'!AQ$57</f>
        <v>2678782.5999999996</v>
      </c>
      <c r="AR14" s="90">
        <f>'05 Opex'!AR$56+'05 Opex'!AR$57</f>
        <v>2683451.15140625</v>
      </c>
      <c r="AS14" s="90">
        <f>'05 Opex'!AS$56+'05 Opex'!AS$57</f>
        <v>2688119.7028124994</v>
      </c>
      <c r="AT14" s="90">
        <f>'05 Opex'!AT$56+'05 Opex'!AT$57</f>
        <v>2692788.2542187497</v>
      </c>
      <c r="AU14" s="90">
        <f>'05 Opex'!AU$56+'05 Opex'!AU$57</f>
        <v>2697456.805625</v>
      </c>
      <c r="AV14" s="90">
        <f>'05 Opex'!AV$56+'05 Opex'!AV$57</f>
        <v>2702125.3570312499</v>
      </c>
      <c r="AW14" s="90">
        <f>'05 Opex'!AW$56+'05 Opex'!AW$57</f>
        <v>2706793.9084374993</v>
      </c>
      <c r="AX14" s="90">
        <f>'05 Opex'!AX$56+'05 Opex'!AX$57</f>
        <v>2711462.4598437501</v>
      </c>
      <c r="AY14" s="90">
        <f>'05 Opex'!AY$56+'05 Opex'!AY$57</f>
        <v>2716131.01125</v>
      </c>
      <c r="AZ14" s="90">
        <f>'05 Opex'!AZ$56+'05 Opex'!AZ$57</f>
        <v>2720799.5626562499</v>
      </c>
      <c r="BA14" s="90">
        <f>'05 Opex'!BA$56+'05 Opex'!BA$57</f>
        <v>2725468.1140624997</v>
      </c>
      <c r="BB14" s="90">
        <f>'05 Opex'!BB$56+'05 Opex'!BB$57</f>
        <v>2730136.6654687496</v>
      </c>
      <c r="BC14" s="90">
        <f>'05 Opex'!BC$56+'05 Opex'!BC$57</f>
        <v>2762153.2690437501</v>
      </c>
      <c r="BD14" s="90">
        <f>'05 Opex'!BD$56+'05 Opex'!BD$57</f>
        <v>2766868.5059640626</v>
      </c>
      <c r="BE14" s="90">
        <f>'05 Opex'!BE$56+'05 Opex'!BE$57</f>
        <v>2771583.7428843752</v>
      </c>
      <c r="BF14" s="90">
        <f>'05 Opex'!BF$56+'05 Opex'!BF$57</f>
        <v>2776298.9798046872</v>
      </c>
      <c r="BG14" s="90">
        <f>'05 Opex'!BG$56+'05 Opex'!BG$57</f>
        <v>2781014.2167250002</v>
      </c>
      <c r="BH14" s="90">
        <f>'05 Opex'!BH$56+'05 Opex'!BH$57</f>
        <v>2785729.4536453127</v>
      </c>
      <c r="BI14" s="90">
        <f>'05 Opex'!BI$56+'05 Opex'!BI$57</f>
        <v>34448825.035871439</v>
      </c>
      <c r="BJ14" s="90">
        <f>'05 Opex'!BJ$56+'05 Opex'!BJ$57</f>
        <v>35485955.184497312</v>
      </c>
      <c r="BK14" s="90">
        <f>'05 Opex'!BK$56+'05 Opex'!BK$57</f>
        <v>36540383.053592101</v>
      </c>
      <c r="BL14" s="90">
        <f>'05 Opex'!BL$56+'05 Opex'!BL$57</f>
        <v>37612350.884550348</v>
      </c>
      <c r="BM14" s="90">
        <f>'05 Opex'!BM$56+'05 Opex'!BM$57</f>
        <v>38702104.033822402</v>
      </c>
      <c r="BN14" s="90">
        <f>'05 Opex'!BN$56+'05 Opex'!BN$57</f>
        <v>39809891.010991439</v>
      </c>
      <c r="BO14" s="90">
        <f>'05 Opex'!BO$56+'05 Opex'!BO$57</f>
        <v>40935963.517300457</v>
      </c>
    </row>
    <row r="15" spans="1:67">
      <c r="A15" s="11"/>
      <c r="B15" s="11" t="s">
        <v>800</v>
      </c>
      <c r="C15" s="11"/>
      <c r="D15" s="33"/>
      <c r="E15" s="33"/>
      <c r="F15" s="10" t="s">
        <v>794</v>
      </c>
      <c r="G15" s="90">
        <f>'05 Opex'!G$43+'05 Opex'!G$58</f>
        <v>0</v>
      </c>
      <c r="H15" s="90">
        <f>'05 Opex'!H$43+'05 Opex'!H$58</f>
        <v>0</v>
      </c>
      <c r="I15" s="90">
        <f>'05 Opex'!I$43+'05 Opex'!I$58</f>
        <v>0</v>
      </c>
      <c r="J15" s="90">
        <f>'05 Opex'!J$43+'05 Opex'!J$58</f>
        <v>0</v>
      </c>
      <c r="K15" s="90">
        <f>'05 Opex'!K$43+'05 Opex'!K$58</f>
        <v>0</v>
      </c>
      <c r="L15" s="90">
        <f>'05 Opex'!L$43+'05 Opex'!L$58</f>
        <v>0</v>
      </c>
      <c r="M15" s="90">
        <f>'05 Opex'!M$43+'05 Opex'!M$58</f>
        <v>0</v>
      </c>
      <c r="N15" s="90">
        <f>'05 Opex'!N$43+'05 Opex'!N$58</f>
        <v>0</v>
      </c>
      <c r="O15" s="90">
        <f>'05 Opex'!O$43+'05 Opex'!O$58</f>
        <v>0</v>
      </c>
      <c r="P15" s="90">
        <f>'05 Opex'!P$43+'05 Opex'!P$58</f>
        <v>0</v>
      </c>
      <c r="Q15" s="90">
        <f>'05 Opex'!Q$43+'05 Opex'!Q$58</f>
        <v>0</v>
      </c>
      <c r="R15" s="90">
        <f>'05 Opex'!R$43+'05 Opex'!R$58</f>
        <v>0</v>
      </c>
      <c r="S15" s="90">
        <f>'05 Opex'!S$43+'05 Opex'!S$58</f>
        <v>0</v>
      </c>
      <c r="T15" s="90">
        <f>'05 Opex'!T$43+'05 Opex'!T$58</f>
        <v>0</v>
      </c>
      <c r="U15" s="90">
        <f>'05 Opex'!U$43+'05 Opex'!U$58</f>
        <v>0</v>
      </c>
      <c r="V15" s="90">
        <f>'05 Opex'!V$43+'05 Opex'!V$58</f>
        <v>0</v>
      </c>
      <c r="W15" s="90">
        <f>'05 Opex'!W$43+'05 Opex'!W$58</f>
        <v>0</v>
      </c>
      <c r="X15" s="90">
        <f>'05 Opex'!X$43+'05 Opex'!X$58</f>
        <v>0</v>
      </c>
      <c r="Y15" s="90">
        <f>'05 Opex'!Y$43+'05 Opex'!Y$58</f>
        <v>0</v>
      </c>
      <c r="Z15" s="90">
        <f>'05 Opex'!Z$43+'05 Opex'!Z$58</f>
        <v>0</v>
      </c>
      <c r="AA15" s="90">
        <f>'05 Opex'!AA$43+'05 Opex'!AA$58</f>
        <v>0</v>
      </c>
      <c r="AB15" s="90">
        <f>'05 Opex'!AB$43+'05 Opex'!AB$58</f>
        <v>409995</v>
      </c>
      <c r="AC15" s="90">
        <f>'05 Opex'!AC$43+'05 Opex'!AC$58</f>
        <v>409995</v>
      </c>
      <c r="AD15" s="90">
        <f>'05 Opex'!AD$43+'05 Opex'!AD$58</f>
        <v>409995</v>
      </c>
      <c r="AE15" s="90">
        <f>'05 Opex'!AE$43+'05 Opex'!AE$58</f>
        <v>423589.49999999994</v>
      </c>
      <c r="AF15" s="90">
        <f>'05 Opex'!AF$43+'05 Opex'!AF$58</f>
        <v>423589.49999999994</v>
      </c>
      <c r="AG15" s="90">
        <f>'05 Opex'!AG$43+'05 Opex'!AG$58</f>
        <v>423589.49999999994</v>
      </c>
      <c r="AH15" s="90">
        <f>'05 Opex'!AH$43+'05 Opex'!AH$58</f>
        <v>423589.49999999994</v>
      </c>
      <c r="AI15" s="90">
        <f>'05 Opex'!AI$43+'05 Opex'!AI$58</f>
        <v>423589.49999999994</v>
      </c>
      <c r="AJ15" s="90">
        <f>'05 Opex'!AJ$43+'05 Opex'!AJ$58</f>
        <v>423589.49999999994</v>
      </c>
      <c r="AK15" s="90">
        <f>'05 Opex'!AK$43+'05 Opex'!AK$58</f>
        <v>423589.49999999994</v>
      </c>
      <c r="AL15" s="90">
        <f>'05 Opex'!AL$43+'05 Opex'!AL$58</f>
        <v>423589.49999999994</v>
      </c>
      <c r="AM15" s="90">
        <f>'05 Opex'!AM$43+'05 Opex'!AM$58</f>
        <v>423589.49999999994</v>
      </c>
      <c r="AN15" s="90">
        <f>'05 Opex'!AN$43+'05 Opex'!AN$58</f>
        <v>423589.49999999994</v>
      </c>
      <c r="AO15" s="90">
        <f>'05 Opex'!AO$43+'05 Opex'!AO$58</f>
        <v>423589.49999999994</v>
      </c>
      <c r="AP15" s="90">
        <f>'05 Opex'!AP$43+'05 Opex'!AP$58</f>
        <v>423589.49999999994</v>
      </c>
      <c r="AQ15" s="90">
        <f>'05 Opex'!AQ$43+'05 Opex'!AQ$58</f>
        <v>437704.90424999991</v>
      </c>
      <c r="AR15" s="90">
        <f>'05 Opex'!AR$43+'05 Opex'!AR$58</f>
        <v>437704.90424999991</v>
      </c>
      <c r="AS15" s="90">
        <f>'05 Opex'!AS$43+'05 Opex'!AS$58</f>
        <v>437704.90424999991</v>
      </c>
      <c r="AT15" s="90">
        <f>'05 Opex'!AT$43+'05 Opex'!AT$58</f>
        <v>437704.90424999991</v>
      </c>
      <c r="AU15" s="90">
        <f>'05 Opex'!AU$43+'05 Opex'!AU$58</f>
        <v>437704.90424999991</v>
      </c>
      <c r="AV15" s="90">
        <f>'05 Opex'!AV$43+'05 Opex'!AV$58</f>
        <v>437704.90424999991</v>
      </c>
      <c r="AW15" s="90">
        <f>'05 Opex'!AW$43+'05 Opex'!AW$58</f>
        <v>437704.90424999991</v>
      </c>
      <c r="AX15" s="90">
        <f>'05 Opex'!AX$43+'05 Opex'!AX$58</f>
        <v>437704.90424999991</v>
      </c>
      <c r="AY15" s="90">
        <f>'05 Opex'!AY$43+'05 Opex'!AY$58</f>
        <v>437704.90424999991</v>
      </c>
      <c r="AZ15" s="90">
        <f>'05 Opex'!AZ$43+'05 Opex'!AZ$58</f>
        <v>437704.90424999991</v>
      </c>
      <c r="BA15" s="90">
        <f>'05 Opex'!BA$43+'05 Opex'!BA$58</f>
        <v>437704.90424999991</v>
      </c>
      <c r="BB15" s="90">
        <f>'05 Opex'!BB$43+'05 Opex'!BB$58</f>
        <v>437704.90424999991</v>
      </c>
      <c r="BC15" s="90">
        <f>'05 Opex'!BC$43+'05 Opex'!BC$58</f>
        <v>452363.60508524987</v>
      </c>
      <c r="BD15" s="90">
        <f>'05 Opex'!BD$43+'05 Opex'!BD$58</f>
        <v>452363.60508524987</v>
      </c>
      <c r="BE15" s="90">
        <f>'05 Opex'!BE$43+'05 Opex'!BE$58</f>
        <v>452363.60508524987</v>
      </c>
      <c r="BF15" s="90">
        <f>'05 Opex'!BF$43+'05 Opex'!BF$58</f>
        <v>452363.60508524987</v>
      </c>
      <c r="BG15" s="90">
        <f>'05 Opex'!BG$43+'05 Opex'!BG$58</f>
        <v>452363.60508524987</v>
      </c>
      <c r="BH15" s="90">
        <f>'05 Opex'!BH$43+'05 Opex'!BH$58</f>
        <v>452363.60508524987</v>
      </c>
      <c r="BI15" s="90">
        <f>'05 Opex'!BI$43+'05 Opex'!BI$58</f>
        <v>5611068.3652990274</v>
      </c>
      <c r="BJ15" s="90">
        <f>'05 Opex'!BJ$43+'05 Opex'!BJ$58</f>
        <v>5800868.3244370297</v>
      </c>
      <c r="BK15" s="90">
        <f>'05 Opex'!BK$43+'05 Opex'!BK$58</f>
        <v>5998070.9519720133</v>
      </c>
      <c r="BL15" s="90">
        <f>'05 Opex'!BL$43+'05 Opex'!BL$58</f>
        <v>6202998.3727439465</v>
      </c>
      <c r="BM15" s="90">
        <f>'05 Opex'!BM$43+'05 Opex'!BM$58</f>
        <v>6415987.7136374637</v>
      </c>
      <c r="BN15" s="90">
        <f>'05 Opex'!BN$43+'05 Opex'!BN$58</f>
        <v>6637391.8282875521</v>
      </c>
      <c r="BO15" s="90">
        <f>'05 Opex'!BO$43+'05 Opex'!BO$58</f>
        <v>6867580.0574364141</v>
      </c>
    </row>
    <row r="16" spans="1:67">
      <c r="A16" s="11"/>
      <c r="B16" s="11" t="s">
        <v>829</v>
      </c>
      <c r="C16" s="11"/>
      <c r="D16" s="33"/>
      <c r="E16" s="33"/>
      <c r="F16" s="10" t="s">
        <v>794</v>
      </c>
      <c r="G16" s="90">
        <f>'05 Opex'!G$30+'05 Opex'!G$11+'05 Opex'!G$12-G24</f>
        <v>29800</v>
      </c>
      <c r="H16" s="90">
        <f>'05 Opex'!H$30+'05 Opex'!H$11+'05 Opex'!H$12-H24</f>
        <v>29800</v>
      </c>
      <c r="I16" s="90">
        <f>'05 Opex'!I$30+'05 Opex'!I$11+'05 Opex'!I$12-I24</f>
        <v>29800</v>
      </c>
      <c r="J16" s="90">
        <f>'05 Opex'!J$30+'05 Opex'!J$11+'05 Opex'!J$12-J24</f>
        <v>29800</v>
      </c>
      <c r="K16" s="90">
        <f>'05 Opex'!K$30+'05 Opex'!K$11+'05 Opex'!K$12-K24</f>
        <v>29800</v>
      </c>
      <c r="L16" s="90">
        <f>'05 Opex'!L$30+'05 Opex'!L$11+'05 Opex'!L$12-L24</f>
        <v>29800</v>
      </c>
      <c r="M16" s="90">
        <f>'05 Opex'!M$30+'05 Opex'!M$11+'05 Opex'!M$12-M24</f>
        <v>29800</v>
      </c>
      <c r="N16" s="90">
        <f>'05 Opex'!N$30+'05 Opex'!N$11+'05 Opex'!N$12-N24</f>
        <v>29800</v>
      </c>
      <c r="O16" s="90">
        <f>'05 Opex'!O$30+'05 Opex'!O$11+'05 Opex'!O$12-O24</f>
        <v>29800</v>
      </c>
      <c r="P16" s="90">
        <f>'05 Opex'!P$30+'05 Opex'!P$11+'05 Opex'!P$12-P24</f>
        <v>29800</v>
      </c>
      <c r="Q16" s="90">
        <f>'05 Opex'!Q$30+'05 Opex'!Q$11+'05 Opex'!Q$12-Q24</f>
        <v>29800</v>
      </c>
      <c r="R16" s="90">
        <f>'05 Opex'!R$30+'05 Opex'!R$11+'05 Opex'!R$12-R24</f>
        <v>29800</v>
      </c>
      <c r="S16" s="90">
        <f>'05 Opex'!S$30+'05 Opex'!S$11+'05 Opex'!S$12-S24</f>
        <v>30396</v>
      </c>
      <c r="T16" s="90">
        <f>'05 Opex'!T$30+'05 Opex'!T$11+'05 Opex'!T$12-T24</f>
        <v>30396</v>
      </c>
      <c r="U16" s="90">
        <f>'05 Opex'!U$30+'05 Opex'!U$11+'05 Opex'!U$12-U24</f>
        <v>30396</v>
      </c>
      <c r="V16" s="90">
        <f>'05 Opex'!V$30+'05 Opex'!V$11+'05 Opex'!V$12-V24</f>
        <v>30396</v>
      </c>
      <c r="W16" s="90">
        <f>'05 Opex'!W$30+'05 Opex'!W$11+'05 Opex'!W$12-W24</f>
        <v>30396</v>
      </c>
      <c r="X16" s="90">
        <f>'05 Opex'!X$30+'05 Opex'!X$11+'05 Opex'!X$12-X24</f>
        <v>30396</v>
      </c>
      <c r="Y16" s="90">
        <f>'05 Opex'!Y$30+'05 Opex'!Y$11+'05 Opex'!Y$12-Y24</f>
        <v>30396</v>
      </c>
      <c r="Z16" s="90">
        <f>'05 Opex'!Z$30+'05 Opex'!Z$11+'05 Opex'!Z$12-Z24</f>
        <v>30396</v>
      </c>
      <c r="AA16" s="90">
        <f>'05 Opex'!AA$30+'05 Opex'!AA$11+'05 Opex'!AA$12-AA24</f>
        <v>30396</v>
      </c>
      <c r="AB16" s="90">
        <f>'05 Opex'!AB$30+'05 Opex'!AB$11+'05 Opex'!AB$12-AB24</f>
        <v>1454813.7531376274</v>
      </c>
      <c r="AC16" s="90">
        <f>'05 Opex'!AC$30+'05 Opex'!AC$11+'05 Opex'!AC$12-AC24</f>
        <v>1917749.5229073558</v>
      </c>
      <c r="AD16" s="90">
        <f>'05 Opex'!AD$30+'05 Opex'!AD$11+'05 Opex'!AD$12-AD24</f>
        <v>2380685.2926770858</v>
      </c>
      <c r="AE16" s="90">
        <f>'05 Opex'!AE$30+'05 Opex'!AE$11+'05 Opex'!AE$12-AE24</f>
        <v>2899101.9306210419</v>
      </c>
      <c r="AF16" s="90">
        <f>'05 Opex'!AF$30+'05 Opex'!AF$11+'05 Opex'!AF$12-AF24</f>
        <v>3371067.4260396929</v>
      </c>
      <c r="AG16" s="90">
        <f>'05 Opex'!AG$30+'05 Opex'!AG$11+'05 Opex'!AG$12-AG24</f>
        <v>3843032.9214583444</v>
      </c>
      <c r="AH16" s="90">
        <f>'05 Opex'!AH$30+'05 Opex'!AH$11+'05 Opex'!AH$12-AH24</f>
        <v>4314998.4168769959</v>
      </c>
      <c r="AI16" s="90">
        <f>'05 Opex'!AI$30+'05 Opex'!AI$11+'05 Opex'!AI$12-AI24</f>
        <v>4786963.9122956479</v>
      </c>
      <c r="AJ16" s="90">
        <f>'05 Opex'!AJ$30+'05 Opex'!AJ$11+'05 Opex'!AJ$12-AJ24</f>
        <v>5258929.4077143027</v>
      </c>
      <c r="AK16" s="90">
        <f>'05 Opex'!AK$30+'05 Opex'!AK$11+'05 Opex'!AK$12-AK24</f>
        <v>5730894.9031329546</v>
      </c>
      <c r="AL16" s="90">
        <f>'05 Opex'!AL$30+'05 Opex'!AL$11+'05 Opex'!AL$12-AL24</f>
        <v>6202860.3985516056</v>
      </c>
      <c r="AM16" s="90">
        <f>'05 Opex'!AM$30+'05 Opex'!AM$11+'05 Opex'!AM$12-AM24</f>
        <v>6674825.8939702604</v>
      </c>
      <c r="AN16" s="90">
        <f>'05 Opex'!AN$30+'05 Opex'!AN$11+'05 Opex'!AN$12-AN24</f>
        <v>7146791.3893889105</v>
      </c>
      <c r="AO16" s="90">
        <f>'05 Opex'!AO$30+'05 Opex'!AO$11+'05 Opex'!AO$12-AO24</f>
        <v>7146791.3893889105</v>
      </c>
      <c r="AP16" s="90">
        <f>'05 Opex'!AP$30+'05 Opex'!AP$11+'05 Opex'!AP$12-AP24</f>
        <v>7146791.3893889105</v>
      </c>
      <c r="AQ16" s="90">
        <f>'05 Opex'!AQ$30+'05 Opex'!AQ$11+'05 Opex'!AQ$12-AQ24</f>
        <v>7286248.0031863004</v>
      </c>
      <c r="AR16" s="90">
        <f>'05 Opex'!AR$30+'05 Opex'!AR$11+'05 Opex'!AR$12-AR24</f>
        <v>7286248.0031863004</v>
      </c>
      <c r="AS16" s="90">
        <f>'05 Opex'!AS$30+'05 Opex'!AS$11+'05 Opex'!AS$12-AS24</f>
        <v>7286248.0031863004</v>
      </c>
      <c r="AT16" s="90">
        <f>'05 Opex'!AT$30+'05 Opex'!AT$11+'05 Opex'!AT$12-AT24</f>
        <v>7286248.0031863004</v>
      </c>
      <c r="AU16" s="90">
        <f>'05 Opex'!AU$30+'05 Opex'!AU$11+'05 Opex'!AU$12-AU24</f>
        <v>7286248.0031863004</v>
      </c>
      <c r="AV16" s="90">
        <f>'05 Opex'!AV$30+'05 Opex'!AV$11+'05 Opex'!AV$12-AV24</f>
        <v>7286248.0031863004</v>
      </c>
      <c r="AW16" s="90">
        <f>'05 Opex'!AW$30+'05 Opex'!AW$11+'05 Opex'!AW$12-AW24</f>
        <v>7286248.0031863004</v>
      </c>
      <c r="AX16" s="90">
        <f>'05 Opex'!AX$30+'05 Opex'!AX$11+'05 Opex'!AX$12-AX24</f>
        <v>7286248.0031863004</v>
      </c>
      <c r="AY16" s="90">
        <f>'05 Opex'!AY$30+'05 Opex'!AY$11+'05 Opex'!AY$12-AY24</f>
        <v>7286248.0031863004</v>
      </c>
      <c r="AZ16" s="90">
        <f>'05 Opex'!AZ$30+'05 Opex'!AZ$11+'05 Opex'!AZ$12-AZ24</f>
        <v>7286248.0031863004</v>
      </c>
      <c r="BA16" s="90">
        <f>'05 Opex'!BA$30+'05 Opex'!BA$11+'05 Opex'!BA$12-BA24</f>
        <v>7286248.0031863004</v>
      </c>
      <c r="BB16" s="90">
        <f>'05 Opex'!BB$30+'05 Opex'!BB$11+'05 Opex'!BB$12-BB24</f>
        <v>7286248.0031863004</v>
      </c>
      <c r="BC16" s="90">
        <f>'05 Opex'!BC$30+'05 Opex'!BC$11+'05 Opex'!BC$12-BC24</f>
        <v>7428466.9072726658</v>
      </c>
      <c r="BD16" s="90">
        <f>'05 Opex'!BD$30+'05 Opex'!BD$11+'05 Opex'!BD$12-BD24</f>
        <v>7428466.9072726658</v>
      </c>
      <c r="BE16" s="90">
        <f>'05 Opex'!BE$30+'05 Opex'!BE$11+'05 Opex'!BE$12-BE24</f>
        <v>7428466.9072726658</v>
      </c>
      <c r="BF16" s="90">
        <f>'05 Opex'!BF$30+'05 Opex'!BF$11+'05 Opex'!BF$12-BF24</f>
        <v>7428466.9072726658</v>
      </c>
      <c r="BG16" s="90">
        <f>'05 Opex'!BG$30+'05 Opex'!BG$11+'05 Opex'!BG$12-BG24</f>
        <v>7428466.9072726658</v>
      </c>
      <c r="BH16" s="90">
        <f>'05 Opex'!BH$30+'05 Opex'!BH$11+'05 Opex'!BH$12-BH24</f>
        <v>7428466.9072726658</v>
      </c>
      <c r="BI16" s="90">
        <f>'05 Opex'!BI$30+'05 Opex'!BI$11+'05 Opex'!BI$12-BI24</f>
        <v>90882039.142649293</v>
      </c>
      <c r="BJ16" s="90">
        <f>'05 Opex'!BJ$30+'05 Opex'!BJ$11+'05 Opex'!BJ$12-BJ24</f>
        <v>92656960.005897567</v>
      </c>
      <c r="BK16" s="90">
        <f>'05 Opex'!BK$30+'05 Opex'!BK$11+'05 Opex'!BK$12-BK24</f>
        <v>94467054.224340081</v>
      </c>
      <c r="BL16" s="90">
        <f>'05 Opex'!BL$30+'05 Opex'!BL$11+'05 Opex'!BL$12-BL24</f>
        <v>96313024.363613844</v>
      </c>
      <c r="BM16" s="90">
        <f>'05 Opex'!BM$30+'05 Opex'!BM$11+'05 Opex'!BM$12-BM24</f>
        <v>98195587.085684583</v>
      </c>
      <c r="BN16" s="90">
        <f>'05 Opex'!BN$30+'05 Opex'!BN$11+'05 Opex'!BN$12-BN24</f>
        <v>100115473.43246594</v>
      </c>
      <c r="BO16" s="90">
        <f>'05 Opex'!BO$30+'05 Opex'!BO$11+'05 Opex'!BO$12-BO24</f>
        <v>102057899.24814209</v>
      </c>
    </row>
    <row r="17" spans="1:67">
      <c r="A17" s="11"/>
      <c r="B17" s="11" t="s">
        <v>830</v>
      </c>
      <c r="C17" s="11"/>
      <c r="D17" s="33"/>
      <c r="E17" s="33"/>
      <c r="F17" s="10" t="s">
        <v>798</v>
      </c>
      <c r="G17" s="90">
        <f>'05 Opex'!G$65</f>
        <v>0</v>
      </c>
      <c r="H17" s="90">
        <f>'05 Opex'!H$65</f>
        <v>0</v>
      </c>
      <c r="I17" s="90">
        <f>'05 Opex'!I$65</f>
        <v>0</v>
      </c>
      <c r="J17" s="90">
        <f>'05 Opex'!J$65</f>
        <v>0</v>
      </c>
      <c r="K17" s="90">
        <f>'05 Opex'!K$65</f>
        <v>0</v>
      </c>
      <c r="L17" s="90">
        <f>'05 Opex'!L$65</f>
        <v>0</v>
      </c>
      <c r="M17" s="90">
        <f>'05 Opex'!M$65</f>
        <v>0</v>
      </c>
      <c r="N17" s="90">
        <f>'05 Opex'!N$65</f>
        <v>0</v>
      </c>
      <c r="O17" s="90">
        <f>'05 Opex'!O$65</f>
        <v>0</v>
      </c>
      <c r="P17" s="90">
        <f>'05 Opex'!P$65</f>
        <v>0</v>
      </c>
      <c r="Q17" s="90">
        <f>'05 Opex'!Q$65</f>
        <v>0</v>
      </c>
      <c r="R17" s="90">
        <f>'05 Opex'!R$65</f>
        <v>0</v>
      </c>
      <c r="S17" s="90">
        <f>'05 Opex'!S$65</f>
        <v>0</v>
      </c>
      <c r="T17" s="90">
        <f>'05 Opex'!T$65</f>
        <v>0</v>
      </c>
      <c r="U17" s="90">
        <f>'05 Opex'!U$65</f>
        <v>0</v>
      </c>
      <c r="V17" s="90">
        <f>'05 Opex'!V$65</f>
        <v>0</v>
      </c>
      <c r="W17" s="90">
        <f>'05 Opex'!W$65</f>
        <v>0</v>
      </c>
      <c r="X17" s="90">
        <f>'05 Opex'!X$65</f>
        <v>0</v>
      </c>
      <c r="Y17" s="90">
        <f>'05 Opex'!Y$65</f>
        <v>0</v>
      </c>
      <c r="Z17" s="90">
        <f>'05 Opex'!Z$65</f>
        <v>0</v>
      </c>
      <c r="AA17" s="90">
        <f>'05 Opex'!AA$65</f>
        <v>0</v>
      </c>
      <c r="AB17" s="90">
        <f>'05 Opex'!AB$65</f>
        <v>447000</v>
      </c>
      <c r="AC17" s="90">
        <f>'05 Opex'!AC$65</f>
        <v>447000</v>
      </c>
      <c r="AD17" s="90">
        <f>'05 Opex'!AD$65</f>
        <v>447000</v>
      </c>
      <c r="AE17" s="90">
        <f>'05 Opex'!AE$65</f>
        <v>447000</v>
      </c>
      <c r="AF17" s="90">
        <f>'05 Opex'!AF$65</f>
        <v>447000</v>
      </c>
      <c r="AG17" s="90">
        <f>'05 Opex'!AG$65</f>
        <v>447000</v>
      </c>
      <c r="AH17" s="90">
        <f>'05 Opex'!AH$65</f>
        <v>447000</v>
      </c>
      <c r="AI17" s="90">
        <f>'05 Opex'!AI$65</f>
        <v>447000</v>
      </c>
      <c r="AJ17" s="90">
        <f>'05 Opex'!AJ$65</f>
        <v>447000</v>
      </c>
      <c r="AK17" s="90">
        <f>'05 Opex'!AK$65</f>
        <v>447000</v>
      </c>
      <c r="AL17" s="90">
        <f>'05 Opex'!AL$65</f>
        <v>447000</v>
      </c>
      <c r="AM17" s="90">
        <f>'05 Opex'!AM$65</f>
        <v>447000</v>
      </c>
      <c r="AN17" s="90">
        <f>'05 Opex'!AN$65</f>
        <v>447000</v>
      </c>
      <c r="AO17" s="90">
        <f>'05 Opex'!AO$65</f>
        <v>447000</v>
      </c>
      <c r="AP17" s="90">
        <f>'05 Opex'!AP$65</f>
        <v>447000</v>
      </c>
      <c r="AQ17" s="90">
        <f>'05 Opex'!AQ$65</f>
        <v>447000</v>
      </c>
      <c r="AR17" s="90">
        <f>'05 Opex'!AR$65</f>
        <v>447000</v>
      </c>
      <c r="AS17" s="90">
        <f>'05 Opex'!AS$65</f>
        <v>447000</v>
      </c>
      <c r="AT17" s="90">
        <f>'05 Opex'!AT$65</f>
        <v>447000</v>
      </c>
      <c r="AU17" s="90">
        <f>'05 Opex'!AU$65</f>
        <v>447000</v>
      </c>
      <c r="AV17" s="90">
        <f>'05 Opex'!AV$65</f>
        <v>447000</v>
      </c>
      <c r="AW17" s="90">
        <f>'05 Opex'!AW$65</f>
        <v>447000</v>
      </c>
      <c r="AX17" s="90">
        <f>'05 Opex'!AX$65</f>
        <v>447000</v>
      </c>
      <c r="AY17" s="90">
        <f>'05 Opex'!AY$65</f>
        <v>447000</v>
      </c>
      <c r="AZ17" s="90">
        <f>'05 Opex'!AZ$65</f>
        <v>447000</v>
      </c>
      <c r="BA17" s="90">
        <f>'05 Opex'!BA$65</f>
        <v>447000</v>
      </c>
      <c r="BB17" s="90">
        <f>'05 Opex'!BB$65</f>
        <v>447000</v>
      </c>
      <c r="BC17" s="90">
        <f>'05 Opex'!BC$65</f>
        <v>447000</v>
      </c>
      <c r="BD17" s="90">
        <f>'05 Opex'!BD$65</f>
        <v>447000</v>
      </c>
      <c r="BE17" s="90">
        <f>'05 Opex'!BE$65</f>
        <v>447000</v>
      </c>
      <c r="BF17" s="90">
        <f>'05 Opex'!BF$65</f>
        <v>447000</v>
      </c>
      <c r="BG17" s="90">
        <f>'05 Opex'!BG$65</f>
        <v>447000</v>
      </c>
      <c r="BH17" s="90">
        <f>'05 Opex'!BH$65</f>
        <v>447000</v>
      </c>
      <c r="BI17" s="90">
        <f>'05 Opex'!BI$65</f>
        <v>5739480</v>
      </c>
      <c r="BJ17" s="90">
        <f>'05 Opex'!BJ$65</f>
        <v>5739480</v>
      </c>
      <c r="BK17" s="90">
        <f>'05 Opex'!BK$65</f>
        <v>5739480</v>
      </c>
      <c r="BL17" s="90">
        <f>'05 Opex'!BL$65</f>
        <v>5739480</v>
      </c>
      <c r="BM17" s="90">
        <f>'05 Opex'!BM$65</f>
        <v>5739480</v>
      </c>
      <c r="BN17" s="90">
        <f>'05 Opex'!BN$65</f>
        <v>6141243.6000000006</v>
      </c>
      <c r="BO17" s="90">
        <f>'05 Opex'!BO$65</f>
        <v>6141243.6000000006</v>
      </c>
    </row>
    <row r="18" spans="1:67">
      <c r="A18" s="11"/>
      <c r="B18" s="11" t="s">
        <v>801</v>
      </c>
      <c r="C18" s="11"/>
      <c r="D18" s="33"/>
      <c r="E18" s="33"/>
      <c r="F18" s="10" t="s">
        <v>798</v>
      </c>
      <c r="G18" s="90">
        <f>'05 Opex'!G$85-'03 CAPEX &amp; Depreciation'!G$161</f>
        <v>0</v>
      </c>
      <c r="H18" s="90">
        <f>'05 Opex'!H$85-'03 CAPEX &amp; Depreciation'!H$161</f>
        <v>0</v>
      </c>
      <c r="I18" s="90">
        <f>'05 Opex'!I$85-'03 CAPEX &amp; Depreciation'!I$161</f>
        <v>0</v>
      </c>
      <c r="J18" s="90">
        <f>'05 Opex'!J$85-'03 CAPEX &amp; Depreciation'!J$161</f>
        <v>0</v>
      </c>
      <c r="K18" s="90">
        <f>'05 Opex'!K$85-'03 CAPEX &amp; Depreciation'!K$161</f>
        <v>0</v>
      </c>
      <c r="L18" s="90">
        <f>'05 Opex'!L$85-'03 CAPEX &amp; Depreciation'!L$161</f>
        <v>0</v>
      </c>
      <c r="M18" s="90">
        <f>'05 Opex'!M$85-'03 CAPEX &amp; Depreciation'!M$161</f>
        <v>0</v>
      </c>
      <c r="N18" s="90">
        <f>'05 Opex'!N$85-'03 CAPEX &amp; Depreciation'!N$161</f>
        <v>0</v>
      </c>
      <c r="O18" s="90">
        <f>'05 Opex'!O$85-'03 CAPEX &amp; Depreciation'!O$161</f>
        <v>0</v>
      </c>
      <c r="P18" s="90">
        <f>'05 Opex'!P$85-'03 CAPEX &amp; Depreciation'!P$161</f>
        <v>0</v>
      </c>
      <c r="Q18" s="90">
        <f>'05 Opex'!Q$85-'03 CAPEX &amp; Depreciation'!Q$161</f>
        <v>0</v>
      </c>
      <c r="R18" s="90">
        <f>'05 Opex'!R$85-'03 CAPEX &amp; Depreciation'!R$161</f>
        <v>0</v>
      </c>
      <c r="S18" s="90">
        <f>'05 Opex'!S$85-'03 CAPEX &amp; Depreciation'!S$161</f>
        <v>0</v>
      </c>
      <c r="T18" s="90">
        <f>'05 Opex'!T$85-'03 CAPEX &amp; Depreciation'!T$161</f>
        <v>0</v>
      </c>
      <c r="U18" s="90">
        <f>'05 Opex'!U$85-'03 CAPEX &amp; Depreciation'!U$161</f>
        <v>0</v>
      </c>
      <c r="V18" s="90">
        <f>'05 Opex'!V$85-'03 CAPEX &amp; Depreciation'!V$161</f>
        <v>0</v>
      </c>
      <c r="W18" s="90">
        <f>'05 Opex'!W$85-'03 CAPEX &amp; Depreciation'!W$161</f>
        <v>0</v>
      </c>
      <c r="X18" s="90">
        <f>'05 Opex'!X$85-'03 CAPEX &amp; Depreciation'!X$161</f>
        <v>0</v>
      </c>
      <c r="Y18" s="90">
        <f>'05 Opex'!Y$85-'03 CAPEX &amp; Depreciation'!Y$161</f>
        <v>0</v>
      </c>
      <c r="Z18" s="90">
        <f>'05 Opex'!Z$85-'03 CAPEX &amp; Depreciation'!Z$161</f>
        <v>0</v>
      </c>
      <c r="AA18" s="90">
        <f>'05 Opex'!AA$85-'03 CAPEX &amp; Depreciation'!AA$161</f>
        <v>0</v>
      </c>
      <c r="AB18" s="90">
        <f>'05 Opex'!AB$85-'03 CAPEX &amp; Depreciation'!AB$161</f>
        <v>7072708.3333333321</v>
      </c>
      <c r="AC18" s="90">
        <f>'05 Opex'!AC$85-'03 CAPEX &amp; Depreciation'!AC$161</f>
        <v>7082777.7777777761</v>
      </c>
      <c r="AD18" s="90">
        <f>'05 Opex'!AD$85-'03 CAPEX &amp; Depreciation'!AD$161</f>
        <v>7092847.222222222</v>
      </c>
      <c r="AE18" s="90">
        <f>'05 Opex'!AE$85-'03 CAPEX &amp; Depreciation'!AE$161</f>
        <v>7102916.666666666</v>
      </c>
      <c r="AF18" s="90">
        <f>'05 Opex'!AF$85-'03 CAPEX &amp; Depreciation'!AF$161</f>
        <v>7112986.1111111101</v>
      </c>
      <c r="AG18" s="90">
        <f>'05 Opex'!AG$85-'03 CAPEX &amp; Depreciation'!AG$161</f>
        <v>7123055.5555555541</v>
      </c>
      <c r="AH18" s="90">
        <f>'05 Opex'!AH$85-'03 CAPEX &amp; Depreciation'!AH$161</f>
        <v>7133125</v>
      </c>
      <c r="AI18" s="90">
        <f>'05 Opex'!AI$85-'03 CAPEX &amp; Depreciation'!AI$161</f>
        <v>7143194.444444444</v>
      </c>
      <c r="AJ18" s="90">
        <f>'05 Opex'!AJ$85-'03 CAPEX &amp; Depreciation'!AJ$161</f>
        <v>7153263.8888888881</v>
      </c>
      <c r="AK18" s="90">
        <f>'05 Opex'!AK$85-'03 CAPEX &amp; Depreciation'!AK$161</f>
        <v>7163333.3333333321</v>
      </c>
      <c r="AL18" s="90">
        <f>'05 Opex'!AL$85-'03 CAPEX &amp; Depreciation'!AL$161</f>
        <v>7173402.7777777761</v>
      </c>
      <c r="AM18" s="90">
        <f>'05 Opex'!AM$85-'03 CAPEX &amp; Depreciation'!AM$161</f>
        <v>7183472.222222222</v>
      </c>
      <c r="AN18" s="90">
        <f>'05 Opex'!AN$85-'03 CAPEX &amp; Depreciation'!AN$161</f>
        <v>7193541.666666666</v>
      </c>
      <c r="AO18" s="90">
        <f>'05 Opex'!AO$85-'03 CAPEX &amp; Depreciation'!AO$161</f>
        <v>7203611.1111111101</v>
      </c>
      <c r="AP18" s="90">
        <f>'05 Opex'!AP$85-'03 CAPEX &amp; Depreciation'!AP$161</f>
        <v>7213680.5555555541</v>
      </c>
      <c r="AQ18" s="90">
        <f>'05 Opex'!AQ$85-'03 CAPEX &amp; Depreciation'!AQ$161</f>
        <v>7223750</v>
      </c>
      <c r="AR18" s="90">
        <f>'05 Opex'!AR$85-'03 CAPEX &amp; Depreciation'!AR$161</f>
        <v>7233819.444444444</v>
      </c>
      <c r="AS18" s="90">
        <f>'05 Opex'!AS$85-'03 CAPEX &amp; Depreciation'!AS$161</f>
        <v>7243888.8888888881</v>
      </c>
      <c r="AT18" s="90">
        <f>'05 Opex'!AT$85-'03 CAPEX &amp; Depreciation'!AT$161</f>
        <v>7253958.3333333321</v>
      </c>
      <c r="AU18" s="90">
        <f>'05 Opex'!AU$85-'03 CAPEX &amp; Depreciation'!AU$161</f>
        <v>7264027.7777777761</v>
      </c>
      <c r="AV18" s="90">
        <f>'05 Opex'!AV$85-'03 CAPEX &amp; Depreciation'!AV$161</f>
        <v>7274097.222222222</v>
      </c>
      <c r="AW18" s="90">
        <f>'05 Opex'!AW$85-'03 CAPEX &amp; Depreciation'!AW$161</f>
        <v>7284166.666666666</v>
      </c>
      <c r="AX18" s="90">
        <f>'05 Opex'!AX$85-'03 CAPEX &amp; Depreciation'!AX$161</f>
        <v>7294236.1111111101</v>
      </c>
      <c r="AY18" s="90">
        <f>'05 Opex'!AY$85-'03 CAPEX &amp; Depreciation'!AY$161</f>
        <v>7304305.5555555541</v>
      </c>
      <c r="AZ18" s="90">
        <f>'05 Opex'!AZ$85-'03 CAPEX &amp; Depreciation'!AZ$161</f>
        <v>7314375</v>
      </c>
      <c r="BA18" s="90">
        <f>'05 Opex'!BA$85-'03 CAPEX &amp; Depreciation'!BA$161</f>
        <v>7324444.444444444</v>
      </c>
      <c r="BB18" s="90">
        <f>'05 Opex'!BB$85-'03 CAPEX &amp; Depreciation'!BB$161</f>
        <v>7334513.8888888881</v>
      </c>
      <c r="BC18" s="90">
        <f>'05 Opex'!BC$85-'03 CAPEX &amp; Depreciation'!BC$161</f>
        <v>7344583.3333333321</v>
      </c>
      <c r="BD18" s="90">
        <f>'05 Opex'!BD$85-'03 CAPEX &amp; Depreciation'!BD$161</f>
        <v>7354652.7777777761</v>
      </c>
      <c r="BE18" s="90">
        <f>'05 Opex'!BE$85-'03 CAPEX &amp; Depreciation'!BE$161</f>
        <v>7364722.222222222</v>
      </c>
      <c r="BF18" s="90">
        <f>'05 Opex'!BF$85-'03 CAPEX &amp; Depreciation'!BF$161</f>
        <v>7374791.666666666</v>
      </c>
      <c r="BG18" s="90">
        <f>'05 Opex'!BG$85-'03 CAPEX &amp; Depreciation'!BG$161</f>
        <v>7384861.1111111101</v>
      </c>
      <c r="BH18" s="90">
        <f>'05 Opex'!BH$85-'03 CAPEX &amp; Depreciation'!BH$161</f>
        <v>7394930.5555555541</v>
      </c>
      <c r="BI18" s="90">
        <f>'05 Opex'!BI$85-'03 CAPEX &amp; Depreciation'!BI$161</f>
        <v>90189166.666666657</v>
      </c>
      <c r="BJ18" s="90">
        <f>'05 Opex'!BJ$85-'03 CAPEX &amp; Depreciation'!BJ$161</f>
        <v>91639166.666666657</v>
      </c>
      <c r="BK18" s="90">
        <f>'05 Opex'!BK$85-'03 CAPEX &amp; Depreciation'!BK$161</f>
        <v>91289166.666666657</v>
      </c>
      <c r="BL18" s="90">
        <f>'05 Opex'!BL$85-'03 CAPEX &amp; Depreciation'!BL$161</f>
        <v>92139166.666666657</v>
      </c>
      <c r="BM18" s="90">
        <f>'05 Opex'!BM$85-'03 CAPEX &amp; Depreciation'!BM$161</f>
        <v>93589166.666666657</v>
      </c>
      <c r="BN18" s="90">
        <f>'05 Opex'!BN$85-'03 CAPEX &amp; Depreciation'!BN$161</f>
        <v>95039166.666666657</v>
      </c>
      <c r="BO18" s="90">
        <f>'05 Opex'!BO$85-'03 CAPEX &amp; Depreciation'!BO$161</f>
        <v>96489166.666666657</v>
      </c>
    </row>
    <row r="19" spans="1:67">
      <c r="A19" s="11"/>
      <c r="B19" s="22" t="s">
        <v>802</v>
      </c>
      <c r="C19" s="11"/>
      <c r="D19" s="33"/>
      <c r="E19" s="33"/>
      <c r="F19" s="43"/>
      <c r="G19" s="89">
        <f>SUM(G9:G18)</f>
        <v>29800</v>
      </c>
      <c r="H19" s="89">
        <f t="shared" ref="H19:BO19" si="0">SUM(H9:H18)</f>
        <v>29800</v>
      </c>
      <c r="I19" s="89">
        <f t="shared" si="0"/>
        <v>29800</v>
      </c>
      <c r="J19" s="89">
        <f t="shared" si="0"/>
        <v>29800</v>
      </c>
      <c r="K19" s="89">
        <f t="shared" si="0"/>
        <v>29800</v>
      </c>
      <c r="L19" s="89">
        <f t="shared" si="0"/>
        <v>29800</v>
      </c>
      <c r="M19" s="89">
        <f t="shared" si="0"/>
        <v>29800</v>
      </c>
      <c r="N19" s="89">
        <f t="shared" si="0"/>
        <v>29800</v>
      </c>
      <c r="O19" s="89">
        <f t="shared" si="0"/>
        <v>29800</v>
      </c>
      <c r="P19" s="89">
        <f t="shared" si="0"/>
        <v>29800</v>
      </c>
      <c r="Q19" s="89">
        <f t="shared" si="0"/>
        <v>29800</v>
      </c>
      <c r="R19" s="89">
        <f t="shared" si="0"/>
        <v>29800</v>
      </c>
      <c r="S19" s="89">
        <f t="shared" si="0"/>
        <v>30396</v>
      </c>
      <c r="T19" s="89">
        <f t="shared" si="0"/>
        <v>30396</v>
      </c>
      <c r="U19" s="89">
        <f t="shared" si="0"/>
        <v>30396</v>
      </c>
      <c r="V19" s="89">
        <f t="shared" si="0"/>
        <v>30396</v>
      </c>
      <c r="W19" s="89">
        <f t="shared" si="0"/>
        <v>30396</v>
      </c>
      <c r="X19" s="89">
        <f t="shared" si="0"/>
        <v>30396</v>
      </c>
      <c r="Y19" s="89">
        <f t="shared" si="0"/>
        <v>30396</v>
      </c>
      <c r="Z19" s="89">
        <f t="shared" si="0"/>
        <v>30396</v>
      </c>
      <c r="AA19" s="89">
        <f t="shared" si="0"/>
        <v>30396</v>
      </c>
      <c r="AB19" s="89">
        <f t="shared" si="0"/>
        <v>34972163.066848561</v>
      </c>
      <c r="AC19" s="89">
        <f t="shared" si="0"/>
        <v>19672756.12864019</v>
      </c>
      <c r="AD19" s="89">
        <f t="shared" si="0"/>
        <v>21227320.594286747</v>
      </c>
      <c r="AE19" s="89">
        <f t="shared" si="0"/>
        <v>23169240.437941588</v>
      </c>
      <c r="AF19" s="89">
        <f t="shared" si="0"/>
        <v>24757472.230103731</v>
      </c>
      <c r="AG19" s="89">
        <f t="shared" si="0"/>
        <v>26345704.022265881</v>
      </c>
      <c r="AH19" s="89">
        <f t="shared" si="0"/>
        <v>27933935.814428035</v>
      </c>
      <c r="AI19" s="89">
        <f t="shared" si="0"/>
        <v>29522167.606590182</v>
      </c>
      <c r="AJ19" s="89">
        <f t="shared" si="0"/>
        <v>31110399.398752347</v>
      </c>
      <c r="AK19" s="89">
        <f t="shared" si="0"/>
        <v>32698631.190914493</v>
      </c>
      <c r="AL19" s="89">
        <f t="shared" si="0"/>
        <v>34286862.983076647</v>
      </c>
      <c r="AM19" s="89">
        <f t="shared" si="0"/>
        <v>35875094.775238812</v>
      </c>
      <c r="AN19" s="89">
        <f t="shared" si="0"/>
        <v>37463326.56740094</v>
      </c>
      <c r="AO19" s="89">
        <f t="shared" si="0"/>
        <v>37478018.339970388</v>
      </c>
      <c r="AP19" s="89">
        <f t="shared" si="0"/>
        <v>37492710.112539835</v>
      </c>
      <c r="AQ19" s="89">
        <f t="shared" si="0"/>
        <v>38217022.329761654</v>
      </c>
      <c r="AR19" s="89">
        <f t="shared" si="0"/>
        <v>38231760.325612344</v>
      </c>
      <c r="AS19" s="89">
        <f t="shared" si="0"/>
        <v>38246498.321463034</v>
      </c>
      <c r="AT19" s="89">
        <f t="shared" si="0"/>
        <v>38261236.317313731</v>
      </c>
      <c r="AU19" s="89">
        <f t="shared" si="0"/>
        <v>38275974.313164428</v>
      </c>
      <c r="AV19" s="89">
        <f t="shared" si="0"/>
        <v>38290712.309015118</v>
      </c>
      <c r="AW19" s="89">
        <f t="shared" si="0"/>
        <v>38305450.304865815</v>
      </c>
      <c r="AX19" s="89">
        <f t="shared" si="0"/>
        <v>38320188.300716512</v>
      </c>
      <c r="AY19" s="89">
        <f t="shared" si="0"/>
        <v>38334926.296567202</v>
      </c>
      <c r="AZ19" s="89">
        <f t="shared" si="0"/>
        <v>38349664.292417899</v>
      </c>
      <c r="BA19" s="89">
        <f t="shared" si="0"/>
        <v>38364402.288268596</v>
      </c>
      <c r="BB19" s="89">
        <f t="shared" si="0"/>
        <v>38379140.284119286</v>
      </c>
      <c r="BC19" s="89">
        <f t="shared" si="0"/>
        <v>39123811.511022627</v>
      </c>
      <c r="BD19" s="89">
        <f t="shared" si="0"/>
        <v>39138596.192387387</v>
      </c>
      <c r="BE19" s="89">
        <f t="shared" si="0"/>
        <v>39153380.87375214</v>
      </c>
      <c r="BF19" s="89">
        <f t="shared" si="0"/>
        <v>39168165.555116899</v>
      </c>
      <c r="BG19" s="89">
        <f t="shared" si="0"/>
        <v>39182950.236481652</v>
      </c>
      <c r="BH19" s="89">
        <f t="shared" si="0"/>
        <v>39197734.917846411</v>
      </c>
      <c r="BI19" s="89">
        <f t="shared" si="0"/>
        <v>481891071.36996901</v>
      </c>
      <c r="BJ19" s="89">
        <f t="shared" si="0"/>
        <v>493300717.68847573</v>
      </c>
      <c r="BK19" s="89">
        <f t="shared" si="0"/>
        <v>503185933.51865661</v>
      </c>
      <c r="BL19" s="89">
        <f t="shared" si="0"/>
        <v>514555751.12423432</v>
      </c>
      <c r="BM19" s="89">
        <f t="shared" si="0"/>
        <v>526819554.22156203</v>
      </c>
      <c r="BN19" s="89">
        <f t="shared" si="0"/>
        <v>539788857.00875771</v>
      </c>
      <c r="BO19" s="89">
        <f t="shared" si="0"/>
        <v>552397050.16107893</v>
      </c>
    </row>
    <row r="20" spans="1:67">
      <c r="A20" s="11"/>
      <c r="B20" s="11"/>
      <c r="C20" s="11"/>
      <c r="D20" s="33"/>
      <c r="E20" s="33"/>
      <c r="F20" s="4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row>
    <row r="21" spans="1:67">
      <c r="A21" s="18" t="s">
        <v>803</v>
      </c>
      <c r="B21" s="18"/>
      <c r="C21" s="18"/>
      <c r="D21" s="39"/>
      <c r="E21" s="39"/>
      <c r="F21" s="39"/>
      <c r="G21" s="39"/>
      <c r="H21" s="39"/>
      <c r="I21" s="39"/>
      <c r="J21" s="39"/>
      <c r="K21" s="39"/>
      <c r="L21" s="39"/>
      <c r="M21" s="39"/>
      <c r="N21" s="39"/>
      <c r="O21" s="39"/>
      <c r="P21" s="39"/>
      <c r="Q21" s="39"/>
      <c r="R21" s="39"/>
      <c r="S21" s="39"/>
      <c r="T21" s="39"/>
      <c r="U21" s="39"/>
      <c r="V21" s="39"/>
      <c r="W21" s="39"/>
      <c r="X21" s="39"/>
      <c r="Y21" s="39"/>
      <c r="Z21" s="39"/>
      <c r="AA21" s="39"/>
      <c r="AB21" s="39"/>
      <c r="AC21" s="39"/>
      <c r="AD21" s="39"/>
      <c r="AE21" s="39"/>
      <c r="AF21" s="39"/>
      <c r="AG21" s="39"/>
      <c r="AH21" s="39"/>
      <c r="AI21" s="39"/>
      <c r="AJ21" s="39"/>
      <c r="AK21" s="39"/>
      <c r="AL21" s="39"/>
      <c r="AM21" s="39"/>
      <c r="AN21" s="39"/>
      <c r="AO21" s="39"/>
      <c r="AP21" s="39"/>
      <c r="AQ21" s="39"/>
      <c r="AR21" s="39"/>
      <c r="AS21" s="39"/>
      <c r="AT21" s="39"/>
      <c r="AU21" s="39"/>
      <c r="AV21" s="39"/>
      <c r="AW21" s="39"/>
      <c r="AX21" s="39"/>
      <c r="AY21" s="39"/>
      <c r="AZ21" s="39"/>
      <c r="BA21" s="39"/>
      <c r="BB21" s="39"/>
      <c r="BC21" s="39"/>
      <c r="BD21" s="39"/>
      <c r="BE21" s="39"/>
      <c r="BF21" s="39"/>
      <c r="BG21" s="39"/>
      <c r="BH21" s="39"/>
      <c r="BI21" s="39"/>
      <c r="BJ21" s="39"/>
      <c r="BK21" s="39"/>
      <c r="BL21" s="39"/>
      <c r="BM21" s="39"/>
      <c r="BN21" s="39"/>
      <c r="BO21" s="39"/>
    </row>
    <row r="22" spans="1:67">
      <c r="A22" s="11"/>
      <c r="B22" s="11" t="s">
        <v>804</v>
      </c>
      <c r="C22" s="11"/>
      <c r="D22" s="33"/>
      <c r="E22" s="33"/>
      <c r="F22" s="10" t="s">
        <v>794</v>
      </c>
      <c r="G22" s="90">
        <f>'05 Opex'!G$10</f>
        <v>0</v>
      </c>
      <c r="H22" s="90">
        <f>'05 Opex'!H$10</f>
        <v>0</v>
      </c>
      <c r="I22" s="90">
        <f>'05 Opex'!I$10</f>
        <v>0</v>
      </c>
      <c r="J22" s="90">
        <f>'05 Opex'!J$10</f>
        <v>0</v>
      </c>
      <c r="K22" s="90">
        <f>'05 Opex'!K$10</f>
        <v>0</v>
      </c>
      <c r="L22" s="90">
        <f>'05 Opex'!L$10</f>
        <v>0</v>
      </c>
      <c r="M22" s="90">
        <f>'05 Opex'!M$10</f>
        <v>0</v>
      </c>
      <c r="N22" s="90">
        <f>'05 Opex'!N$10</f>
        <v>0</v>
      </c>
      <c r="O22" s="90">
        <f>'05 Opex'!O$10</f>
        <v>0</v>
      </c>
      <c r="P22" s="90">
        <f>'05 Opex'!P$10</f>
        <v>0</v>
      </c>
      <c r="Q22" s="90">
        <f>'05 Opex'!Q$10</f>
        <v>0</v>
      </c>
      <c r="R22" s="90">
        <f>'05 Opex'!R$10</f>
        <v>0</v>
      </c>
      <c r="S22" s="90">
        <f>'05 Opex'!S$10</f>
        <v>0</v>
      </c>
      <c r="T22" s="90">
        <f>'05 Opex'!T$10</f>
        <v>0</v>
      </c>
      <c r="U22" s="90">
        <f>'05 Opex'!U$10</f>
        <v>0</v>
      </c>
      <c r="V22" s="90">
        <f>'05 Opex'!V$10</f>
        <v>0</v>
      </c>
      <c r="W22" s="90">
        <f>'05 Opex'!W$10</f>
        <v>0</v>
      </c>
      <c r="X22" s="90">
        <f>'05 Opex'!X$10</f>
        <v>0</v>
      </c>
      <c r="Y22" s="90">
        <f>'05 Opex'!Y$10</f>
        <v>0</v>
      </c>
      <c r="Z22" s="90">
        <f>'05 Opex'!Z$10</f>
        <v>0</v>
      </c>
      <c r="AA22" s="90">
        <f>'05 Opex'!AA$10</f>
        <v>0</v>
      </c>
      <c r="AB22" s="90">
        <f>'05 Opex'!AB$10</f>
        <v>145048.91939999998</v>
      </c>
      <c r="AC22" s="90">
        <f>'05 Opex'!AC$10</f>
        <v>192189.81820499993</v>
      </c>
      <c r="AD22" s="90">
        <f>'05 Opex'!AD$10</f>
        <v>239330.71700999999</v>
      </c>
      <c r="AE22" s="90">
        <f>'05 Opex'!AE$10</f>
        <v>293060.46297874511</v>
      </c>
      <c r="AF22" s="90">
        <f>'05 Opex'!AF$10</f>
        <v>341285.60245625995</v>
      </c>
      <c r="AG22" s="90">
        <f>'05 Opex'!AG$10</f>
        <v>389510.7419337749</v>
      </c>
      <c r="AH22" s="90">
        <f>'05 Opex'!AH$10</f>
        <v>437735.88141128985</v>
      </c>
      <c r="AI22" s="90">
        <f>'05 Opex'!AI$10</f>
        <v>485961.02088880492</v>
      </c>
      <c r="AJ22" s="90">
        <f>'05 Opex'!AJ$10</f>
        <v>534186.16036631993</v>
      </c>
      <c r="AK22" s="90">
        <f>'05 Opex'!AK$10</f>
        <v>582411.29984383495</v>
      </c>
      <c r="AL22" s="90">
        <f>'05 Opex'!AL$10</f>
        <v>630636.43932134984</v>
      </c>
      <c r="AM22" s="90">
        <f>'05 Opex'!AM$10</f>
        <v>678861.57879886497</v>
      </c>
      <c r="AN22" s="90">
        <f>'05 Opex'!AN$10</f>
        <v>727086.71827637975</v>
      </c>
      <c r="AO22" s="90">
        <f>'05 Opex'!AO$10</f>
        <v>727086.71827637975</v>
      </c>
      <c r="AP22" s="90">
        <f>'05 Opex'!AP$10</f>
        <v>727086.71827637975</v>
      </c>
      <c r="AQ22" s="90">
        <f>'05 Opex'!AQ$10</f>
        <v>743809.71279673639</v>
      </c>
      <c r="AR22" s="90">
        <f>'05 Opex'!AR$10</f>
        <v>743809.71279673639</v>
      </c>
      <c r="AS22" s="90">
        <f>'05 Opex'!AS$10</f>
        <v>743809.71279673639</v>
      </c>
      <c r="AT22" s="90">
        <f>'05 Opex'!AT$10</f>
        <v>743809.71279673639</v>
      </c>
      <c r="AU22" s="90">
        <f>'05 Opex'!AU$10</f>
        <v>743809.71279673639</v>
      </c>
      <c r="AV22" s="90">
        <f>'05 Opex'!AV$10</f>
        <v>743809.71279673639</v>
      </c>
      <c r="AW22" s="90">
        <f>'05 Opex'!AW$10</f>
        <v>743809.71279673639</v>
      </c>
      <c r="AX22" s="90">
        <f>'05 Opex'!AX$10</f>
        <v>743809.71279673639</v>
      </c>
      <c r="AY22" s="90">
        <f>'05 Opex'!AY$10</f>
        <v>743809.71279673639</v>
      </c>
      <c r="AZ22" s="90">
        <f>'05 Opex'!AZ$10</f>
        <v>743809.71279673639</v>
      </c>
      <c r="BA22" s="90">
        <f>'05 Opex'!BA$10</f>
        <v>743809.71279673639</v>
      </c>
      <c r="BB22" s="90">
        <f>'05 Opex'!BB$10</f>
        <v>743809.71279673639</v>
      </c>
      <c r="BC22" s="90">
        <f>'05 Opex'!BC$10</f>
        <v>760917.3361910613</v>
      </c>
      <c r="BD22" s="90">
        <f>'05 Opex'!BD$10</f>
        <v>760917.3361910613</v>
      </c>
      <c r="BE22" s="90">
        <f>'05 Opex'!BE$10</f>
        <v>760917.3361910613</v>
      </c>
      <c r="BF22" s="90">
        <f>'05 Opex'!BF$10</f>
        <v>760917.3361910613</v>
      </c>
      <c r="BG22" s="90">
        <f>'05 Opex'!BG$10</f>
        <v>760917.3361910613</v>
      </c>
      <c r="BH22" s="90">
        <f>'05 Opex'!BH$10</f>
        <v>760917.3361910613</v>
      </c>
      <c r="BI22" s="90">
        <f>'05 Opex'!BI$10</f>
        <v>9341021.219081467</v>
      </c>
      <c r="BJ22" s="90">
        <f>'05 Opex'!BJ$10</f>
        <v>9555864.7071203422</v>
      </c>
      <c r="BK22" s="90">
        <f>'05 Opex'!BK$10</f>
        <v>9775649.5953841079</v>
      </c>
      <c r="BL22" s="90">
        <f>'05 Opex'!BL$10</f>
        <v>10000489.536077941</v>
      </c>
      <c r="BM22" s="90">
        <f>'05 Opex'!BM$10</f>
        <v>10230500.795407733</v>
      </c>
      <c r="BN22" s="90">
        <f>'05 Opex'!BN$10</f>
        <v>10465802.31370211</v>
      </c>
      <c r="BO22" s="90">
        <f>'05 Opex'!BO$10</f>
        <v>10706515.766917259</v>
      </c>
    </row>
    <row r="23" spans="1:67">
      <c r="A23" s="11"/>
      <c r="B23" s="11" t="s">
        <v>805</v>
      </c>
      <c r="C23" s="11"/>
      <c r="D23" s="33"/>
      <c r="E23" s="33"/>
      <c r="F23" s="10" t="s">
        <v>794</v>
      </c>
      <c r="G23" s="90">
        <f>'05 Opex'!G$39</f>
        <v>0</v>
      </c>
      <c r="H23" s="90">
        <f>'05 Opex'!H$39</f>
        <v>0</v>
      </c>
      <c r="I23" s="90">
        <f>'05 Opex'!I$39</f>
        <v>0</v>
      </c>
      <c r="J23" s="90">
        <f>'05 Opex'!J$39</f>
        <v>0</v>
      </c>
      <c r="K23" s="90">
        <f>'05 Opex'!K$39</f>
        <v>0</v>
      </c>
      <c r="L23" s="90">
        <f>'05 Opex'!L$39</f>
        <v>0</v>
      </c>
      <c r="M23" s="90">
        <f>'05 Opex'!M$39</f>
        <v>0</v>
      </c>
      <c r="N23" s="90">
        <f>'05 Opex'!N$39</f>
        <v>0</v>
      </c>
      <c r="O23" s="90">
        <f>'05 Opex'!O$39</f>
        <v>0</v>
      </c>
      <c r="P23" s="90">
        <f>'05 Opex'!P$39</f>
        <v>0</v>
      </c>
      <c r="Q23" s="90">
        <f>'05 Opex'!Q$39</f>
        <v>0</v>
      </c>
      <c r="R23" s="90">
        <f>'05 Opex'!R$39</f>
        <v>0</v>
      </c>
      <c r="S23" s="90">
        <f>'05 Opex'!S$39</f>
        <v>0</v>
      </c>
      <c r="T23" s="90">
        <f>'05 Opex'!T$39</f>
        <v>0</v>
      </c>
      <c r="U23" s="90">
        <f>'05 Opex'!U$39</f>
        <v>0</v>
      </c>
      <c r="V23" s="90">
        <f>'05 Opex'!V$39</f>
        <v>0</v>
      </c>
      <c r="W23" s="90">
        <f>'05 Opex'!W$39</f>
        <v>0</v>
      </c>
      <c r="X23" s="90">
        <f>'05 Opex'!X$39</f>
        <v>0</v>
      </c>
      <c r="Y23" s="90">
        <f>'05 Opex'!Y$39</f>
        <v>0</v>
      </c>
      <c r="Z23" s="90">
        <f>'05 Opex'!Z$39</f>
        <v>0</v>
      </c>
      <c r="AA23" s="90">
        <f>'05 Opex'!AA$39</f>
        <v>0</v>
      </c>
      <c r="AB23" s="90">
        <f>'05 Opex'!AB$39</f>
        <v>205660.00000000003</v>
      </c>
      <c r="AC23" s="90">
        <f>'05 Opex'!AC$39</f>
        <v>205660.00000000003</v>
      </c>
      <c r="AD23" s="90">
        <f>'05 Opex'!AD$39</f>
        <v>205660.00000000003</v>
      </c>
      <c r="AE23" s="90">
        <f>'05 Opex'!AE$39</f>
        <v>215943.00000000003</v>
      </c>
      <c r="AF23" s="90">
        <f>'05 Opex'!AF$39</f>
        <v>215943.00000000003</v>
      </c>
      <c r="AG23" s="90">
        <f>'05 Opex'!AG$39</f>
        <v>215943.00000000003</v>
      </c>
      <c r="AH23" s="90">
        <f>'05 Opex'!AH$39</f>
        <v>215943.00000000003</v>
      </c>
      <c r="AI23" s="90">
        <f>'05 Opex'!AI$39</f>
        <v>215943.00000000003</v>
      </c>
      <c r="AJ23" s="90">
        <f>'05 Opex'!AJ$39</f>
        <v>215943.00000000003</v>
      </c>
      <c r="AK23" s="90">
        <f>'05 Opex'!AK$39</f>
        <v>215943.00000000003</v>
      </c>
      <c r="AL23" s="90">
        <f>'05 Opex'!AL$39</f>
        <v>215943.00000000003</v>
      </c>
      <c r="AM23" s="90">
        <f>'05 Opex'!AM$39</f>
        <v>215943.00000000003</v>
      </c>
      <c r="AN23" s="90">
        <f>'05 Opex'!AN$39</f>
        <v>215943.00000000003</v>
      </c>
      <c r="AO23" s="90">
        <f>'05 Opex'!AO$39</f>
        <v>215943.00000000003</v>
      </c>
      <c r="AP23" s="90">
        <f>'05 Opex'!AP$39</f>
        <v>215943.00000000003</v>
      </c>
      <c r="AQ23" s="90">
        <f>'05 Opex'!AQ$39</f>
        <v>226740.15000000005</v>
      </c>
      <c r="AR23" s="90">
        <f>'05 Opex'!AR$39</f>
        <v>226740.15000000005</v>
      </c>
      <c r="AS23" s="90">
        <f>'05 Opex'!AS$39</f>
        <v>226740.15000000005</v>
      </c>
      <c r="AT23" s="90">
        <f>'05 Opex'!AT$39</f>
        <v>226740.15000000005</v>
      </c>
      <c r="AU23" s="90">
        <f>'05 Opex'!AU$39</f>
        <v>226740.15000000005</v>
      </c>
      <c r="AV23" s="90">
        <f>'05 Opex'!AV$39</f>
        <v>226740.15000000005</v>
      </c>
      <c r="AW23" s="90">
        <f>'05 Opex'!AW$39</f>
        <v>226740.15000000005</v>
      </c>
      <c r="AX23" s="90">
        <f>'05 Opex'!AX$39</f>
        <v>226740.15000000005</v>
      </c>
      <c r="AY23" s="90">
        <f>'05 Opex'!AY$39</f>
        <v>226740.15000000005</v>
      </c>
      <c r="AZ23" s="90">
        <f>'05 Opex'!AZ$39</f>
        <v>226740.15000000005</v>
      </c>
      <c r="BA23" s="90">
        <f>'05 Opex'!BA$39</f>
        <v>226740.15000000005</v>
      </c>
      <c r="BB23" s="90">
        <f>'05 Opex'!BB$39</f>
        <v>226740.15000000005</v>
      </c>
      <c r="BC23" s="90">
        <f>'05 Opex'!BC$39</f>
        <v>238077.15750000003</v>
      </c>
      <c r="BD23" s="90">
        <f>'05 Opex'!BD$39</f>
        <v>238077.15750000003</v>
      </c>
      <c r="BE23" s="90">
        <f>'05 Opex'!BE$39</f>
        <v>238077.15750000003</v>
      </c>
      <c r="BF23" s="90">
        <f>'05 Opex'!BF$39</f>
        <v>238077.15750000003</v>
      </c>
      <c r="BG23" s="90">
        <f>'05 Opex'!BG$39</f>
        <v>238077.15750000003</v>
      </c>
      <c r="BH23" s="90">
        <f>'05 Opex'!BH$39</f>
        <v>238077.15750000003</v>
      </c>
      <c r="BI23" s="90">
        <f>'05 Opex'!BI$39</f>
        <v>2999772.1845000004</v>
      </c>
      <c r="BJ23" s="90">
        <f>'05 Opex'!BJ$39</f>
        <v>3149760.7937249998</v>
      </c>
      <c r="BK23" s="90">
        <f>'05 Opex'!BK$39</f>
        <v>3307248.8334112507</v>
      </c>
      <c r="BL23" s="90">
        <f>'05 Opex'!BL$39</f>
        <v>3472611.2750818129</v>
      </c>
      <c r="BM23" s="90">
        <f>'05 Opex'!BM$39</f>
        <v>3646241.8388359034</v>
      </c>
      <c r="BN23" s="90">
        <f>'05 Opex'!BN$39</f>
        <v>3828553.9307776988</v>
      </c>
      <c r="BO23" s="90">
        <f>'05 Opex'!BO$39</f>
        <v>4019981.6273165839</v>
      </c>
    </row>
    <row r="24" spans="1:67">
      <c r="A24" s="11"/>
      <c r="B24" s="11" t="s">
        <v>806</v>
      </c>
      <c r="C24" s="11"/>
      <c r="D24" s="33"/>
      <c r="E24" s="33"/>
      <c r="F24" s="10" t="s">
        <v>794</v>
      </c>
      <c r="G24" s="90">
        <f>'05 Opex'!G$19*'01 Major Assumptions'!$D$52*0.15</f>
        <v>0</v>
      </c>
      <c r="H24" s="90">
        <f>'05 Opex'!H$19*'01 Major Assumptions'!$D$52*0.15</f>
        <v>0</v>
      </c>
      <c r="I24" s="90">
        <f>'05 Opex'!I$19*'01 Major Assumptions'!$D$52*0.15</f>
        <v>0</v>
      </c>
      <c r="J24" s="90">
        <f>'05 Opex'!J$19*'01 Major Assumptions'!$D$52*0.15</f>
        <v>0</v>
      </c>
      <c r="K24" s="90">
        <f>'05 Opex'!K$19*'01 Major Assumptions'!$D$52*0.15</f>
        <v>0</v>
      </c>
      <c r="L24" s="90">
        <f>'05 Opex'!L$19*'01 Major Assumptions'!$D$52*0.15</f>
        <v>0</v>
      </c>
      <c r="M24" s="90">
        <f>'05 Opex'!M$19*'01 Major Assumptions'!$D$52*0.15</f>
        <v>0</v>
      </c>
      <c r="N24" s="90">
        <f>'05 Opex'!N$19*'01 Major Assumptions'!$D$52*0.15</f>
        <v>0</v>
      </c>
      <c r="O24" s="90">
        <f>'05 Opex'!O$19*'01 Major Assumptions'!$D$52*0.15</f>
        <v>0</v>
      </c>
      <c r="P24" s="90">
        <f>'05 Opex'!P$19*'01 Major Assumptions'!$D$52*0.15</f>
        <v>0</v>
      </c>
      <c r="Q24" s="90">
        <f>'05 Opex'!Q$19*'01 Major Assumptions'!$D$52*0.15</f>
        <v>0</v>
      </c>
      <c r="R24" s="90">
        <f>'05 Opex'!R$19*'01 Major Assumptions'!$D$52*0.15</f>
        <v>0</v>
      </c>
      <c r="S24" s="90">
        <f>'05 Opex'!S$19*'01 Major Assumptions'!$D$52*0.15</f>
        <v>0</v>
      </c>
      <c r="T24" s="90">
        <f>'05 Opex'!T$19*'01 Major Assumptions'!$D$52*0.15</f>
        <v>0</v>
      </c>
      <c r="U24" s="90">
        <f>'05 Opex'!U$19*'01 Major Assumptions'!$D$52*0.15</f>
        <v>0</v>
      </c>
      <c r="V24" s="90">
        <f>'05 Opex'!V$19*'01 Major Assumptions'!$D$52*0.15</f>
        <v>0</v>
      </c>
      <c r="W24" s="90">
        <f>'05 Opex'!W$19*'01 Major Assumptions'!$D$52*0.15</f>
        <v>0</v>
      </c>
      <c r="X24" s="90">
        <f>'05 Opex'!X$19*'01 Major Assumptions'!$D$52*0.15</f>
        <v>0</v>
      </c>
      <c r="Y24" s="90">
        <f>'05 Opex'!Y$19*'01 Major Assumptions'!$D$52*0.15</f>
        <v>0</v>
      </c>
      <c r="Z24" s="90">
        <f>'05 Opex'!Z$19*'01 Major Assumptions'!$D$52*0.15</f>
        <v>0</v>
      </c>
      <c r="AA24" s="90">
        <f>'05 Opex'!AA$19*'01 Major Assumptions'!$D$52*0.15</f>
        <v>0</v>
      </c>
      <c r="AB24" s="90">
        <f>'05 Opex'!AB$19*'01 Major Assumptions'!$D$52*0.15</f>
        <v>224844.92564998465</v>
      </c>
      <c r="AC24" s="90">
        <f>'05 Opex'!AC$19*'01 Major Assumptions'!$D$52*0.15</f>
        <v>297919.52648622956</v>
      </c>
      <c r="AD24" s="90">
        <f>'05 Opex'!AD$19*'01 Major Assumptions'!$D$52*0.15</f>
        <v>370994.12732247473</v>
      </c>
      <c r="AE24" s="90">
        <f>'05 Opex'!AE$19*'01 Major Assumptions'!$D$52*0.15</f>
        <v>452950.10272189422</v>
      </c>
      <c r="AF24" s="90">
        <f>'05 Opex'!AF$19*'01 Major Assumptions'!$D$52*0.15</f>
        <v>527486.19557486381</v>
      </c>
      <c r="AG24" s="90">
        <f>'05 Opex'!AG$19*'01 Major Assumptions'!$D$52*0.15</f>
        <v>602022.28842783382</v>
      </c>
      <c r="AH24" s="90">
        <f>'05 Opex'!AH$19*'01 Major Assumptions'!$D$52*0.15</f>
        <v>676558.38128080359</v>
      </c>
      <c r="AI24" s="90">
        <f>'05 Opex'!AI$19*'01 Major Assumptions'!$D$52*0.15</f>
        <v>751094.47413377347</v>
      </c>
      <c r="AJ24" s="90">
        <f>'05 Opex'!AJ$19*'01 Major Assumptions'!$D$52*0.15</f>
        <v>825630.56698674359</v>
      </c>
      <c r="AK24" s="90">
        <f>'05 Opex'!AK$19*'01 Major Assumptions'!$D$52*0.15</f>
        <v>900166.65983971348</v>
      </c>
      <c r="AL24" s="90">
        <f>'05 Opex'!AL$19*'01 Major Assumptions'!$D$52*0.15</f>
        <v>974702.75269268325</v>
      </c>
      <c r="AM24" s="90">
        <f>'05 Opex'!AM$19*'01 Major Assumptions'!$D$52*0.15</f>
        <v>1049238.8455456535</v>
      </c>
      <c r="AN24" s="90">
        <f>'05 Opex'!AN$19*'01 Major Assumptions'!$D$52*0.15</f>
        <v>1123774.9383986229</v>
      </c>
      <c r="AO24" s="90">
        <f>'05 Opex'!AO$19*'01 Major Assumptions'!$D$52*0.15</f>
        <v>1123774.9383986229</v>
      </c>
      <c r="AP24" s="90">
        <f>'05 Opex'!AP$19*'01 Major Assumptions'!$D$52*0.15</f>
        <v>1123774.9383986229</v>
      </c>
      <c r="AQ24" s="90">
        <f>'05 Opex'!AQ$19*'01 Major Assumptions'!$D$52*0.15</f>
        <v>1146250.4371665954</v>
      </c>
      <c r="AR24" s="90">
        <f>'05 Opex'!AR$19*'01 Major Assumptions'!$D$52*0.15</f>
        <v>1146250.4371665954</v>
      </c>
      <c r="AS24" s="90">
        <f>'05 Opex'!AS$19*'01 Major Assumptions'!$D$52*0.15</f>
        <v>1146250.4371665954</v>
      </c>
      <c r="AT24" s="90">
        <f>'05 Opex'!AT$19*'01 Major Assumptions'!$D$52*0.15</f>
        <v>1146250.4371665954</v>
      </c>
      <c r="AU24" s="90">
        <f>'05 Opex'!AU$19*'01 Major Assumptions'!$D$52*0.15</f>
        <v>1146250.4371665954</v>
      </c>
      <c r="AV24" s="90">
        <f>'05 Opex'!AV$19*'01 Major Assumptions'!$D$52*0.15</f>
        <v>1146250.4371665954</v>
      </c>
      <c r="AW24" s="90">
        <f>'05 Opex'!AW$19*'01 Major Assumptions'!$D$52*0.15</f>
        <v>1146250.4371665954</v>
      </c>
      <c r="AX24" s="90">
        <f>'05 Opex'!AX$19*'01 Major Assumptions'!$D$52*0.15</f>
        <v>1146250.4371665954</v>
      </c>
      <c r="AY24" s="90">
        <f>'05 Opex'!AY$19*'01 Major Assumptions'!$D$52*0.15</f>
        <v>1146250.4371665954</v>
      </c>
      <c r="AZ24" s="90">
        <f>'05 Opex'!AZ$19*'01 Major Assumptions'!$D$52*0.15</f>
        <v>1146250.4371665954</v>
      </c>
      <c r="BA24" s="90">
        <f>'05 Opex'!BA$19*'01 Major Assumptions'!$D$52*0.15</f>
        <v>1146250.4371665954</v>
      </c>
      <c r="BB24" s="90">
        <f>'05 Opex'!BB$19*'01 Major Assumptions'!$D$52*0.15</f>
        <v>1146250.4371665954</v>
      </c>
      <c r="BC24" s="90">
        <f>'05 Opex'!BC$19*'01 Major Assumptions'!$D$52*0.15</f>
        <v>1169175.4459099274</v>
      </c>
      <c r="BD24" s="90">
        <f>'05 Opex'!BD$19*'01 Major Assumptions'!$D$52*0.15</f>
        <v>1169175.4459099274</v>
      </c>
      <c r="BE24" s="90">
        <f>'05 Opex'!BE$19*'01 Major Assumptions'!$D$52*0.15</f>
        <v>1169175.4459099274</v>
      </c>
      <c r="BF24" s="90">
        <f>'05 Opex'!BF$19*'01 Major Assumptions'!$D$52*0.15</f>
        <v>1169175.4459099274</v>
      </c>
      <c r="BG24" s="90">
        <f>'05 Opex'!BG$19*'01 Major Assumptions'!$D$52*0.15</f>
        <v>1169175.4459099274</v>
      </c>
      <c r="BH24" s="90">
        <f>'05 Opex'!BH$19*'01 Major Assumptions'!$D$52*0.15</f>
        <v>1169175.4459099274</v>
      </c>
      <c r="BI24" s="90">
        <f>'05 Opex'!BI$19*'01 Major Assumptions'!$D$52*0.15</f>
        <v>14310707.457937514</v>
      </c>
      <c r="BJ24" s="90">
        <f>'05 Opex'!BJ$19*'01 Major Assumptions'!$D$52*0.15</f>
        <v>14596921.607096264</v>
      </c>
      <c r="BK24" s="90">
        <f>'05 Opex'!BK$19*'01 Major Assumptions'!$D$52*0.15</f>
        <v>14888860.039238188</v>
      </c>
      <c r="BL24" s="90">
        <f>'05 Opex'!BL$19*'01 Major Assumptions'!$D$52*0.15</f>
        <v>15186637.240022952</v>
      </c>
      <c r="BM24" s="90">
        <f>'05 Opex'!BM$19*'01 Major Assumptions'!$D$52*0.15</f>
        <v>15490369.984823411</v>
      </c>
      <c r="BN24" s="90">
        <f>'05 Opex'!BN$19*'01 Major Assumptions'!$D$52*0.15</f>
        <v>15800177.384519879</v>
      </c>
      <c r="BO24" s="90">
        <f>'05 Opex'!BO$19*'01 Major Assumptions'!$D$52*0.15</f>
        <v>16116180.932210272</v>
      </c>
    </row>
    <row r="25" spans="1:67">
      <c r="A25" s="11"/>
      <c r="B25" s="11" t="s">
        <v>807</v>
      </c>
      <c r="C25" s="11"/>
      <c r="D25" s="33"/>
      <c r="E25" s="33"/>
      <c r="F25" s="10" t="s">
        <v>798</v>
      </c>
      <c r="G25" s="90">
        <f>'03 CAPEX &amp; Depreciation'!G$161</f>
        <v>0</v>
      </c>
      <c r="H25" s="90">
        <f>'03 CAPEX &amp; Depreciation'!H$161</f>
        <v>0</v>
      </c>
      <c r="I25" s="90">
        <f>'03 CAPEX &amp; Depreciation'!I$161</f>
        <v>0</v>
      </c>
      <c r="J25" s="90">
        <f>'03 CAPEX &amp; Depreciation'!J$161</f>
        <v>0</v>
      </c>
      <c r="K25" s="90">
        <f>'03 CAPEX &amp; Depreciation'!K$161</f>
        <v>0</v>
      </c>
      <c r="L25" s="90">
        <f>'03 CAPEX &amp; Depreciation'!L$161</f>
        <v>0</v>
      </c>
      <c r="M25" s="90">
        <f>'03 CAPEX &amp; Depreciation'!M$161</f>
        <v>0</v>
      </c>
      <c r="N25" s="90">
        <f>'03 CAPEX &amp; Depreciation'!N$161</f>
        <v>0</v>
      </c>
      <c r="O25" s="90">
        <f>'03 CAPEX &amp; Depreciation'!O$161</f>
        <v>0</v>
      </c>
      <c r="P25" s="90">
        <f>'03 CAPEX &amp; Depreciation'!P$161</f>
        <v>0</v>
      </c>
      <c r="Q25" s="90">
        <f>'03 CAPEX &amp; Depreciation'!Q$161</f>
        <v>0</v>
      </c>
      <c r="R25" s="90">
        <f>'03 CAPEX &amp; Depreciation'!R$161</f>
        <v>0</v>
      </c>
      <c r="S25" s="90">
        <f>'03 CAPEX &amp; Depreciation'!S$161</f>
        <v>0</v>
      </c>
      <c r="T25" s="90">
        <f>'03 CAPEX &amp; Depreciation'!T$161</f>
        <v>0</v>
      </c>
      <c r="U25" s="90">
        <f>'03 CAPEX &amp; Depreciation'!U$161</f>
        <v>0</v>
      </c>
      <c r="V25" s="90">
        <f>'03 CAPEX &amp; Depreciation'!V$161</f>
        <v>0</v>
      </c>
      <c r="W25" s="90">
        <f>'03 CAPEX &amp; Depreciation'!W$161</f>
        <v>0</v>
      </c>
      <c r="X25" s="90">
        <f>'03 CAPEX &amp; Depreciation'!X$161</f>
        <v>0</v>
      </c>
      <c r="Y25" s="90">
        <f>'03 CAPEX &amp; Depreciation'!Y$161</f>
        <v>0</v>
      </c>
      <c r="Z25" s="90">
        <f>'03 CAPEX &amp; Depreciation'!Z$161</f>
        <v>0</v>
      </c>
      <c r="AA25" s="90">
        <f>'03 CAPEX &amp; Depreciation'!AA$161</f>
        <v>0</v>
      </c>
      <c r="AB25" s="90">
        <f>'03 CAPEX &amp; Depreciation'!AB$161</f>
        <v>1325000</v>
      </c>
      <c r="AC25" s="90">
        <f>'03 CAPEX &amp; Depreciation'!AC$161</f>
        <v>1325000</v>
      </c>
      <c r="AD25" s="90">
        <f>'03 CAPEX &amp; Depreciation'!AD$161</f>
        <v>1325000</v>
      </c>
      <c r="AE25" s="90">
        <f>'03 CAPEX &amp; Depreciation'!AE$161</f>
        <v>1325000</v>
      </c>
      <c r="AF25" s="90">
        <f>'03 CAPEX &amp; Depreciation'!AF$161</f>
        <v>1325000</v>
      </c>
      <c r="AG25" s="90">
        <f>'03 CAPEX &amp; Depreciation'!AG$161</f>
        <v>1325000</v>
      </c>
      <c r="AH25" s="90">
        <f>'03 CAPEX &amp; Depreciation'!AH$161</f>
        <v>1325000</v>
      </c>
      <c r="AI25" s="90">
        <f>'03 CAPEX &amp; Depreciation'!AI$161</f>
        <v>1325000</v>
      </c>
      <c r="AJ25" s="90">
        <f>'03 CAPEX &amp; Depreciation'!AJ$161</f>
        <v>1325000</v>
      </c>
      <c r="AK25" s="90">
        <f>'03 CAPEX &amp; Depreciation'!AK$161</f>
        <v>1325000</v>
      </c>
      <c r="AL25" s="90">
        <f>'03 CAPEX &amp; Depreciation'!AL$161</f>
        <v>1325000</v>
      </c>
      <c r="AM25" s="90">
        <f>'03 CAPEX &amp; Depreciation'!AM$161</f>
        <v>1325000</v>
      </c>
      <c r="AN25" s="90">
        <f>'03 CAPEX &amp; Depreciation'!AN$161</f>
        <v>1325000</v>
      </c>
      <c r="AO25" s="90">
        <f>'03 CAPEX &amp; Depreciation'!AO$161</f>
        <v>1325000</v>
      </c>
      <c r="AP25" s="90">
        <f>'03 CAPEX &amp; Depreciation'!AP$161</f>
        <v>1325000</v>
      </c>
      <c r="AQ25" s="90">
        <f>'03 CAPEX &amp; Depreciation'!AQ$161</f>
        <v>1325000</v>
      </c>
      <c r="AR25" s="90">
        <f>'03 CAPEX &amp; Depreciation'!AR$161</f>
        <v>1325000</v>
      </c>
      <c r="AS25" s="90">
        <f>'03 CAPEX &amp; Depreciation'!AS$161</f>
        <v>1325000</v>
      </c>
      <c r="AT25" s="90">
        <f>'03 CAPEX &amp; Depreciation'!AT$161</f>
        <v>1325000</v>
      </c>
      <c r="AU25" s="90">
        <f>'03 CAPEX &amp; Depreciation'!AU$161</f>
        <v>1325000</v>
      </c>
      <c r="AV25" s="90">
        <f>'03 CAPEX &amp; Depreciation'!AV$161</f>
        <v>1325000</v>
      </c>
      <c r="AW25" s="90">
        <f>'03 CAPEX &amp; Depreciation'!AW$161</f>
        <v>1325000</v>
      </c>
      <c r="AX25" s="90">
        <f>'03 CAPEX &amp; Depreciation'!AX$161</f>
        <v>1325000</v>
      </c>
      <c r="AY25" s="90">
        <f>'03 CAPEX &amp; Depreciation'!AY$161</f>
        <v>1325000</v>
      </c>
      <c r="AZ25" s="90">
        <f>'03 CAPEX &amp; Depreciation'!AZ$161</f>
        <v>1325000</v>
      </c>
      <c r="BA25" s="90">
        <f>'03 CAPEX &amp; Depreciation'!BA$161</f>
        <v>1325000</v>
      </c>
      <c r="BB25" s="90">
        <f>'03 CAPEX &amp; Depreciation'!BB$161</f>
        <v>1325000</v>
      </c>
      <c r="BC25" s="90">
        <f>'03 CAPEX &amp; Depreciation'!BC$161</f>
        <v>1325000</v>
      </c>
      <c r="BD25" s="90">
        <f>'03 CAPEX &amp; Depreciation'!BD$161</f>
        <v>1325000</v>
      </c>
      <c r="BE25" s="90">
        <f>'03 CAPEX &amp; Depreciation'!BE$161</f>
        <v>1325000</v>
      </c>
      <c r="BF25" s="90">
        <f>'03 CAPEX &amp; Depreciation'!BF$161</f>
        <v>1325000</v>
      </c>
      <c r="BG25" s="90">
        <f>'03 CAPEX &amp; Depreciation'!BG$161</f>
        <v>1325000</v>
      </c>
      <c r="BH25" s="90">
        <f>'03 CAPEX &amp; Depreciation'!BH$161</f>
        <v>1325000</v>
      </c>
      <c r="BI25" s="90">
        <f>'03 CAPEX &amp; Depreciation'!BI$161</f>
        <v>15900000</v>
      </c>
      <c r="BJ25" s="90">
        <f>'03 CAPEX &amp; Depreciation'!BJ$161</f>
        <v>15900000</v>
      </c>
      <c r="BK25" s="90">
        <f>'03 CAPEX &amp; Depreciation'!BK$161</f>
        <v>15900000</v>
      </c>
      <c r="BL25" s="90">
        <f>'03 CAPEX &amp; Depreciation'!BL$161</f>
        <v>15900000</v>
      </c>
      <c r="BM25" s="90">
        <f>'03 CAPEX &amp; Depreciation'!BM$161</f>
        <v>15900000</v>
      </c>
      <c r="BN25" s="90">
        <f>'03 CAPEX &amp; Depreciation'!BN$161</f>
        <v>15900000</v>
      </c>
      <c r="BO25" s="90">
        <f>'03 CAPEX &amp; Depreciation'!BO$161</f>
        <v>15900000</v>
      </c>
    </row>
    <row r="26" spans="1:67">
      <c r="A26" s="11"/>
      <c r="B26" s="22" t="s">
        <v>808</v>
      </c>
      <c r="C26" s="11"/>
      <c r="D26" s="33"/>
      <c r="E26" s="33"/>
      <c r="F26" s="43"/>
      <c r="G26" s="89">
        <f>SUM(G22:G25)</f>
        <v>0</v>
      </c>
      <c r="H26" s="89">
        <f t="shared" ref="H26:BO26" si="1">SUM(H22:H25)</f>
        <v>0</v>
      </c>
      <c r="I26" s="89">
        <f t="shared" si="1"/>
        <v>0</v>
      </c>
      <c r="J26" s="89">
        <f t="shared" si="1"/>
        <v>0</v>
      </c>
      <c r="K26" s="89">
        <f t="shared" si="1"/>
        <v>0</v>
      </c>
      <c r="L26" s="89">
        <f t="shared" si="1"/>
        <v>0</v>
      </c>
      <c r="M26" s="89">
        <f t="shared" si="1"/>
        <v>0</v>
      </c>
      <c r="N26" s="89">
        <f t="shared" si="1"/>
        <v>0</v>
      </c>
      <c r="O26" s="89">
        <f t="shared" si="1"/>
        <v>0</v>
      </c>
      <c r="P26" s="89">
        <f t="shared" si="1"/>
        <v>0</v>
      </c>
      <c r="Q26" s="89">
        <f t="shared" si="1"/>
        <v>0</v>
      </c>
      <c r="R26" s="89">
        <f t="shared" si="1"/>
        <v>0</v>
      </c>
      <c r="S26" s="89">
        <f t="shared" si="1"/>
        <v>0</v>
      </c>
      <c r="T26" s="89">
        <f t="shared" si="1"/>
        <v>0</v>
      </c>
      <c r="U26" s="89">
        <f t="shared" si="1"/>
        <v>0</v>
      </c>
      <c r="V26" s="89">
        <f t="shared" si="1"/>
        <v>0</v>
      </c>
      <c r="W26" s="89">
        <f t="shared" si="1"/>
        <v>0</v>
      </c>
      <c r="X26" s="89">
        <f t="shared" si="1"/>
        <v>0</v>
      </c>
      <c r="Y26" s="89">
        <f t="shared" si="1"/>
        <v>0</v>
      </c>
      <c r="Z26" s="89">
        <f t="shared" si="1"/>
        <v>0</v>
      </c>
      <c r="AA26" s="89">
        <f t="shared" si="1"/>
        <v>0</v>
      </c>
      <c r="AB26" s="89">
        <f t="shared" si="1"/>
        <v>1900553.8450499848</v>
      </c>
      <c r="AC26" s="89">
        <f t="shared" si="1"/>
        <v>2020769.3446912295</v>
      </c>
      <c r="AD26" s="89">
        <f t="shared" si="1"/>
        <v>2140984.8443324747</v>
      </c>
      <c r="AE26" s="89">
        <f t="shared" si="1"/>
        <v>2286953.565700639</v>
      </c>
      <c r="AF26" s="89">
        <f t="shared" si="1"/>
        <v>2409714.7980311238</v>
      </c>
      <c r="AG26" s="89">
        <f t="shared" si="1"/>
        <v>2532476.0303616086</v>
      </c>
      <c r="AH26" s="89">
        <f t="shared" si="1"/>
        <v>2655237.2626920934</v>
      </c>
      <c r="AI26" s="89">
        <f t="shared" si="1"/>
        <v>2777998.4950225782</v>
      </c>
      <c r="AJ26" s="89">
        <f t="shared" si="1"/>
        <v>2900759.7273530634</v>
      </c>
      <c r="AK26" s="89">
        <f t="shared" si="1"/>
        <v>3023520.9596835487</v>
      </c>
      <c r="AL26" s="89">
        <f t="shared" si="1"/>
        <v>3146282.192014033</v>
      </c>
      <c r="AM26" s="89">
        <f t="shared" si="1"/>
        <v>3269043.4243445182</v>
      </c>
      <c r="AN26" s="89">
        <f t="shared" si="1"/>
        <v>3391804.6566750025</v>
      </c>
      <c r="AO26" s="89">
        <f t="shared" si="1"/>
        <v>3391804.6566750025</v>
      </c>
      <c r="AP26" s="89">
        <f t="shared" si="1"/>
        <v>3391804.6566750025</v>
      </c>
      <c r="AQ26" s="89">
        <f t="shared" si="1"/>
        <v>3441800.2999633318</v>
      </c>
      <c r="AR26" s="89">
        <f t="shared" si="1"/>
        <v>3441800.2999633318</v>
      </c>
      <c r="AS26" s="89">
        <f t="shared" si="1"/>
        <v>3441800.2999633318</v>
      </c>
      <c r="AT26" s="89">
        <f t="shared" si="1"/>
        <v>3441800.2999633318</v>
      </c>
      <c r="AU26" s="89">
        <f t="shared" si="1"/>
        <v>3441800.2999633318</v>
      </c>
      <c r="AV26" s="89">
        <f t="shared" si="1"/>
        <v>3441800.2999633318</v>
      </c>
      <c r="AW26" s="89">
        <f t="shared" si="1"/>
        <v>3441800.2999633318</v>
      </c>
      <c r="AX26" s="89">
        <f t="shared" si="1"/>
        <v>3441800.2999633318</v>
      </c>
      <c r="AY26" s="89">
        <f t="shared" si="1"/>
        <v>3441800.2999633318</v>
      </c>
      <c r="AZ26" s="89">
        <f t="shared" si="1"/>
        <v>3441800.2999633318</v>
      </c>
      <c r="BA26" s="89">
        <f t="shared" si="1"/>
        <v>3441800.2999633318</v>
      </c>
      <c r="BB26" s="89">
        <f t="shared" si="1"/>
        <v>3441800.2999633318</v>
      </c>
      <c r="BC26" s="89">
        <f t="shared" si="1"/>
        <v>3493169.9396009888</v>
      </c>
      <c r="BD26" s="89">
        <f t="shared" si="1"/>
        <v>3493169.9396009888</v>
      </c>
      <c r="BE26" s="89">
        <f t="shared" si="1"/>
        <v>3493169.9396009888</v>
      </c>
      <c r="BF26" s="89">
        <f t="shared" si="1"/>
        <v>3493169.9396009888</v>
      </c>
      <c r="BG26" s="89">
        <f t="shared" si="1"/>
        <v>3493169.9396009888</v>
      </c>
      <c r="BH26" s="89">
        <f t="shared" si="1"/>
        <v>3493169.9396009888</v>
      </c>
      <c r="BI26" s="89">
        <f t="shared" si="1"/>
        <v>42551500.861518979</v>
      </c>
      <c r="BJ26" s="89">
        <f t="shared" si="1"/>
        <v>43202547.107941605</v>
      </c>
      <c r="BK26" s="89">
        <f t="shared" si="1"/>
        <v>43871758.468033545</v>
      </c>
      <c r="BL26" s="89">
        <f t="shared" si="1"/>
        <v>44559738.051182702</v>
      </c>
      <c r="BM26" s="89">
        <f t="shared" si="1"/>
        <v>45267112.619067051</v>
      </c>
      <c r="BN26" s="89">
        <f t="shared" si="1"/>
        <v>45994533.628999688</v>
      </c>
      <c r="BO26" s="89">
        <f t="shared" si="1"/>
        <v>46742678.326444112</v>
      </c>
    </row>
    <row r="27" spans="1:67">
      <c r="A27" s="11"/>
      <c r="B27" s="11"/>
      <c r="C27" s="11"/>
      <c r="D27" s="33"/>
      <c r="E27" s="33"/>
      <c r="F27" s="4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row>
    <row r="28" spans="1:67">
      <c r="A28" s="18" t="s">
        <v>809</v>
      </c>
      <c r="B28" s="18"/>
      <c r="C28" s="18"/>
      <c r="D28" s="39"/>
      <c r="E28" s="39"/>
      <c r="F28" s="39"/>
      <c r="G28" s="39"/>
      <c r="H28" s="39"/>
      <c r="I28" s="39"/>
      <c r="J28" s="39"/>
      <c r="K28" s="39"/>
      <c r="L28" s="39"/>
      <c r="M28" s="39"/>
      <c r="N28" s="39"/>
      <c r="O28" s="39"/>
      <c r="P28" s="39"/>
      <c r="Q28" s="39"/>
      <c r="R28" s="39"/>
      <c r="S28" s="39"/>
      <c r="T28" s="39"/>
      <c r="U28" s="39"/>
      <c r="V28" s="39"/>
      <c r="W28" s="39"/>
      <c r="X28" s="39"/>
      <c r="Y28" s="39"/>
      <c r="Z28" s="39"/>
      <c r="AA28" s="39"/>
      <c r="AB28" s="39"/>
      <c r="AC28" s="39"/>
      <c r="AD28" s="39"/>
      <c r="AE28" s="39"/>
      <c r="AF28" s="39"/>
      <c r="AG28" s="39"/>
      <c r="AH28" s="39"/>
      <c r="AI28" s="39"/>
      <c r="AJ28" s="39"/>
      <c r="AK28" s="39"/>
      <c r="AL28" s="39"/>
      <c r="AM28" s="39"/>
      <c r="AN28" s="39"/>
      <c r="AO28" s="39"/>
      <c r="AP28" s="39"/>
      <c r="AQ28" s="39"/>
      <c r="AR28" s="39"/>
      <c r="AS28" s="39"/>
      <c r="AT28" s="39"/>
      <c r="AU28" s="39"/>
      <c r="AV28" s="39"/>
      <c r="AW28" s="39"/>
      <c r="AX28" s="39"/>
      <c r="AY28" s="39"/>
      <c r="AZ28" s="39"/>
      <c r="BA28" s="39"/>
      <c r="BB28" s="39"/>
      <c r="BC28" s="39"/>
      <c r="BD28" s="39"/>
      <c r="BE28" s="39"/>
      <c r="BF28" s="39"/>
      <c r="BG28" s="39"/>
      <c r="BH28" s="39"/>
      <c r="BI28" s="39"/>
      <c r="BJ28" s="39"/>
      <c r="BK28" s="39"/>
      <c r="BL28" s="39"/>
      <c r="BM28" s="39"/>
      <c r="BN28" s="39"/>
      <c r="BO28" s="39"/>
    </row>
    <row r="29" spans="1:67">
      <c r="A29" s="11"/>
      <c r="B29" s="11" t="s">
        <v>810</v>
      </c>
      <c r="C29" s="11"/>
      <c r="D29" s="33"/>
      <c r="E29" s="33"/>
      <c r="F29" s="43"/>
      <c r="G29" s="90">
        <f>G9+G10+G11+G13+G15+G16</f>
        <v>29800</v>
      </c>
      <c r="H29" s="90">
        <f t="shared" ref="H29:BO29" si="2">H9+H10+H11+H13+H15+H16</f>
        <v>29800</v>
      </c>
      <c r="I29" s="90">
        <f t="shared" si="2"/>
        <v>29800</v>
      </c>
      <c r="J29" s="90">
        <f t="shared" si="2"/>
        <v>29800</v>
      </c>
      <c r="K29" s="90">
        <f t="shared" si="2"/>
        <v>29800</v>
      </c>
      <c r="L29" s="90">
        <f t="shared" si="2"/>
        <v>29800</v>
      </c>
      <c r="M29" s="90">
        <f t="shared" si="2"/>
        <v>29800</v>
      </c>
      <c r="N29" s="90">
        <f t="shared" si="2"/>
        <v>29800</v>
      </c>
      <c r="O29" s="90">
        <f t="shared" si="2"/>
        <v>29800</v>
      </c>
      <c r="P29" s="90">
        <f t="shared" si="2"/>
        <v>29800</v>
      </c>
      <c r="Q29" s="90">
        <f t="shared" si="2"/>
        <v>29800</v>
      </c>
      <c r="R29" s="90">
        <f t="shared" si="2"/>
        <v>29800</v>
      </c>
      <c r="S29" s="90">
        <f t="shared" si="2"/>
        <v>30396</v>
      </c>
      <c r="T29" s="90">
        <f t="shared" si="2"/>
        <v>30396</v>
      </c>
      <c r="U29" s="90">
        <f t="shared" si="2"/>
        <v>30396</v>
      </c>
      <c r="V29" s="90">
        <f t="shared" si="2"/>
        <v>30396</v>
      </c>
      <c r="W29" s="90">
        <f t="shared" si="2"/>
        <v>30396</v>
      </c>
      <c r="X29" s="90">
        <f t="shared" si="2"/>
        <v>30396</v>
      </c>
      <c r="Y29" s="90">
        <f t="shared" si="2"/>
        <v>30396</v>
      </c>
      <c r="Z29" s="90">
        <f t="shared" si="2"/>
        <v>30396</v>
      </c>
      <c r="AA29" s="90">
        <f t="shared" si="2"/>
        <v>30396</v>
      </c>
      <c r="AB29" s="90">
        <f t="shared" si="2"/>
        <v>23143137.046015225</v>
      </c>
      <c r="AC29" s="90">
        <f t="shared" si="2"/>
        <v>7829084.1008624127</v>
      </c>
      <c r="AD29" s="90">
        <f t="shared" si="2"/>
        <v>9369002.5595645271</v>
      </c>
      <c r="AE29" s="90">
        <f t="shared" si="2"/>
        <v>11182967.277524924</v>
      </c>
      <c r="AF29" s="90">
        <f t="shared" si="2"/>
        <v>12756507.297117621</v>
      </c>
      <c r="AG29" s="90">
        <f t="shared" si="2"/>
        <v>14330047.316710331</v>
      </c>
      <c r="AH29" s="90">
        <f t="shared" si="2"/>
        <v>15903587.336303035</v>
      </c>
      <c r="AI29" s="90">
        <f t="shared" si="2"/>
        <v>17477127.355895739</v>
      </c>
      <c r="AJ29" s="90">
        <f t="shared" si="2"/>
        <v>19050667.375488456</v>
      </c>
      <c r="AK29" s="90">
        <f t="shared" si="2"/>
        <v>20624207.395081159</v>
      </c>
      <c r="AL29" s="90">
        <f t="shared" si="2"/>
        <v>22197747.414673865</v>
      </c>
      <c r="AM29" s="90">
        <f t="shared" si="2"/>
        <v>23771287.434266582</v>
      </c>
      <c r="AN29" s="90">
        <f t="shared" si="2"/>
        <v>25344827.453859273</v>
      </c>
      <c r="AO29" s="90">
        <f t="shared" si="2"/>
        <v>25344827.453859281</v>
      </c>
      <c r="AP29" s="90">
        <f t="shared" si="2"/>
        <v>25344827.453859281</v>
      </c>
      <c r="AQ29" s="90">
        <f t="shared" si="2"/>
        <v>25935947.076949149</v>
      </c>
      <c r="AR29" s="90">
        <f t="shared" si="2"/>
        <v>25935947.076949149</v>
      </c>
      <c r="AS29" s="90">
        <f t="shared" si="2"/>
        <v>25935947.076949149</v>
      </c>
      <c r="AT29" s="90">
        <f t="shared" si="2"/>
        <v>25935947.076949149</v>
      </c>
      <c r="AU29" s="90">
        <f t="shared" si="2"/>
        <v>25935947.076949149</v>
      </c>
      <c r="AV29" s="90">
        <f t="shared" si="2"/>
        <v>25935947.076949149</v>
      </c>
      <c r="AW29" s="90">
        <f t="shared" si="2"/>
        <v>25935947.076949149</v>
      </c>
      <c r="AX29" s="90">
        <f t="shared" si="2"/>
        <v>25935947.076949149</v>
      </c>
      <c r="AY29" s="90">
        <f t="shared" si="2"/>
        <v>25935947.076949149</v>
      </c>
      <c r="AZ29" s="90">
        <f t="shared" si="2"/>
        <v>25935947.076949149</v>
      </c>
      <c r="BA29" s="90">
        <f t="shared" si="2"/>
        <v>25935947.076949149</v>
      </c>
      <c r="BB29" s="90">
        <f t="shared" si="2"/>
        <v>25935947.076949149</v>
      </c>
      <c r="BC29" s="90">
        <f t="shared" si="2"/>
        <v>26541955.123192418</v>
      </c>
      <c r="BD29" s="90">
        <f t="shared" si="2"/>
        <v>26541955.123192418</v>
      </c>
      <c r="BE29" s="90">
        <f t="shared" si="2"/>
        <v>26541955.123192418</v>
      </c>
      <c r="BF29" s="90">
        <f t="shared" si="2"/>
        <v>26541955.123192418</v>
      </c>
      <c r="BG29" s="90">
        <f t="shared" si="2"/>
        <v>26541955.123192418</v>
      </c>
      <c r="BH29" s="90">
        <f t="shared" si="2"/>
        <v>26541955.123192418</v>
      </c>
      <c r="BI29" s="90">
        <f t="shared" si="2"/>
        <v>325959290.37072158</v>
      </c>
      <c r="BJ29" s="90">
        <f t="shared" si="2"/>
        <v>333604091.07576686</v>
      </c>
      <c r="BK29" s="90">
        <f t="shared" si="2"/>
        <v>341443277.79877579</v>
      </c>
      <c r="BL29" s="90">
        <f t="shared" si="2"/>
        <v>349482446.27341413</v>
      </c>
      <c r="BM29" s="90">
        <f t="shared" si="2"/>
        <v>357727380.85648954</v>
      </c>
      <c r="BN29" s="90">
        <f t="shared" si="2"/>
        <v>366184061.93328702</v>
      </c>
      <c r="BO29" s="90">
        <f t="shared" si="2"/>
        <v>374585457.88940871</v>
      </c>
    </row>
    <row r="30" spans="1:67">
      <c r="A30" s="11"/>
      <c r="B30" s="11" t="s">
        <v>811</v>
      </c>
      <c r="C30" s="11"/>
      <c r="D30" s="33"/>
      <c r="E30" s="33"/>
      <c r="F30" s="43"/>
      <c r="G30" s="90">
        <f>G12+G14+G17+G18</f>
        <v>0</v>
      </c>
      <c r="H30" s="90">
        <f t="shared" ref="H30:BO30" si="3">H12+H14+H17+H18</f>
        <v>0</v>
      </c>
      <c r="I30" s="90">
        <f t="shared" si="3"/>
        <v>0</v>
      </c>
      <c r="J30" s="90">
        <f t="shared" si="3"/>
        <v>0</v>
      </c>
      <c r="K30" s="90">
        <f t="shared" si="3"/>
        <v>0</v>
      </c>
      <c r="L30" s="90">
        <f t="shared" si="3"/>
        <v>0</v>
      </c>
      <c r="M30" s="90">
        <f t="shared" si="3"/>
        <v>0</v>
      </c>
      <c r="N30" s="90">
        <f t="shared" si="3"/>
        <v>0</v>
      </c>
      <c r="O30" s="90">
        <f t="shared" si="3"/>
        <v>0</v>
      </c>
      <c r="P30" s="90">
        <f t="shared" si="3"/>
        <v>0</v>
      </c>
      <c r="Q30" s="90">
        <f t="shared" si="3"/>
        <v>0</v>
      </c>
      <c r="R30" s="90">
        <f t="shared" si="3"/>
        <v>0</v>
      </c>
      <c r="S30" s="90">
        <f t="shared" si="3"/>
        <v>0</v>
      </c>
      <c r="T30" s="90">
        <f t="shared" si="3"/>
        <v>0</v>
      </c>
      <c r="U30" s="90">
        <f t="shared" si="3"/>
        <v>0</v>
      </c>
      <c r="V30" s="90">
        <f t="shared" si="3"/>
        <v>0</v>
      </c>
      <c r="W30" s="90">
        <f t="shared" si="3"/>
        <v>0</v>
      </c>
      <c r="X30" s="90">
        <f t="shared" si="3"/>
        <v>0</v>
      </c>
      <c r="Y30" s="90">
        <f t="shared" si="3"/>
        <v>0</v>
      </c>
      <c r="Z30" s="90">
        <f t="shared" si="3"/>
        <v>0</v>
      </c>
      <c r="AA30" s="90">
        <f t="shared" si="3"/>
        <v>0</v>
      </c>
      <c r="AB30" s="90">
        <f t="shared" si="3"/>
        <v>11829026.020833332</v>
      </c>
      <c r="AC30" s="90">
        <f t="shared" si="3"/>
        <v>11843672.027777776</v>
      </c>
      <c r="AD30" s="90">
        <f t="shared" si="3"/>
        <v>11858318.034722222</v>
      </c>
      <c r="AE30" s="90">
        <f t="shared" si="3"/>
        <v>11986273.160416666</v>
      </c>
      <c r="AF30" s="90">
        <f t="shared" si="3"/>
        <v>12000964.93298611</v>
      </c>
      <c r="AG30" s="90">
        <f t="shared" si="3"/>
        <v>12015656.705555554</v>
      </c>
      <c r="AH30" s="90">
        <f t="shared" si="3"/>
        <v>12030348.478125</v>
      </c>
      <c r="AI30" s="90">
        <f t="shared" si="3"/>
        <v>12045040.250694444</v>
      </c>
      <c r="AJ30" s="90">
        <f t="shared" si="3"/>
        <v>12059732.023263888</v>
      </c>
      <c r="AK30" s="90">
        <f t="shared" si="3"/>
        <v>12074423.795833332</v>
      </c>
      <c r="AL30" s="90">
        <f t="shared" si="3"/>
        <v>12089115.568402776</v>
      </c>
      <c r="AM30" s="90">
        <f t="shared" si="3"/>
        <v>12103807.340972222</v>
      </c>
      <c r="AN30" s="90">
        <f t="shared" si="3"/>
        <v>12118499.113541666</v>
      </c>
      <c r="AO30" s="90">
        <f t="shared" si="3"/>
        <v>12133190.88611111</v>
      </c>
      <c r="AP30" s="90">
        <f t="shared" si="3"/>
        <v>12147882.658680554</v>
      </c>
      <c r="AQ30" s="90">
        <f t="shared" si="3"/>
        <v>12281075.252812501</v>
      </c>
      <c r="AR30" s="90">
        <f t="shared" si="3"/>
        <v>12295813.248663194</v>
      </c>
      <c r="AS30" s="90">
        <f t="shared" si="3"/>
        <v>12310551.244513888</v>
      </c>
      <c r="AT30" s="90">
        <f t="shared" si="3"/>
        <v>12325289.240364581</v>
      </c>
      <c r="AU30" s="90">
        <f t="shared" si="3"/>
        <v>12340027.236215277</v>
      </c>
      <c r="AV30" s="90">
        <f t="shared" si="3"/>
        <v>12354765.232065972</v>
      </c>
      <c r="AW30" s="90">
        <f t="shared" si="3"/>
        <v>12369503.227916665</v>
      </c>
      <c r="AX30" s="90">
        <f t="shared" si="3"/>
        <v>12384241.223767361</v>
      </c>
      <c r="AY30" s="90">
        <f t="shared" si="3"/>
        <v>12398979.219618054</v>
      </c>
      <c r="AZ30" s="90">
        <f t="shared" si="3"/>
        <v>12413717.215468749</v>
      </c>
      <c r="BA30" s="90">
        <f t="shared" si="3"/>
        <v>12428455.211319445</v>
      </c>
      <c r="BB30" s="90">
        <f t="shared" si="3"/>
        <v>12443193.207170138</v>
      </c>
      <c r="BC30" s="90">
        <f t="shared" si="3"/>
        <v>12581856.387830207</v>
      </c>
      <c r="BD30" s="90">
        <f t="shared" si="3"/>
        <v>12596641.069194965</v>
      </c>
      <c r="BE30" s="90">
        <f t="shared" si="3"/>
        <v>12611425.750559723</v>
      </c>
      <c r="BF30" s="90">
        <f t="shared" si="3"/>
        <v>12626210.431924479</v>
      </c>
      <c r="BG30" s="90">
        <f t="shared" si="3"/>
        <v>12640995.113289235</v>
      </c>
      <c r="BH30" s="90">
        <f t="shared" si="3"/>
        <v>12655779.794653993</v>
      </c>
      <c r="BI30" s="90">
        <f t="shared" si="3"/>
        <v>155931780.99924746</v>
      </c>
      <c r="BJ30" s="90">
        <f t="shared" si="3"/>
        <v>159696626.61270881</v>
      </c>
      <c r="BK30" s="90">
        <f t="shared" si="3"/>
        <v>161742655.71988085</v>
      </c>
      <c r="BL30" s="90">
        <f t="shared" si="3"/>
        <v>165073304.85082018</v>
      </c>
      <c r="BM30" s="90">
        <f t="shared" si="3"/>
        <v>169092173.36507243</v>
      </c>
      <c r="BN30" s="90">
        <f t="shared" si="3"/>
        <v>173604795.07547063</v>
      </c>
      <c r="BO30" s="90">
        <f t="shared" si="3"/>
        <v>177811592.27167025</v>
      </c>
    </row>
    <row r="31" spans="1:67">
      <c r="A31" s="11"/>
      <c r="B31" s="11" t="s">
        <v>812</v>
      </c>
      <c r="C31" s="11"/>
      <c r="D31" s="33"/>
      <c r="E31" s="33"/>
      <c r="F31" s="43"/>
      <c r="G31" s="90">
        <f>G22+G23+G24</f>
        <v>0</v>
      </c>
      <c r="H31" s="90">
        <f t="shared" ref="H31:BO31" si="4">H22+H23+H24</f>
        <v>0</v>
      </c>
      <c r="I31" s="90">
        <f t="shared" si="4"/>
        <v>0</v>
      </c>
      <c r="J31" s="90">
        <f t="shared" si="4"/>
        <v>0</v>
      </c>
      <c r="K31" s="90">
        <f t="shared" si="4"/>
        <v>0</v>
      </c>
      <c r="L31" s="90">
        <f t="shared" si="4"/>
        <v>0</v>
      </c>
      <c r="M31" s="90">
        <f t="shared" si="4"/>
        <v>0</v>
      </c>
      <c r="N31" s="90">
        <f t="shared" si="4"/>
        <v>0</v>
      </c>
      <c r="O31" s="90">
        <f t="shared" si="4"/>
        <v>0</v>
      </c>
      <c r="P31" s="90">
        <f t="shared" si="4"/>
        <v>0</v>
      </c>
      <c r="Q31" s="90">
        <f t="shared" si="4"/>
        <v>0</v>
      </c>
      <c r="R31" s="90">
        <f t="shared" si="4"/>
        <v>0</v>
      </c>
      <c r="S31" s="90">
        <f t="shared" si="4"/>
        <v>0</v>
      </c>
      <c r="T31" s="90">
        <f t="shared" si="4"/>
        <v>0</v>
      </c>
      <c r="U31" s="90">
        <f t="shared" si="4"/>
        <v>0</v>
      </c>
      <c r="V31" s="90">
        <f t="shared" si="4"/>
        <v>0</v>
      </c>
      <c r="W31" s="90">
        <f t="shared" si="4"/>
        <v>0</v>
      </c>
      <c r="X31" s="90">
        <f t="shared" si="4"/>
        <v>0</v>
      </c>
      <c r="Y31" s="90">
        <f t="shared" si="4"/>
        <v>0</v>
      </c>
      <c r="Z31" s="90">
        <f t="shared" si="4"/>
        <v>0</v>
      </c>
      <c r="AA31" s="90">
        <f t="shared" si="4"/>
        <v>0</v>
      </c>
      <c r="AB31" s="90">
        <f t="shared" si="4"/>
        <v>575553.84504998464</v>
      </c>
      <c r="AC31" s="90">
        <f t="shared" si="4"/>
        <v>695769.34469122952</v>
      </c>
      <c r="AD31" s="90">
        <f t="shared" si="4"/>
        <v>815984.84433247475</v>
      </c>
      <c r="AE31" s="90">
        <f t="shared" si="4"/>
        <v>961953.56570063927</v>
      </c>
      <c r="AF31" s="90">
        <f t="shared" si="4"/>
        <v>1084714.7980311238</v>
      </c>
      <c r="AG31" s="90">
        <f t="shared" si="4"/>
        <v>1207476.0303616086</v>
      </c>
      <c r="AH31" s="90">
        <f t="shared" si="4"/>
        <v>1330237.2626920934</v>
      </c>
      <c r="AI31" s="90">
        <f t="shared" si="4"/>
        <v>1452998.4950225784</v>
      </c>
      <c r="AJ31" s="90">
        <f t="shared" si="4"/>
        <v>1575759.7273530634</v>
      </c>
      <c r="AK31" s="90">
        <f t="shared" si="4"/>
        <v>1698520.9596835484</v>
      </c>
      <c r="AL31" s="90">
        <f t="shared" si="4"/>
        <v>1821282.192014033</v>
      </c>
      <c r="AM31" s="90">
        <f t="shared" si="4"/>
        <v>1944043.4243445185</v>
      </c>
      <c r="AN31" s="90">
        <f t="shared" si="4"/>
        <v>2066804.6566750025</v>
      </c>
      <c r="AO31" s="90">
        <f t="shared" si="4"/>
        <v>2066804.6566750025</v>
      </c>
      <c r="AP31" s="90">
        <f t="shared" si="4"/>
        <v>2066804.6566750025</v>
      </c>
      <c r="AQ31" s="90">
        <f t="shared" si="4"/>
        <v>2116800.2999633318</v>
      </c>
      <c r="AR31" s="90">
        <f t="shared" si="4"/>
        <v>2116800.2999633318</v>
      </c>
      <c r="AS31" s="90">
        <f t="shared" si="4"/>
        <v>2116800.2999633318</v>
      </c>
      <c r="AT31" s="90">
        <f t="shared" si="4"/>
        <v>2116800.2999633318</v>
      </c>
      <c r="AU31" s="90">
        <f t="shared" si="4"/>
        <v>2116800.2999633318</v>
      </c>
      <c r="AV31" s="90">
        <f t="shared" si="4"/>
        <v>2116800.2999633318</v>
      </c>
      <c r="AW31" s="90">
        <f t="shared" si="4"/>
        <v>2116800.2999633318</v>
      </c>
      <c r="AX31" s="90">
        <f t="shared" si="4"/>
        <v>2116800.2999633318</v>
      </c>
      <c r="AY31" s="90">
        <f t="shared" si="4"/>
        <v>2116800.2999633318</v>
      </c>
      <c r="AZ31" s="90">
        <f t="shared" si="4"/>
        <v>2116800.2999633318</v>
      </c>
      <c r="BA31" s="90">
        <f t="shared" si="4"/>
        <v>2116800.2999633318</v>
      </c>
      <c r="BB31" s="90">
        <f t="shared" si="4"/>
        <v>2116800.2999633318</v>
      </c>
      <c r="BC31" s="90">
        <f t="shared" si="4"/>
        <v>2168169.9396009888</v>
      </c>
      <c r="BD31" s="90">
        <f t="shared" si="4"/>
        <v>2168169.9396009888</v>
      </c>
      <c r="BE31" s="90">
        <f t="shared" si="4"/>
        <v>2168169.9396009888</v>
      </c>
      <c r="BF31" s="90">
        <f t="shared" si="4"/>
        <v>2168169.9396009888</v>
      </c>
      <c r="BG31" s="90">
        <f t="shared" si="4"/>
        <v>2168169.9396009888</v>
      </c>
      <c r="BH31" s="90">
        <f t="shared" si="4"/>
        <v>2168169.9396009888</v>
      </c>
      <c r="BI31" s="90">
        <f t="shared" si="4"/>
        <v>26651500.861518979</v>
      </c>
      <c r="BJ31" s="90">
        <f t="shared" si="4"/>
        <v>27302547.107941605</v>
      </c>
      <c r="BK31" s="90">
        <f t="shared" si="4"/>
        <v>27971758.468033545</v>
      </c>
      <c r="BL31" s="90">
        <f t="shared" si="4"/>
        <v>28659738.051182706</v>
      </c>
      <c r="BM31" s="90">
        <f t="shared" si="4"/>
        <v>29367112.619067051</v>
      </c>
      <c r="BN31" s="90">
        <f t="shared" si="4"/>
        <v>30094533.628999688</v>
      </c>
      <c r="BO31" s="90">
        <f t="shared" si="4"/>
        <v>30842678.326444112</v>
      </c>
    </row>
    <row r="32" spans="1:67">
      <c r="A32" s="11"/>
      <c r="B32" s="11" t="s">
        <v>813</v>
      </c>
      <c r="C32" s="11"/>
      <c r="D32" s="33"/>
      <c r="E32" s="33"/>
      <c r="F32" s="43"/>
      <c r="G32" s="90">
        <f>G25</f>
        <v>0</v>
      </c>
      <c r="H32" s="90">
        <f t="shared" ref="H32:BO32" si="5">H25</f>
        <v>0</v>
      </c>
      <c r="I32" s="90">
        <f t="shared" si="5"/>
        <v>0</v>
      </c>
      <c r="J32" s="90">
        <f t="shared" si="5"/>
        <v>0</v>
      </c>
      <c r="K32" s="90">
        <f t="shared" si="5"/>
        <v>0</v>
      </c>
      <c r="L32" s="90">
        <f t="shared" si="5"/>
        <v>0</v>
      </c>
      <c r="M32" s="90">
        <f t="shared" si="5"/>
        <v>0</v>
      </c>
      <c r="N32" s="90">
        <f t="shared" si="5"/>
        <v>0</v>
      </c>
      <c r="O32" s="90">
        <f t="shared" si="5"/>
        <v>0</v>
      </c>
      <c r="P32" s="90">
        <f t="shared" si="5"/>
        <v>0</v>
      </c>
      <c r="Q32" s="90">
        <f t="shared" si="5"/>
        <v>0</v>
      </c>
      <c r="R32" s="90">
        <f t="shared" si="5"/>
        <v>0</v>
      </c>
      <c r="S32" s="90">
        <f t="shared" si="5"/>
        <v>0</v>
      </c>
      <c r="T32" s="90">
        <f t="shared" si="5"/>
        <v>0</v>
      </c>
      <c r="U32" s="90">
        <f t="shared" si="5"/>
        <v>0</v>
      </c>
      <c r="V32" s="90">
        <f t="shared" si="5"/>
        <v>0</v>
      </c>
      <c r="W32" s="90">
        <f t="shared" si="5"/>
        <v>0</v>
      </c>
      <c r="X32" s="90">
        <f t="shared" si="5"/>
        <v>0</v>
      </c>
      <c r="Y32" s="90">
        <f t="shared" si="5"/>
        <v>0</v>
      </c>
      <c r="Z32" s="90">
        <f t="shared" si="5"/>
        <v>0</v>
      </c>
      <c r="AA32" s="90">
        <f t="shared" si="5"/>
        <v>0</v>
      </c>
      <c r="AB32" s="90">
        <f t="shared" si="5"/>
        <v>1325000</v>
      </c>
      <c r="AC32" s="90">
        <f t="shared" si="5"/>
        <v>1325000</v>
      </c>
      <c r="AD32" s="90">
        <f t="shared" si="5"/>
        <v>1325000</v>
      </c>
      <c r="AE32" s="90">
        <f t="shared" si="5"/>
        <v>1325000</v>
      </c>
      <c r="AF32" s="90">
        <f t="shared" si="5"/>
        <v>1325000</v>
      </c>
      <c r="AG32" s="90">
        <f t="shared" si="5"/>
        <v>1325000</v>
      </c>
      <c r="AH32" s="90">
        <f t="shared" si="5"/>
        <v>1325000</v>
      </c>
      <c r="AI32" s="90">
        <f t="shared" si="5"/>
        <v>1325000</v>
      </c>
      <c r="AJ32" s="90">
        <f t="shared" si="5"/>
        <v>1325000</v>
      </c>
      <c r="AK32" s="90">
        <f t="shared" si="5"/>
        <v>1325000</v>
      </c>
      <c r="AL32" s="90">
        <f t="shared" si="5"/>
        <v>1325000</v>
      </c>
      <c r="AM32" s="90">
        <f t="shared" si="5"/>
        <v>1325000</v>
      </c>
      <c r="AN32" s="90">
        <f t="shared" si="5"/>
        <v>1325000</v>
      </c>
      <c r="AO32" s="90">
        <f t="shared" si="5"/>
        <v>1325000</v>
      </c>
      <c r="AP32" s="90">
        <f t="shared" si="5"/>
        <v>1325000</v>
      </c>
      <c r="AQ32" s="90">
        <f t="shared" si="5"/>
        <v>1325000</v>
      </c>
      <c r="AR32" s="90">
        <f t="shared" si="5"/>
        <v>1325000</v>
      </c>
      <c r="AS32" s="90">
        <f t="shared" si="5"/>
        <v>1325000</v>
      </c>
      <c r="AT32" s="90">
        <f t="shared" si="5"/>
        <v>1325000</v>
      </c>
      <c r="AU32" s="90">
        <f t="shared" si="5"/>
        <v>1325000</v>
      </c>
      <c r="AV32" s="90">
        <f t="shared" si="5"/>
        <v>1325000</v>
      </c>
      <c r="AW32" s="90">
        <f t="shared" si="5"/>
        <v>1325000</v>
      </c>
      <c r="AX32" s="90">
        <f t="shared" si="5"/>
        <v>1325000</v>
      </c>
      <c r="AY32" s="90">
        <f t="shared" si="5"/>
        <v>1325000</v>
      </c>
      <c r="AZ32" s="90">
        <f t="shared" si="5"/>
        <v>1325000</v>
      </c>
      <c r="BA32" s="90">
        <f t="shared" si="5"/>
        <v>1325000</v>
      </c>
      <c r="BB32" s="90">
        <f t="shared" si="5"/>
        <v>1325000</v>
      </c>
      <c r="BC32" s="90">
        <f t="shared" si="5"/>
        <v>1325000</v>
      </c>
      <c r="BD32" s="90">
        <f t="shared" si="5"/>
        <v>1325000</v>
      </c>
      <c r="BE32" s="90">
        <f t="shared" si="5"/>
        <v>1325000</v>
      </c>
      <c r="BF32" s="90">
        <f t="shared" si="5"/>
        <v>1325000</v>
      </c>
      <c r="BG32" s="90">
        <f t="shared" si="5"/>
        <v>1325000</v>
      </c>
      <c r="BH32" s="90">
        <f t="shared" si="5"/>
        <v>1325000</v>
      </c>
      <c r="BI32" s="90">
        <f t="shared" si="5"/>
        <v>15900000</v>
      </c>
      <c r="BJ32" s="90">
        <f t="shared" si="5"/>
        <v>15900000</v>
      </c>
      <c r="BK32" s="90">
        <f t="shared" si="5"/>
        <v>15900000</v>
      </c>
      <c r="BL32" s="90">
        <f t="shared" si="5"/>
        <v>15900000</v>
      </c>
      <c r="BM32" s="90">
        <f t="shared" si="5"/>
        <v>15900000</v>
      </c>
      <c r="BN32" s="90">
        <f t="shared" si="5"/>
        <v>15900000</v>
      </c>
      <c r="BO32" s="90">
        <f t="shared" si="5"/>
        <v>15900000</v>
      </c>
    </row>
    <row r="33" spans="1:67">
      <c r="A33" s="11"/>
      <c r="B33" s="22" t="s">
        <v>814</v>
      </c>
      <c r="C33" s="11"/>
      <c r="D33" s="33"/>
      <c r="E33" s="33"/>
      <c r="F33" s="33"/>
      <c r="G33" s="89">
        <f>G29+G30+G31+G32</f>
        <v>29800</v>
      </c>
      <c r="H33" s="89">
        <f t="shared" ref="H33:BO33" si="6">H29+H30+H31+H32</f>
        <v>29800</v>
      </c>
      <c r="I33" s="89">
        <f t="shared" si="6"/>
        <v>29800</v>
      </c>
      <c r="J33" s="89">
        <f t="shared" si="6"/>
        <v>29800</v>
      </c>
      <c r="K33" s="89">
        <f t="shared" si="6"/>
        <v>29800</v>
      </c>
      <c r="L33" s="89">
        <f t="shared" si="6"/>
        <v>29800</v>
      </c>
      <c r="M33" s="89">
        <f t="shared" si="6"/>
        <v>29800</v>
      </c>
      <c r="N33" s="89">
        <f t="shared" si="6"/>
        <v>29800</v>
      </c>
      <c r="O33" s="89">
        <f t="shared" si="6"/>
        <v>29800</v>
      </c>
      <c r="P33" s="89">
        <f t="shared" si="6"/>
        <v>29800</v>
      </c>
      <c r="Q33" s="89">
        <f t="shared" si="6"/>
        <v>29800</v>
      </c>
      <c r="R33" s="89">
        <f t="shared" si="6"/>
        <v>29800</v>
      </c>
      <c r="S33" s="89">
        <f t="shared" si="6"/>
        <v>30396</v>
      </c>
      <c r="T33" s="89">
        <f t="shared" si="6"/>
        <v>30396</v>
      </c>
      <c r="U33" s="89">
        <f t="shared" si="6"/>
        <v>30396</v>
      </c>
      <c r="V33" s="89">
        <f t="shared" si="6"/>
        <v>30396</v>
      </c>
      <c r="W33" s="89">
        <f t="shared" si="6"/>
        <v>30396</v>
      </c>
      <c r="X33" s="89">
        <f t="shared" si="6"/>
        <v>30396</v>
      </c>
      <c r="Y33" s="89">
        <f t="shared" si="6"/>
        <v>30396</v>
      </c>
      <c r="Z33" s="89">
        <f t="shared" si="6"/>
        <v>30396</v>
      </c>
      <c r="AA33" s="89">
        <f t="shared" si="6"/>
        <v>30396</v>
      </c>
      <c r="AB33" s="89">
        <f t="shared" si="6"/>
        <v>36872716.911898546</v>
      </c>
      <c r="AC33" s="89">
        <f t="shared" si="6"/>
        <v>21693525.473331418</v>
      </c>
      <c r="AD33" s="89">
        <f t="shared" si="6"/>
        <v>23368305.438619222</v>
      </c>
      <c r="AE33" s="89">
        <f t="shared" si="6"/>
        <v>25456194.003642228</v>
      </c>
      <c r="AF33" s="89">
        <f t="shared" si="6"/>
        <v>27167187.028134856</v>
      </c>
      <c r="AG33" s="89">
        <f t="shared" si="6"/>
        <v>28878180.052627493</v>
      </c>
      <c r="AH33" s="89">
        <f t="shared" si="6"/>
        <v>30589173.077120129</v>
      </c>
      <c r="AI33" s="89">
        <f t="shared" si="6"/>
        <v>32300166.101612762</v>
      </c>
      <c r="AJ33" s="89">
        <f t="shared" si="6"/>
        <v>34011159.126105413</v>
      </c>
      <c r="AK33" s="89">
        <f t="shared" si="6"/>
        <v>35722152.150598034</v>
      </c>
      <c r="AL33" s="89">
        <f t="shared" si="6"/>
        <v>37433145.175090671</v>
      </c>
      <c r="AM33" s="89">
        <f t="shared" si="6"/>
        <v>39144138.199583322</v>
      </c>
      <c r="AN33" s="89">
        <f t="shared" si="6"/>
        <v>40855131.224075943</v>
      </c>
      <c r="AO33" s="89">
        <f t="shared" si="6"/>
        <v>40869822.996645398</v>
      </c>
      <c r="AP33" s="89">
        <f t="shared" si="6"/>
        <v>40884514.769214839</v>
      </c>
      <c r="AQ33" s="89">
        <f t="shared" si="6"/>
        <v>41658822.629724987</v>
      </c>
      <c r="AR33" s="89">
        <f t="shared" si="6"/>
        <v>41673560.625575677</v>
      </c>
      <c r="AS33" s="89">
        <f t="shared" si="6"/>
        <v>41688298.621426366</v>
      </c>
      <c r="AT33" s="89">
        <f t="shared" si="6"/>
        <v>41703036.617277063</v>
      </c>
      <c r="AU33" s="89">
        <f t="shared" si="6"/>
        <v>41717774.613127761</v>
      </c>
      <c r="AV33" s="89">
        <f t="shared" si="6"/>
        <v>41732512.608978458</v>
      </c>
      <c r="AW33" s="89">
        <f t="shared" si="6"/>
        <v>41747250.604829147</v>
      </c>
      <c r="AX33" s="89">
        <f t="shared" si="6"/>
        <v>41761988.600679845</v>
      </c>
      <c r="AY33" s="89">
        <f t="shared" si="6"/>
        <v>41776726.596530534</v>
      </c>
      <c r="AZ33" s="89">
        <f t="shared" si="6"/>
        <v>41791464.592381231</v>
      </c>
      <c r="BA33" s="89">
        <f t="shared" si="6"/>
        <v>41806202.588231929</v>
      </c>
      <c r="BB33" s="89">
        <f t="shared" si="6"/>
        <v>41820940.584082618</v>
      </c>
      <c r="BC33" s="89">
        <f t="shared" si="6"/>
        <v>42616981.450623617</v>
      </c>
      <c r="BD33" s="89">
        <f t="shared" si="6"/>
        <v>42631766.131988376</v>
      </c>
      <c r="BE33" s="89">
        <f t="shared" si="6"/>
        <v>42646550.813353129</v>
      </c>
      <c r="BF33" s="89">
        <f t="shared" si="6"/>
        <v>42661335.494717889</v>
      </c>
      <c r="BG33" s="89">
        <f t="shared" si="6"/>
        <v>42676120.176082641</v>
      </c>
      <c r="BH33" s="89">
        <f t="shared" si="6"/>
        <v>42690904.857447401</v>
      </c>
      <c r="BI33" s="89">
        <f t="shared" si="6"/>
        <v>524442572.23148799</v>
      </c>
      <c r="BJ33" s="89">
        <f t="shared" si="6"/>
        <v>536503264.7964173</v>
      </c>
      <c r="BK33" s="89">
        <f t="shared" si="6"/>
        <v>547057691.98669016</v>
      </c>
      <c r="BL33" s="89">
        <f t="shared" si="6"/>
        <v>559115489.17541707</v>
      </c>
      <c r="BM33" s="89">
        <f t="shared" si="6"/>
        <v>572086666.84062898</v>
      </c>
      <c r="BN33" s="89">
        <f t="shared" si="6"/>
        <v>585783390.6377573</v>
      </c>
      <c r="BO33" s="89">
        <f t="shared" si="6"/>
        <v>599139728.48752308</v>
      </c>
    </row>
    <row r="34" spans="1:67">
      <c r="A34" s="11"/>
      <c r="B34" s="11"/>
      <c r="C34" s="11"/>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row>
    <row r="35" spans="1:67">
      <c r="A35" s="18" t="s">
        <v>815</v>
      </c>
      <c r="B35" s="18"/>
      <c r="C35" s="18"/>
      <c r="D35" s="39"/>
      <c r="E35" s="39"/>
      <c r="F35" s="39"/>
      <c r="G35" s="39"/>
      <c r="H35" s="39"/>
      <c r="I35" s="39"/>
      <c r="J35" s="39"/>
      <c r="K35" s="39"/>
      <c r="L35" s="39"/>
      <c r="M35" s="39"/>
      <c r="N35" s="39"/>
      <c r="O35" s="39"/>
      <c r="P35" s="39"/>
      <c r="Q35" s="39"/>
      <c r="R35" s="39"/>
      <c r="S35" s="39"/>
      <c r="T35" s="39"/>
      <c r="U35" s="39"/>
      <c r="V35" s="39"/>
      <c r="W35" s="39"/>
      <c r="X35" s="39"/>
      <c r="Y35" s="39"/>
      <c r="Z35" s="39"/>
      <c r="AA35" s="39"/>
      <c r="AB35" s="39"/>
      <c r="AC35" s="39"/>
      <c r="AD35" s="39"/>
      <c r="AE35" s="39"/>
      <c r="AF35" s="39"/>
      <c r="AG35" s="39"/>
      <c r="AH35" s="39"/>
      <c r="AI35" s="39"/>
      <c r="AJ35" s="39"/>
      <c r="AK35" s="39"/>
      <c r="AL35" s="39"/>
      <c r="AM35" s="39"/>
      <c r="AN35" s="39"/>
      <c r="AO35" s="39"/>
      <c r="AP35" s="39"/>
      <c r="AQ35" s="39"/>
      <c r="AR35" s="39"/>
      <c r="AS35" s="39"/>
      <c r="AT35" s="39"/>
      <c r="AU35" s="39"/>
      <c r="AV35" s="39"/>
      <c r="AW35" s="39"/>
      <c r="AX35" s="39"/>
      <c r="AY35" s="39"/>
      <c r="AZ35" s="39"/>
      <c r="BA35" s="39"/>
      <c r="BB35" s="39"/>
      <c r="BC35" s="39"/>
      <c r="BD35" s="39"/>
      <c r="BE35" s="39"/>
      <c r="BF35" s="39"/>
      <c r="BG35" s="39"/>
      <c r="BH35" s="39"/>
      <c r="BI35" s="39"/>
      <c r="BJ35" s="39"/>
      <c r="BK35" s="39"/>
      <c r="BL35" s="39"/>
      <c r="BM35" s="39"/>
      <c r="BN35" s="39"/>
      <c r="BO35" s="39"/>
    </row>
    <row r="36" spans="1:67">
      <c r="A36" s="11"/>
      <c r="B36" s="11" t="s">
        <v>816</v>
      </c>
      <c r="C36" s="11"/>
      <c r="D36" s="33"/>
      <c r="E36" s="33"/>
      <c r="F36" s="33"/>
      <c r="G36" s="90">
        <f>'04 Operating Model'!G$89</f>
        <v>15021.853253570993</v>
      </c>
      <c r="H36" s="90">
        <f>'04 Operating Model'!H$89</f>
        <v>15021.853253570993</v>
      </c>
      <c r="I36" s="90">
        <f>'04 Operating Model'!I$89</f>
        <v>15021.853253570993</v>
      </c>
      <c r="J36" s="90">
        <f>'04 Operating Model'!J$89</f>
        <v>15021.853253570993</v>
      </c>
      <c r="K36" s="90">
        <f>'04 Operating Model'!K$89</f>
        <v>15021.853253570993</v>
      </c>
      <c r="L36" s="90">
        <f>'04 Operating Model'!L$89</f>
        <v>15021.853253570993</v>
      </c>
      <c r="M36" s="90">
        <f>'04 Operating Model'!M$89</f>
        <v>15021.853253570993</v>
      </c>
      <c r="N36" s="90">
        <f>'04 Operating Model'!N$89</f>
        <v>15021.853253570993</v>
      </c>
      <c r="O36" s="90">
        <f>'04 Operating Model'!O$89</f>
        <v>15021.853253570993</v>
      </c>
      <c r="P36" s="90">
        <f>'04 Operating Model'!P$89</f>
        <v>15021.853253570993</v>
      </c>
      <c r="Q36" s="90">
        <f>'04 Operating Model'!Q$89</f>
        <v>15021.853253570993</v>
      </c>
      <c r="R36" s="90">
        <f>'04 Operating Model'!R$89</f>
        <v>15021.853253570993</v>
      </c>
      <c r="S36" s="90">
        <f>'04 Operating Model'!S$89</f>
        <v>15322.290318642417</v>
      </c>
      <c r="T36" s="90">
        <f>'04 Operating Model'!T$89</f>
        <v>15322.290318642417</v>
      </c>
      <c r="U36" s="90">
        <f>'04 Operating Model'!U$89</f>
        <v>15322.290318642417</v>
      </c>
      <c r="V36" s="90">
        <f>'04 Operating Model'!V$89</f>
        <v>15322.290318642417</v>
      </c>
      <c r="W36" s="90">
        <f>'04 Operating Model'!W$89</f>
        <v>15322.290318642417</v>
      </c>
      <c r="X36" s="90">
        <f>'04 Operating Model'!X$89</f>
        <v>15322.290318642417</v>
      </c>
      <c r="Y36" s="90">
        <f>'04 Operating Model'!Y$89</f>
        <v>15322.290318642417</v>
      </c>
      <c r="Z36" s="90">
        <f>'04 Operating Model'!Z$89</f>
        <v>16548.073544133811</v>
      </c>
      <c r="AA36" s="90">
        <f>'04 Operating Model'!AA$89</f>
        <v>16548.073544133811</v>
      </c>
      <c r="AB36" s="90">
        <f>'04 Operating Model'!AB$89</f>
        <v>16548.073544133811</v>
      </c>
      <c r="AC36" s="90">
        <f>'04 Operating Model'!AC$89</f>
        <v>16548.073544133811</v>
      </c>
      <c r="AD36" s="90">
        <f>'04 Operating Model'!AD$89</f>
        <v>16548.073544133811</v>
      </c>
      <c r="AE36" s="90">
        <f>'04 Operating Model'!AE$89</f>
        <v>16879.035015016489</v>
      </c>
      <c r="AF36" s="90">
        <f>'04 Operating Model'!AF$89</f>
        <v>16879.035015016489</v>
      </c>
      <c r="AG36" s="90">
        <f>'04 Operating Model'!AG$89</f>
        <v>16879.035015016489</v>
      </c>
      <c r="AH36" s="90">
        <f>'04 Operating Model'!AH$89</f>
        <v>16879.035015016489</v>
      </c>
      <c r="AI36" s="90">
        <f>'04 Operating Model'!AI$89</f>
        <v>16879.035015016489</v>
      </c>
      <c r="AJ36" s="90">
        <f>'04 Operating Model'!AJ$89</f>
        <v>16879.035015016489</v>
      </c>
      <c r="AK36" s="90">
        <f>'04 Operating Model'!AK$89</f>
        <v>16879.035015016489</v>
      </c>
      <c r="AL36" s="90">
        <f>'04 Operating Model'!AL$89</f>
        <v>16879.035015016489</v>
      </c>
      <c r="AM36" s="90">
        <f>'04 Operating Model'!AM$89</f>
        <v>16879.035015016489</v>
      </c>
      <c r="AN36" s="90">
        <f>'04 Operating Model'!AN$89</f>
        <v>16879.035015016489</v>
      </c>
      <c r="AO36" s="90">
        <f>'04 Operating Model'!AO$89</f>
        <v>16879.035015016489</v>
      </c>
      <c r="AP36" s="90">
        <f>'04 Operating Model'!AP$89</f>
        <v>16879.035015016489</v>
      </c>
      <c r="AQ36" s="90">
        <f>'04 Operating Model'!AQ$89</f>
        <v>17216.615715316821</v>
      </c>
      <c r="AR36" s="90">
        <f>'04 Operating Model'!AR$89</f>
        <v>17216.615715316821</v>
      </c>
      <c r="AS36" s="90">
        <f>'04 Operating Model'!AS$89</f>
        <v>17216.615715316821</v>
      </c>
      <c r="AT36" s="90">
        <f>'04 Operating Model'!AT$89</f>
        <v>17216.615715316821</v>
      </c>
      <c r="AU36" s="90">
        <f>'04 Operating Model'!AU$89</f>
        <v>17216.615715316821</v>
      </c>
      <c r="AV36" s="90">
        <f>'04 Operating Model'!AV$89</f>
        <v>17216.615715316821</v>
      </c>
      <c r="AW36" s="90">
        <f>'04 Operating Model'!AW$89</f>
        <v>17216.615715316821</v>
      </c>
      <c r="AX36" s="90">
        <f>'04 Operating Model'!AX$89</f>
        <v>17216.615715316821</v>
      </c>
      <c r="AY36" s="90">
        <f>'04 Operating Model'!AY$89</f>
        <v>17216.615715316821</v>
      </c>
      <c r="AZ36" s="90">
        <f>'04 Operating Model'!AZ$89</f>
        <v>17216.615715316821</v>
      </c>
      <c r="BA36" s="90">
        <f>'04 Operating Model'!BA$89</f>
        <v>17216.615715316821</v>
      </c>
      <c r="BB36" s="90">
        <f>'04 Operating Model'!BB$89</f>
        <v>17216.615715316821</v>
      </c>
      <c r="BC36" s="90">
        <f>'04 Operating Model'!BC$89</f>
        <v>17560.94802962316</v>
      </c>
      <c r="BD36" s="90">
        <f>'04 Operating Model'!BD$89</f>
        <v>17560.94802962316</v>
      </c>
      <c r="BE36" s="90">
        <f>'04 Operating Model'!BE$89</f>
        <v>17560.94802962316</v>
      </c>
      <c r="BF36" s="90">
        <f>'04 Operating Model'!BF$89</f>
        <v>17560.94802962316</v>
      </c>
      <c r="BG36" s="90">
        <f>'04 Operating Model'!BG$89</f>
        <v>17560.94802962316</v>
      </c>
      <c r="BH36" s="90">
        <f>'04 Operating Model'!BH$89</f>
        <v>17560.94802962316</v>
      </c>
      <c r="BI36" s="90">
        <f>'04 Operating Model'!BI$89</f>
        <v>17912.166990215621</v>
      </c>
      <c r="BJ36" s="90">
        <f>'04 Operating Model'!BJ$89</f>
        <v>18270.410330019935</v>
      </c>
      <c r="BK36" s="90">
        <f>'04 Operating Model'!BK$89</f>
        <v>18635.818536620332</v>
      </c>
      <c r="BL36" s="90">
        <f>'04 Operating Model'!BL$89</f>
        <v>19008.53490735274</v>
      </c>
      <c r="BM36" s="90">
        <f>'04 Operating Model'!BM$89</f>
        <v>19388.705605499796</v>
      </c>
      <c r="BN36" s="90">
        <f>'04 Operating Model'!BN$89</f>
        <v>19776.479717609793</v>
      </c>
      <c r="BO36" s="90">
        <f>'04 Operating Model'!BO$89</f>
        <v>19776.479717609793</v>
      </c>
    </row>
    <row r="37" spans="1:67">
      <c r="A37" s="11"/>
      <c r="B37" s="11" t="s">
        <v>831</v>
      </c>
      <c r="C37" s="11"/>
      <c r="D37" s="33"/>
      <c r="E37" s="33"/>
      <c r="F37" s="33"/>
      <c r="G37" s="90">
        <f>'04 Operating Model'!G$91-IF('04 Operating Model'!G$73=0,0,G26/'04 Operating Model'!G$73)</f>
        <v>35000</v>
      </c>
      <c r="H37" s="90">
        <f>'04 Operating Model'!H$91-IF('04 Operating Model'!H$73=0,0,H26/'04 Operating Model'!H$73)</f>
        <v>35000</v>
      </c>
      <c r="I37" s="90">
        <f>'04 Operating Model'!I$91-IF('04 Operating Model'!I$73=0,0,I26/'04 Operating Model'!I$73)</f>
        <v>35000</v>
      </c>
      <c r="J37" s="90">
        <f>'04 Operating Model'!J$91-IF('04 Operating Model'!J$73=0,0,J26/'04 Operating Model'!J$73)</f>
        <v>35000</v>
      </c>
      <c r="K37" s="90">
        <f>'04 Operating Model'!K$91-IF('04 Operating Model'!K$73=0,0,K26/'04 Operating Model'!K$73)</f>
        <v>35000</v>
      </c>
      <c r="L37" s="90">
        <f>'04 Operating Model'!L$91-IF('04 Operating Model'!L$73=0,0,L26/'04 Operating Model'!L$73)</f>
        <v>35000</v>
      </c>
      <c r="M37" s="90">
        <f>'04 Operating Model'!M$91-IF('04 Operating Model'!M$73=0,0,M26/'04 Operating Model'!M$73)</f>
        <v>35000</v>
      </c>
      <c r="N37" s="90">
        <f>'04 Operating Model'!N$91-IF('04 Operating Model'!N$73=0,0,N26/'04 Operating Model'!N$73)</f>
        <v>35000</v>
      </c>
      <c r="O37" s="90">
        <f>'04 Operating Model'!O$91-IF('04 Operating Model'!O$73=0,0,O26/'04 Operating Model'!O$73)</f>
        <v>35000</v>
      </c>
      <c r="P37" s="90">
        <f>'04 Operating Model'!P$91-IF('04 Operating Model'!P$73=0,0,P26/'04 Operating Model'!P$73)</f>
        <v>35000</v>
      </c>
      <c r="Q37" s="90">
        <f>'04 Operating Model'!Q$91-IF('04 Operating Model'!Q$73=0,0,Q26/'04 Operating Model'!Q$73)</f>
        <v>35000</v>
      </c>
      <c r="R37" s="90">
        <f>'04 Operating Model'!R$91-IF('04 Operating Model'!R$73=0,0,R26/'04 Operating Model'!R$73)</f>
        <v>35000</v>
      </c>
      <c r="S37" s="90">
        <f>'04 Operating Model'!S$91-IF('04 Operating Model'!S$73=0,0,S26/'04 Operating Model'!S$73)</f>
        <v>35805</v>
      </c>
      <c r="T37" s="90">
        <f>'04 Operating Model'!T$91-IF('04 Operating Model'!T$73=0,0,T26/'04 Operating Model'!T$73)</f>
        <v>35805</v>
      </c>
      <c r="U37" s="90">
        <f>'04 Operating Model'!U$91-IF('04 Operating Model'!U$73=0,0,U26/'04 Operating Model'!U$73)</f>
        <v>35805</v>
      </c>
      <c r="V37" s="90">
        <f>'04 Operating Model'!V$91-IF('04 Operating Model'!V$73=0,0,V26/'04 Operating Model'!V$73)</f>
        <v>35805</v>
      </c>
      <c r="W37" s="90">
        <f>'04 Operating Model'!W$91-IF('04 Operating Model'!W$73=0,0,W26/'04 Operating Model'!W$73)</f>
        <v>35805</v>
      </c>
      <c r="X37" s="90">
        <f>'04 Operating Model'!X$91-IF('04 Operating Model'!X$73=0,0,X26/'04 Operating Model'!X$73)</f>
        <v>35805</v>
      </c>
      <c r="Y37" s="90">
        <f>'04 Operating Model'!Y$91-IF('04 Operating Model'!Y$73=0,0,Y26/'04 Operating Model'!Y$73)</f>
        <v>35805</v>
      </c>
      <c r="Z37" s="90">
        <f>'04 Operating Model'!Z$91-IF('04 Operating Model'!Z$73=0,0,Z26/'04 Operating Model'!Z$73)</f>
        <v>41175.75</v>
      </c>
      <c r="AA37" s="90">
        <f>'04 Operating Model'!AA$91-IF('04 Operating Model'!AA$73=0,0,AA26/'04 Operating Model'!AA$73)</f>
        <v>41175.75</v>
      </c>
      <c r="AB37" s="90">
        <f>'04 Operating Model'!AB$91-IF('04 Operating Model'!AB$73=0,0,AB26/'04 Operating Model'!AB$73)</f>
        <v>31792.801033057927</v>
      </c>
      <c r="AC37" s="90">
        <f>'04 Operating Model'!AC$91-IF('04 Operating Model'!AC$73=0,0,AC26/'04 Operating Model'!AC$73)</f>
        <v>33646.355668663135</v>
      </c>
      <c r="AD37" s="90">
        <f>'04 Operating Model'!AD$91-IF('04 Operating Model'!AD$73=0,0,AD26/'04 Operating Model'!AD$73)</f>
        <v>34769.722114484473</v>
      </c>
      <c r="AE37" s="90">
        <f>'04 Operating Model'!AE$91-IF('04 Operating Model'!AE$73=0,0,AE26/'04 Operating Model'!AE$73)</f>
        <v>36406.039322352786</v>
      </c>
      <c r="AF37" s="90">
        <f>'04 Operating Model'!AF$91-IF('04 Operating Model'!AF$73=0,0,AF26/'04 Operating Model'!AF$73)</f>
        <v>36950.334109946038</v>
      </c>
      <c r="AG37" s="90">
        <f>'04 Operating Model'!AG$91-IF('04 Operating Model'!AG$73=0,0,AG26/'04 Operating Model'!AG$73)</f>
        <v>37359.851140611441</v>
      </c>
      <c r="AH37" s="90">
        <f>'04 Operating Model'!AH$91-IF('04 Operating Model'!AH$73=0,0,AH26/'04 Operating Model'!AH$73)</f>
        <v>37679.135605198018</v>
      </c>
      <c r="AI37" s="90">
        <f>'04 Operating Model'!AI$91-IF('04 Operating Model'!AI$73=0,0,AI26/'04 Operating Model'!AI$73)</f>
        <v>37935.050634065134</v>
      </c>
      <c r="AJ37" s="90">
        <f>'04 Operating Model'!AJ$91-IF('04 Operating Model'!AJ$73=0,0,AJ26/'04 Operating Model'!AJ$73)</f>
        <v>38144.758782720121</v>
      </c>
      <c r="AK37" s="90">
        <f>'04 Operating Model'!AK$91-IF('04 Operating Model'!AK$73=0,0,AK26/'04 Operating Model'!AK$73)</f>
        <v>38319.738193381294</v>
      </c>
      <c r="AL37" s="90">
        <f>'04 Operating Model'!AL$91-IF('04 Operating Model'!AL$73=0,0,AL26/'04 Operating Model'!AL$73)</f>
        <v>38467.956047117819</v>
      </c>
      <c r="AM37" s="90">
        <f>'04 Operating Model'!AM$91-IF('04 Operating Model'!AM$73=0,0,AM26/'04 Operating Model'!AM$73)</f>
        <v>38595.115626552972</v>
      </c>
      <c r="AN37" s="90">
        <f>'04 Operating Model'!AN$91-IF('04 Operating Model'!AN$73=0,0,AN26/'04 Operating Model'!AN$73)</f>
        <v>38705.407098512042</v>
      </c>
      <c r="AO37" s="90">
        <f>'04 Operating Model'!AO$91-IF('04 Operating Model'!AO$73=0,0,AO26/'04 Operating Model'!AO$73)</f>
        <v>38705.407098512042</v>
      </c>
      <c r="AP37" s="90">
        <f>'04 Operating Model'!AP$91-IF('04 Operating Model'!AP$73=0,0,AP26/'04 Operating Model'!AP$73)</f>
        <v>38705.407098512042</v>
      </c>
      <c r="AQ37" s="90">
        <f>'04 Operating Model'!AQ$91-IF('04 Operating Model'!AQ$73=0,0,AQ26/'04 Operating Model'!AQ$73)</f>
        <v>39623.85861714177</v>
      </c>
      <c r="AR37" s="90">
        <f>'04 Operating Model'!AR$91-IF('04 Operating Model'!AR$73=0,0,AR26/'04 Operating Model'!AR$73)</f>
        <v>39623.85861714177</v>
      </c>
      <c r="AS37" s="90">
        <f>'04 Operating Model'!AS$91-IF('04 Operating Model'!AS$73=0,0,AS26/'04 Operating Model'!AS$73)</f>
        <v>39623.85861714177</v>
      </c>
      <c r="AT37" s="90">
        <f>'04 Operating Model'!AT$91-IF('04 Operating Model'!AT$73=0,0,AT26/'04 Operating Model'!AT$73)</f>
        <v>39623.85861714177</v>
      </c>
      <c r="AU37" s="90">
        <f>'04 Operating Model'!AU$91-IF('04 Operating Model'!AU$73=0,0,AU26/'04 Operating Model'!AU$73)</f>
        <v>39623.85861714177</v>
      </c>
      <c r="AV37" s="90">
        <f>'04 Operating Model'!AV$91-IF('04 Operating Model'!AV$73=0,0,AV26/'04 Operating Model'!AV$73)</f>
        <v>39623.85861714177</v>
      </c>
      <c r="AW37" s="90">
        <f>'04 Operating Model'!AW$91-IF('04 Operating Model'!AW$73=0,0,AW26/'04 Operating Model'!AW$73)</f>
        <v>39623.85861714177</v>
      </c>
      <c r="AX37" s="90">
        <f>'04 Operating Model'!AX$91-IF('04 Operating Model'!AX$73=0,0,AX26/'04 Operating Model'!AX$73)</f>
        <v>39623.85861714177</v>
      </c>
      <c r="AY37" s="90">
        <f>'04 Operating Model'!AY$91-IF('04 Operating Model'!AY$73=0,0,AY26/'04 Operating Model'!AY$73)</f>
        <v>39623.85861714177</v>
      </c>
      <c r="AZ37" s="90">
        <f>'04 Operating Model'!AZ$91-IF('04 Operating Model'!AZ$73=0,0,AZ26/'04 Operating Model'!AZ$73)</f>
        <v>39623.85861714177</v>
      </c>
      <c r="BA37" s="90">
        <f>'04 Operating Model'!BA$91-IF('04 Operating Model'!BA$73=0,0,BA26/'04 Operating Model'!BA$73)</f>
        <v>39623.85861714177</v>
      </c>
      <c r="BB37" s="90">
        <f>'04 Operating Model'!BB$91-IF('04 Operating Model'!BB$73=0,0,BB26/'04 Operating Model'!BB$73)</f>
        <v>39623.85861714177</v>
      </c>
      <c r="BC37" s="90">
        <f>'04 Operating Model'!BC$91-IF('04 Operating Model'!BC$73=0,0,BC26/'04 Operating Model'!BC$73)</f>
        <v>40563.208734042841</v>
      </c>
      <c r="BD37" s="90">
        <f>'04 Operating Model'!BD$91-IF('04 Operating Model'!BD$73=0,0,BD26/'04 Operating Model'!BD$73)</f>
        <v>40563.208734042841</v>
      </c>
      <c r="BE37" s="90">
        <f>'04 Operating Model'!BE$91-IF('04 Operating Model'!BE$73=0,0,BE26/'04 Operating Model'!BE$73)</f>
        <v>40563.208734042841</v>
      </c>
      <c r="BF37" s="90">
        <f>'04 Operating Model'!BF$91-IF('04 Operating Model'!BF$73=0,0,BF26/'04 Operating Model'!BF$73)</f>
        <v>40563.208734042841</v>
      </c>
      <c r="BG37" s="90">
        <f>'04 Operating Model'!BG$91-IF('04 Operating Model'!BG$73=0,0,BG26/'04 Operating Model'!BG$73)</f>
        <v>40563.208734042841</v>
      </c>
      <c r="BH37" s="90">
        <f>'04 Operating Model'!BH$91-IF('04 Operating Model'!BH$73=0,0,BH26/'04 Operating Model'!BH$73)</f>
        <v>40563.208734042841</v>
      </c>
      <c r="BI37" s="90">
        <f>'04 Operating Model'!BI$91-IF('04 Operating Model'!BI$73=0,0,BI26/'04 Operating Model'!BI$73)</f>
        <v>41523.924789592136</v>
      </c>
      <c r="BJ37" s="90">
        <f>'04 Operating Model'!BJ$91-IF('04 Operating Model'!BJ$73=0,0,BJ26/'04 Operating Model'!BJ$73)</f>
        <v>42506.484165865004</v>
      </c>
      <c r="BK37" s="90">
        <f>'04 Operating Model'!BK$91-IF('04 Operating Model'!BK$73=0,0,BK26/'04 Operating Model'!BK$73)</f>
        <v>43511.37448142263</v>
      </c>
      <c r="BL37" s="90">
        <f>'04 Operating Model'!BL$91-IF('04 Operating Model'!BL$73=0,0,BL26/'04 Operating Model'!BL$73)</f>
        <v>44539.093788754588</v>
      </c>
      <c r="BM37" s="90">
        <f>'04 Operating Model'!BM$91-IF('04 Operating Model'!BM$73=0,0,BM26/'04 Operating Model'!BM$73)</f>
        <v>45590.150774346082</v>
      </c>
      <c r="BN37" s="90">
        <f>'04 Operating Model'!BN$91-IF('04 Operating Model'!BN$73=0,0,BN26/'04 Operating Model'!BN$73)</f>
        <v>46665.064961334203</v>
      </c>
      <c r="BO37" s="90">
        <f>'04 Operating Model'!BO$91-IF('04 Operating Model'!BO$73=0,0,BO26/'04 Operating Model'!BO$73)</f>
        <v>47764.366914711572</v>
      </c>
    </row>
    <row r="38" spans="1:67">
      <c r="A38" s="11"/>
      <c r="B38" s="11" t="s">
        <v>817</v>
      </c>
      <c r="C38" s="11"/>
      <c r="D38" s="33"/>
      <c r="E38" s="33"/>
      <c r="F38" s="33"/>
      <c r="G38" s="90">
        <f>'04 Operating Model'!G$92</f>
        <v>4500</v>
      </c>
      <c r="H38" s="90">
        <f>'04 Operating Model'!H$92</f>
        <v>4500</v>
      </c>
      <c r="I38" s="90">
        <f>'04 Operating Model'!I$92</f>
        <v>4500</v>
      </c>
      <c r="J38" s="90">
        <f>'04 Operating Model'!J$92</f>
        <v>4500</v>
      </c>
      <c r="K38" s="90">
        <f>'04 Operating Model'!K$92</f>
        <v>4500</v>
      </c>
      <c r="L38" s="90">
        <f>'04 Operating Model'!L$92</f>
        <v>4500</v>
      </c>
      <c r="M38" s="90">
        <f>'04 Operating Model'!M$92</f>
        <v>4500</v>
      </c>
      <c r="N38" s="90">
        <f>'04 Operating Model'!N$92</f>
        <v>4500</v>
      </c>
      <c r="O38" s="90">
        <f>'04 Operating Model'!O$92</f>
        <v>4500</v>
      </c>
      <c r="P38" s="90">
        <f>'04 Operating Model'!P$92</f>
        <v>4500</v>
      </c>
      <c r="Q38" s="90">
        <f>'04 Operating Model'!Q$92</f>
        <v>4500</v>
      </c>
      <c r="R38" s="90">
        <f>'04 Operating Model'!R$92</f>
        <v>4500</v>
      </c>
      <c r="S38" s="90">
        <f>'04 Operating Model'!S$92</f>
        <v>4603.5</v>
      </c>
      <c r="T38" s="90">
        <f>'04 Operating Model'!T$92</f>
        <v>4603.5</v>
      </c>
      <c r="U38" s="90">
        <f>'04 Operating Model'!U$92</f>
        <v>4603.5</v>
      </c>
      <c r="V38" s="90">
        <f>'04 Operating Model'!V$92</f>
        <v>4603.5</v>
      </c>
      <c r="W38" s="90">
        <f>'04 Operating Model'!W$92</f>
        <v>4603.5</v>
      </c>
      <c r="X38" s="90">
        <f>'04 Operating Model'!X$92</f>
        <v>4603.5</v>
      </c>
      <c r="Y38" s="90">
        <f>'04 Operating Model'!Y$92</f>
        <v>4603.5</v>
      </c>
      <c r="Z38" s="90">
        <f>'04 Operating Model'!Z$92</f>
        <v>4603.5</v>
      </c>
      <c r="AA38" s="90">
        <f>'04 Operating Model'!AA$92</f>
        <v>4603.5</v>
      </c>
      <c r="AB38" s="90">
        <f>'04 Operating Model'!AB$92</f>
        <v>4603.5</v>
      </c>
      <c r="AC38" s="90">
        <f>'04 Operating Model'!AC$92</f>
        <v>4603.5</v>
      </c>
      <c r="AD38" s="90">
        <f>'04 Operating Model'!AD$92</f>
        <v>4603.5</v>
      </c>
      <c r="AE38" s="90">
        <f>'04 Operating Model'!AE$92</f>
        <v>4709.3804999999993</v>
      </c>
      <c r="AF38" s="90">
        <f>'04 Operating Model'!AF$92</f>
        <v>4709.3804999999993</v>
      </c>
      <c r="AG38" s="90">
        <f>'04 Operating Model'!AG$92</f>
        <v>4709.3804999999993</v>
      </c>
      <c r="AH38" s="90">
        <f>'04 Operating Model'!AH$92</f>
        <v>4709.3804999999993</v>
      </c>
      <c r="AI38" s="90">
        <f>'04 Operating Model'!AI$92</f>
        <v>4709.3804999999993</v>
      </c>
      <c r="AJ38" s="90">
        <f>'04 Operating Model'!AJ$92</f>
        <v>4709.3804999999993</v>
      </c>
      <c r="AK38" s="90">
        <f>'04 Operating Model'!AK$92</f>
        <v>4709.3804999999993</v>
      </c>
      <c r="AL38" s="90">
        <f>'04 Operating Model'!AL$92</f>
        <v>4709.3804999999993</v>
      </c>
      <c r="AM38" s="90">
        <f>'04 Operating Model'!AM$92</f>
        <v>4709.3804999999993</v>
      </c>
      <c r="AN38" s="90">
        <f>'04 Operating Model'!AN$92</f>
        <v>4709.3804999999993</v>
      </c>
      <c r="AO38" s="90">
        <f>'04 Operating Model'!AO$92</f>
        <v>4709.3804999999993</v>
      </c>
      <c r="AP38" s="90">
        <f>'04 Operating Model'!AP$92</f>
        <v>4709.3804999999993</v>
      </c>
      <c r="AQ38" s="90">
        <f>'04 Operating Model'!AQ$92</f>
        <v>4817.6962514999987</v>
      </c>
      <c r="AR38" s="90">
        <f>'04 Operating Model'!AR$92</f>
        <v>4817.6962514999987</v>
      </c>
      <c r="AS38" s="90">
        <f>'04 Operating Model'!AS$92</f>
        <v>4817.6962514999987</v>
      </c>
      <c r="AT38" s="90">
        <f>'04 Operating Model'!AT$92</f>
        <v>4817.6962514999987</v>
      </c>
      <c r="AU38" s="90">
        <f>'04 Operating Model'!AU$92</f>
        <v>4817.6962514999987</v>
      </c>
      <c r="AV38" s="90">
        <f>'04 Operating Model'!AV$92</f>
        <v>4817.6962514999987</v>
      </c>
      <c r="AW38" s="90">
        <f>'04 Operating Model'!AW$92</f>
        <v>4817.6962514999987</v>
      </c>
      <c r="AX38" s="90">
        <f>'04 Operating Model'!AX$92</f>
        <v>4817.6962514999987</v>
      </c>
      <c r="AY38" s="90">
        <f>'04 Operating Model'!AY$92</f>
        <v>4817.6962514999987</v>
      </c>
      <c r="AZ38" s="90">
        <f>'04 Operating Model'!AZ$92</f>
        <v>4817.6962514999987</v>
      </c>
      <c r="BA38" s="90">
        <f>'04 Operating Model'!BA$92</f>
        <v>4817.6962514999987</v>
      </c>
      <c r="BB38" s="90">
        <f>'04 Operating Model'!BB$92</f>
        <v>4817.6962514999987</v>
      </c>
      <c r="BC38" s="90">
        <f>'04 Operating Model'!BC$92</f>
        <v>4928.5032652844984</v>
      </c>
      <c r="BD38" s="90">
        <f>'04 Operating Model'!BD$92</f>
        <v>4928.5032652844984</v>
      </c>
      <c r="BE38" s="90">
        <f>'04 Operating Model'!BE$92</f>
        <v>4928.5032652844984</v>
      </c>
      <c r="BF38" s="90">
        <f>'04 Operating Model'!BF$92</f>
        <v>4928.5032652844984</v>
      </c>
      <c r="BG38" s="90">
        <f>'04 Operating Model'!BG$92</f>
        <v>4928.5032652844984</v>
      </c>
      <c r="BH38" s="90">
        <f>'04 Operating Model'!BH$92</f>
        <v>4928.5032652844984</v>
      </c>
      <c r="BI38" s="90">
        <f>'04 Operating Model'!BI$92</f>
        <v>5041.8588403860413</v>
      </c>
      <c r="BJ38" s="90">
        <f>'04 Operating Model'!BJ$92</f>
        <v>5157.8215937149198</v>
      </c>
      <c r="BK38" s="90">
        <f>'04 Operating Model'!BK$92</f>
        <v>5276.4514903703621</v>
      </c>
      <c r="BL38" s="90">
        <f>'04 Operating Model'!BL$92</f>
        <v>5397.8098746488804</v>
      </c>
      <c r="BM38" s="90">
        <f>'04 Operating Model'!BM$92</f>
        <v>5521.9595017658039</v>
      </c>
      <c r="BN38" s="90">
        <f>'04 Operating Model'!BN$92</f>
        <v>5648.9645703064161</v>
      </c>
      <c r="BO38" s="90">
        <f>'04 Operating Model'!BO$92</f>
        <v>5778.8907554234638</v>
      </c>
    </row>
    <row r="39" spans="1:67">
      <c r="A39" s="11"/>
      <c r="B39" s="11" t="s">
        <v>818</v>
      </c>
      <c r="C39" s="11"/>
      <c r="D39" s="33"/>
      <c r="E39" s="33"/>
      <c r="F39" s="33"/>
      <c r="G39" s="90">
        <f>'04 Operating Model'!G$116</f>
        <v>0</v>
      </c>
      <c r="H39" s="90">
        <f>'04 Operating Model'!H$116</f>
        <v>0</v>
      </c>
      <c r="I39" s="90">
        <f>'04 Operating Model'!I$116</f>
        <v>0</v>
      </c>
      <c r="J39" s="90">
        <f>'04 Operating Model'!J$116</f>
        <v>0</v>
      </c>
      <c r="K39" s="90">
        <f>'04 Operating Model'!K$116</f>
        <v>0</v>
      </c>
      <c r="L39" s="90">
        <f>'04 Operating Model'!L$116</f>
        <v>0</v>
      </c>
      <c r="M39" s="90">
        <f>'04 Operating Model'!M$116</f>
        <v>0</v>
      </c>
      <c r="N39" s="90">
        <f>'04 Operating Model'!N$116</f>
        <v>0</v>
      </c>
      <c r="O39" s="90">
        <f>'04 Operating Model'!O$116</f>
        <v>0</v>
      </c>
      <c r="P39" s="90">
        <f>'04 Operating Model'!P$116</f>
        <v>0</v>
      </c>
      <c r="Q39" s="90">
        <f>'04 Operating Model'!Q$116</f>
        <v>0</v>
      </c>
      <c r="R39" s="90">
        <f>'04 Operating Model'!R$116</f>
        <v>0</v>
      </c>
      <c r="S39" s="90">
        <f>'04 Operating Model'!S$116</f>
        <v>0</v>
      </c>
      <c r="T39" s="90">
        <f>'04 Operating Model'!T$116</f>
        <v>0</v>
      </c>
      <c r="U39" s="90">
        <f>'04 Operating Model'!U$116</f>
        <v>0</v>
      </c>
      <c r="V39" s="90">
        <f>'04 Operating Model'!V$116</f>
        <v>0</v>
      </c>
      <c r="W39" s="90">
        <f>'04 Operating Model'!W$116</f>
        <v>0</v>
      </c>
      <c r="X39" s="90">
        <f>'04 Operating Model'!X$116</f>
        <v>0</v>
      </c>
      <c r="Y39" s="63">
        <f>'04 Operating Model'!Y$116</f>
        <v>0</v>
      </c>
      <c r="Z39" s="63">
        <f>'04 Operating Model'!Z$116</f>
        <v>0</v>
      </c>
      <c r="AA39" s="63">
        <f>'04 Operating Model'!AA$116</f>
        <v>0</v>
      </c>
      <c r="AB39" s="63">
        <f>'04 Operating Model'!AB$116</f>
        <v>259.16000000000003</v>
      </c>
      <c r="AC39" s="63">
        <f>'04 Operating Model'!AC$116</f>
        <v>343.38699999999994</v>
      </c>
      <c r="AD39" s="63">
        <f>'04 Operating Model'!AD$116</f>
        <v>427.61400000000009</v>
      </c>
      <c r="AE39" s="63">
        <f>'04 Operating Model'!AE$116</f>
        <v>511.84100000000018</v>
      </c>
      <c r="AF39" s="63">
        <f>'04 Operating Model'!AF$116</f>
        <v>596.0680000000001</v>
      </c>
      <c r="AG39" s="63">
        <f>'04 Operating Model'!AG$116</f>
        <v>680.29500000000007</v>
      </c>
      <c r="AH39" s="63">
        <f>'04 Operating Model'!AH$116</f>
        <v>764.52199999999993</v>
      </c>
      <c r="AI39" s="63">
        <f>'04 Operating Model'!AI$116</f>
        <v>848.74899999999991</v>
      </c>
      <c r="AJ39" s="90">
        <f>'04 Operating Model'!AJ$116</f>
        <v>932.97600000000011</v>
      </c>
      <c r="AK39" s="90">
        <f>'04 Operating Model'!AK$116</f>
        <v>1017.2030000000002</v>
      </c>
      <c r="AL39" s="90">
        <f>'04 Operating Model'!AL$116</f>
        <v>1101.43</v>
      </c>
      <c r="AM39" s="90">
        <f>'04 Operating Model'!AM$116</f>
        <v>1185.6570000000002</v>
      </c>
      <c r="AN39" s="90">
        <f>'04 Operating Model'!AN$116</f>
        <v>1269.884</v>
      </c>
      <c r="AO39" s="90">
        <f>'04 Operating Model'!AO$116</f>
        <v>1269.884</v>
      </c>
      <c r="AP39" s="90">
        <f>'04 Operating Model'!AP$116</f>
        <v>1269.884</v>
      </c>
      <c r="AQ39" s="90">
        <f>'04 Operating Model'!AQ$116</f>
        <v>1269.884</v>
      </c>
      <c r="AR39" s="90">
        <f>'04 Operating Model'!AR$116</f>
        <v>1269.884</v>
      </c>
      <c r="AS39" s="90">
        <f>'04 Operating Model'!AS$116</f>
        <v>1269.884</v>
      </c>
      <c r="AT39" s="90">
        <f>'04 Operating Model'!AT$116</f>
        <v>1269.884</v>
      </c>
      <c r="AU39" s="90">
        <f>'04 Operating Model'!AU$116</f>
        <v>1269.884</v>
      </c>
      <c r="AV39" s="90">
        <f>'04 Operating Model'!AV$116</f>
        <v>1269.884</v>
      </c>
      <c r="AW39" s="90">
        <f>'04 Operating Model'!AW$116</f>
        <v>1269.884</v>
      </c>
      <c r="AX39" s="90">
        <f>'04 Operating Model'!AX$116</f>
        <v>1269.884</v>
      </c>
      <c r="AY39" s="90">
        <f>'04 Operating Model'!AY$116</f>
        <v>1269.884</v>
      </c>
      <c r="AZ39" s="90">
        <f>'04 Operating Model'!AZ$116</f>
        <v>1269.884</v>
      </c>
      <c r="BA39" s="90">
        <f>'04 Operating Model'!BA$116</f>
        <v>1269.884</v>
      </c>
      <c r="BB39" s="90">
        <f>'04 Operating Model'!BB$116</f>
        <v>1269.884</v>
      </c>
      <c r="BC39" s="90">
        <f>'04 Operating Model'!BC$116</f>
        <v>1269.884</v>
      </c>
      <c r="BD39" s="90">
        <f>'04 Operating Model'!BD$116</f>
        <v>1269.884</v>
      </c>
      <c r="BE39" s="90">
        <f>'04 Operating Model'!BE$116</f>
        <v>1269.884</v>
      </c>
      <c r="BF39" s="90">
        <f>'04 Operating Model'!BF$116</f>
        <v>1269.884</v>
      </c>
      <c r="BG39" s="90">
        <f>'04 Operating Model'!BG$116</f>
        <v>1269.884</v>
      </c>
      <c r="BH39" s="90">
        <f>'04 Operating Model'!BH$116</f>
        <v>1269.884</v>
      </c>
      <c r="BI39" s="90">
        <f>'04 Operating Model'!BI$116</f>
        <v>15238.608</v>
      </c>
      <c r="BJ39" s="90">
        <f>'04 Operating Model'!BJ$116</f>
        <v>15238.608</v>
      </c>
      <c r="BK39" s="90">
        <f>'04 Operating Model'!BK$116</f>
        <v>15238.608</v>
      </c>
      <c r="BL39" s="90">
        <f>'04 Operating Model'!BL$116</f>
        <v>15238.608</v>
      </c>
      <c r="BM39" s="90">
        <f>'04 Operating Model'!BM$116</f>
        <v>15238.608</v>
      </c>
      <c r="BN39" s="90">
        <f>'04 Operating Model'!BN$116</f>
        <v>15238.608</v>
      </c>
      <c r="BO39" s="90">
        <f>'04 Operating Model'!BO$116</f>
        <v>15238.608</v>
      </c>
    </row>
    <row r="40" spans="1:67">
      <c r="A40" s="11"/>
      <c r="B40" s="11" t="s">
        <v>819</v>
      </c>
      <c r="C40" s="11"/>
      <c r="D40" s="33"/>
      <c r="E40" s="33"/>
      <c r="F40" s="33"/>
      <c r="G40" s="90">
        <f>'04 Operating Model'!G$117</f>
        <v>0</v>
      </c>
      <c r="H40" s="90">
        <f>'04 Operating Model'!H$117</f>
        <v>0</v>
      </c>
      <c r="I40" s="90">
        <f>'04 Operating Model'!I$117</f>
        <v>0</v>
      </c>
      <c r="J40" s="90">
        <f>'04 Operating Model'!J$117</f>
        <v>0</v>
      </c>
      <c r="K40" s="90">
        <f>'04 Operating Model'!K$117</f>
        <v>0</v>
      </c>
      <c r="L40" s="90">
        <f>'04 Operating Model'!L$117</f>
        <v>0</v>
      </c>
      <c r="M40" s="90">
        <f>'04 Operating Model'!M$117</f>
        <v>0</v>
      </c>
      <c r="N40" s="90">
        <f>'04 Operating Model'!N$117</f>
        <v>0</v>
      </c>
      <c r="O40" s="90">
        <f>'04 Operating Model'!O$117</f>
        <v>0</v>
      </c>
      <c r="P40" s="90">
        <f>'04 Operating Model'!P$117</f>
        <v>0</v>
      </c>
      <c r="Q40" s="90">
        <f>'04 Operating Model'!Q$117</f>
        <v>0</v>
      </c>
      <c r="R40" s="90">
        <f>'04 Operating Model'!R$117</f>
        <v>0</v>
      </c>
      <c r="S40" s="90">
        <f>'04 Operating Model'!S$117</f>
        <v>0</v>
      </c>
      <c r="T40" s="90">
        <f>'04 Operating Model'!T$117</f>
        <v>0</v>
      </c>
      <c r="U40" s="90">
        <f>'04 Operating Model'!U$117</f>
        <v>0</v>
      </c>
      <c r="V40" s="90">
        <f>'04 Operating Model'!V$117</f>
        <v>0</v>
      </c>
      <c r="W40" s="90">
        <f>'04 Operating Model'!W$117</f>
        <v>0</v>
      </c>
      <c r="X40" s="90">
        <f>'04 Operating Model'!X$117</f>
        <v>0</v>
      </c>
      <c r="Y40" s="63">
        <f>'04 Operating Model'!Y$117</f>
        <v>0</v>
      </c>
      <c r="Z40" s="63">
        <f>'04 Operating Model'!Z$117</f>
        <v>0</v>
      </c>
      <c r="AA40" s="63">
        <f>'04 Operating Model'!AA$117</f>
        <v>0</v>
      </c>
      <c r="AB40" s="63">
        <f>'04 Operating Model'!AB$117</f>
        <v>204.6</v>
      </c>
      <c r="AC40" s="63">
        <f>'04 Operating Model'!AC$117</f>
        <v>271.09499999999997</v>
      </c>
      <c r="AD40" s="63">
        <f>'04 Operating Model'!AD$117</f>
        <v>337.59000000000003</v>
      </c>
      <c r="AE40" s="63">
        <f>'04 Operating Model'!AE$117</f>
        <v>404.08500000000015</v>
      </c>
      <c r="AF40" s="63">
        <f>'04 Operating Model'!AF$117</f>
        <v>470.58000000000004</v>
      </c>
      <c r="AG40" s="63">
        <f>'04 Operating Model'!AG$117</f>
        <v>537.07500000000005</v>
      </c>
      <c r="AH40" s="63">
        <f>'04 Operating Model'!AH$117</f>
        <v>603.56999999999994</v>
      </c>
      <c r="AI40" s="63">
        <f>'04 Operating Model'!AI$117</f>
        <v>670.06499999999994</v>
      </c>
      <c r="AJ40" s="63">
        <f>'04 Operating Model'!AJ$117</f>
        <v>736.56000000000006</v>
      </c>
      <c r="AK40" s="63">
        <f>'04 Operating Model'!AK$117</f>
        <v>803.05500000000006</v>
      </c>
      <c r="AL40" s="63">
        <f>'04 Operating Model'!AL$117</f>
        <v>869.55</v>
      </c>
      <c r="AM40" s="90">
        <f>'04 Operating Model'!AM$117</f>
        <v>936.04500000000007</v>
      </c>
      <c r="AN40" s="90">
        <f>'04 Operating Model'!AN$117</f>
        <v>1002.5399999999998</v>
      </c>
      <c r="AO40" s="90">
        <f>'04 Operating Model'!AO$117</f>
        <v>1002.5399999999998</v>
      </c>
      <c r="AP40" s="90">
        <f>'04 Operating Model'!AP$117</f>
        <v>1002.5399999999998</v>
      </c>
      <c r="AQ40" s="90">
        <f>'04 Operating Model'!AQ$117</f>
        <v>1002.5399999999998</v>
      </c>
      <c r="AR40" s="90">
        <f>'04 Operating Model'!AR$117</f>
        <v>1002.5399999999998</v>
      </c>
      <c r="AS40" s="90">
        <f>'04 Operating Model'!AS$117</f>
        <v>1002.5399999999998</v>
      </c>
      <c r="AT40" s="90">
        <f>'04 Operating Model'!AT$117</f>
        <v>1002.5399999999998</v>
      </c>
      <c r="AU40" s="90">
        <f>'04 Operating Model'!AU$117</f>
        <v>1002.5399999999998</v>
      </c>
      <c r="AV40" s="90">
        <f>'04 Operating Model'!AV$117</f>
        <v>1002.5399999999998</v>
      </c>
      <c r="AW40" s="90">
        <f>'04 Operating Model'!AW$117</f>
        <v>1002.5399999999998</v>
      </c>
      <c r="AX40" s="90">
        <f>'04 Operating Model'!AX$117</f>
        <v>1002.5399999999998</v>
      </c>
      <c r="AY40" s="90">
        <f>'04 Operating Model'!AY$117</f>
        <v>1002.5399999999998</v>
      </c>
      <c r="AZ40" s="90">
        <f>'04 Operating Model'!AZ$117</f>
        <v>1002.5399999999998</v>
      </c>
      <c r="BA40" s="90">
        <f>'04 Operating Model'!BA$117</f>
        <v>1002.5399999999998</v>
      </c>
      <c r="BB40" s="90">
        <f>'04 Operating Model'!BB$117</f>
        <v>1002.5399999999998</v>
      </c>
      <c r="BC40" s="90">
        <f>'04 Operating Model'!BC$117</f>
        <v>1002.5399999999998</v>
      </c>
      <c r="BD40" s="90">
        <f>'04 Operating Model'!BD$117</f>
        <v>1002.5399999999998</v>
      </c>
      <c r="BE40" s="90">
        <f>'04 Operating Model'!BE$117</f>
        <v>1002.5399999999998</v>
      </c>
      <c r="BF40" s="90">
        <f>'04 Operating Model'!BF$117</f>
        <v>1002.5399999999998</v>
      </c>
      <c r="BG40" s="90">
        <f>'04 Operating Model'!BG$117</f>
        <v>1002.5399999999998</v>
      </c>
      <c r="BH40" s="90">
        <f>'04 Operating Model'!BH$117</f>
        <v>1002.5399999999998</v>
      </c>
      <c r="BI40" s="90">
        <f>'04 Operating Model'!BI$117</f>
        <v>12030.48</v>
      </c>
      <c r="BJ40" s="90">
        <f>'04 Operating Model'!BJ$117</f>
        <v>12030.48</v>
      </c>
      <c r="BK40" s="90">
        <f>'04 Operating Model'!BK$117</f>
        <v>12030.48</v>
      </c>
      <c r="BL40" s="90">
        <f>'04 Operating Model'!BL$117</f>
        <v>12030.48</v>
      </c>
      <c r="BM40" s="90">
        <f>'04 Operating Model'!BM$117</f>
        <v>12030.48</v>
      </c>
      <c r="BN40" s="90">
        <f>'04 Operating Model'!BN$117</f>
        <v>12030.48</v>
      </c>
      <c r="BO40" s="90">
        <f>'04 Operating Model'!BO$117</f>
        <v>12030.48</v>
      </c>
    </row>
    <row r="41" spans="1:67">
      <c r="A41" s="11"/>
      <c r="B41" s="11" t="s">
        <v>820</v>
      </c>
      <c r="C41" s="11"/>
      <c r="D41" s="33"/>
      <c r="E41" s="33"/>
      <c r="F41" s="33"/>
      <c r="G41" s="90">
        <f>'04 Operating Model'!G$118</f>
        <v>0</v>
      </c>
      <c r="H41" s="90">
        <f>'04 Operating Model'!H$118</f>
        <v>0</v>
      </c>
      <c r="I41" s="90">
        <f>'04 Operating Model'!I$118</f>
        <v>0</v>
      </c>
      <c r="J41" s="90">
        <f>'04 Operating Model'!J$118</f>
        <v>0</v>
      </c>
      <c r="K41" s="90">
        <f>'04 Operating Model'!K$118</f>
        <v>0</v>
      </c>
      <c r="L41" s="90">
        <f>'04 Operating Model'!L$118</f>
        <v>0</v>
      </c>
      <c r="M41" s="90">
        <f>'04 Operating Model'!M$118</f>
        <v>0</v>
      </c>
      <c r="N41" s="90">
        <f>'04 Operating Model'!N$118</f>
        <v>0</v>
      </c>
      <c r="O41" s="90">
        <f>'04 Operating Model'!O$118</f>
        <v>0</v>
      </c>
      <c r="P41" s="90">
        <f>'04 Operating Model'!P$118</f>
        <v>0</v>
      </c>
      <c r="Q41" s="90">
        <f>'04 Operating Model'!Q$118</f>
        <v>0</v>
      </c>
      <c r="R41" s="90">
        <f>'04 Operating Model'!R$118</f>
        <v>0</v>
      </c>
      <c r="S41" s="90">
        <f>'04 Operating Model'!S$118</f>
        <v>0</v>
      </c>
      <c r="T41" s="90">
        <f>'04 Operating Model'!T$118</f>
        <v>0</v>
      </c>
      <c r="U41" s="90">
        <f>'04 Operating Model'!U$118</f>
        <v>0</v>
      </c>
      <c r="V41" s="90">
        <f>'04 Operating Model'!V$118</f>
        <v>0</v>
      </c>
      <c r="W41" s="90">
        <f>'04 Operating Model'!W$118</f>
        <v>0</v>
      </c>
      <c r="X41" s="90">
        <f>'04 Operating Model'!X$118</f>
        <v>0</v>
      </c>
      <c r="Y41" s="63">
        <f>'04 Operating Model'!Y$118</f>
        <v>0</v>
      </c>
      <c r="Z41" s="63">
        <f>'04 Operating Model'!Z$118</f>
        <v>0</v>
      </c>
      <c r="AA41" s="63">
        <f>'04 Operating Model'!AA$118</f>
        <v>0</v>
      </c>
      <c r="AB41" s="63">
        <f>'04 Operating Model'!AB$118</f>
        <v>75.02</v>
      </c>
      <c r="AC41" s="63">
        <f>'04 Operating Model'!AC$118</f>
        <v>99.401499999999984</v>
      </c>
      <c r="AD41" s="63">
        <f>'04 Operating Model'!AD$118</f>
        <v>123.78300000000002</v>
      </c>
      <c r="AE41" s="63">
        <f>'04 Operating Model'!AE$118</f>
        <v>148.16450000000006</v>
      </c>
      <c r="AF41" s="63">
        <f>'04 Operating Model'!AF$118</f>
        <v>172.54600000000002</v>
      </c>
      <c r="AG41" s="63">
        <f>'04 Operating Model'!AG$118</f>
        <v>196.92750000000004</v>
      </c>
      <c r="AH41" s="63">
        <f>'04 Operating Model'!AH$118</f>
        <v>221.309</v>
      </c>
      <c r="AI41" s="63">
        <f>'04 Operating Model'!AI$118</f>
        <v>245.69049999999996</v>
      </c>
      <c r="AJ41" s="63">
        <f>'04 Operating Model'!AJ$118</f>
        <v>270.07200000000006</v>
      </c>
      <c r="AK41" s="63">
        <f>'04 Operating Model'!AK$118</f>
        <v>294.45350000000002</v>
      </c>
      <c r="AL41" s="63">
        <f>'04 Operating Model'!AL$118</f>
        <v>318.83499999999998</v>
      </c>
      <c r="AM41" s="63">
        <f>'04 Operating Model'!AM$118</f>
        <v>343.21650000000005</v>
      </c>
      <c r="AN41" s="63">
        <f>'04 Operating Model'!AN$118</f>
        <v>367.59799999999996</v>
      </c>
      <c r="AO41" s="63">
        <f>'04 Operating Model'!AO$118</f>
        <v>367.59799999999996</v>
      </c>
      <c r="AP41" s="63">
        <f>'04 Operating Model'!AP$118</f>
        <v>367.59799999999996</v>
      </c>
      <c r="AQ41" s="63">
        <f>'04 Operating Model'!AQ$118</f>
        <v>367.59799999999996</v>
      </c>
      <c r="AR41" s="63">
        <f>'04 Operating Model'!AR$118</f>
        <v>367.59799999999996</v>
      </c>
      <c r="AS41" s="63">
        <f>'04 Operating Model'!AS$118</f>
        <v>367.59799999999996</v>
      </c>
      <c r="AT41" s="63">
        <f>'04 Operating Model'!AT$118</f>
        <v>367.59799999999996</v>
      </c>
      <c r="AU41" s="63">
        <f>'04 Operating Model'!AU$118</f>
        <v>367.59799999999996</v>
      </c>
      <c r="AV41" s="63">
        <f>'04 Operating Model'!AV$118</f>
        <v>367.59799999999996</v>
      </c>
      <c r="AW41" s="63">
        <f>'04 Operating Model'!AW$118</f>
        <v>367.59799999999996</v>
      </c>
      <c r="AX41" s="63">
        <f>'04 Operating Model'!AX$118</f>
        <v>367.59799999999996</v>
      </c>
      <c r="AY41" s="63">
        <f>'04 Operating Model'!AY$118</f>
        <v>367.59799999999996</v>
      </c>
      <c r="AZ41" s="63">
        <f>'04 Operating Model'!AZ$118</f>
        <v>367.59799999999996</v>
      </c>
      <c r="BA41" s="63">
        <f>'04 Operating Model'!BA$118</f>
        <v>367.59799999999996</v>
      </c>
      <c r="BB41" s="63">
        <f>'04 Operating Model'!BB$118</f>
        <v>367.59799999999996</v>
      </c>
      <c r="BC41" s="63">
        <f>'04 Operating Model'!BC$118</f>
        <v>367.59799999999996</v>
      </c>
      <c r="BD41" s="63">
        <f>'04 Operating Model'!BD$118</f>
        <v>367.59799999999996</v>
      </c>
      <c r="BE41" s="63">
        <f>'04 Operating Model'!BE$118</f>
        <v>367.59799999999996</v>
      </c>
      <c r="BF41" s="63">
        <f>'04 Operating Model'!BF$118</f>
        <v>367.59799999999996</v>
      </c>
      <c r="BG41" s="63">
        <f>'04 Operating Model'!BG$118</f>
        <v>367.59799999999996</v>
      </c>
      <c r="BH41" s="63">
        <f>'04 Operating Model'!BH$118</f>
        <v>367.59799999999996</v>
      </c>
      <c r="BI41" s="90">
        <f>'04 Operating Model'!BI$118</f>
        <v>4411.1759999999995</v>
      </c>
      <c r="BJ41" s="90">
        <f>'04 Operating Model'!BJ$118</f>
        <v>4411.1759999999995</v>
      </c>
      <c r="BK41" s="90">
        <f>'04 Operating Model'!BK$118</f>
        <v>4411.1759999999995</v>
      </c>
      <c r="BL41" s="90">
        <f>'04 Operating Model'!BL$118</f>
        <v>4411.1759999999995</v>
      </c>
      <c r="BM41" s="90">
        <f>'04 Operating Model'!BM$118</f>
        <v>4411.1759999999995</v>
      </c>
      <c r="BN41" s="90">
        <f>'04 Operating Model'!BN$118</f>
        <v>4411.1759999999995</v>
      </c>
      <c r="BO41" s="90">
        <f>'04 Operating Model'!BO$118</f>
        <v>4411.1759999999995</v>
      </c>
    </row>
    <row r="42" spans="1:67">
      <c r="A42" s="11"/>
      <c r="B42" s="11" t="s">
        <v>821</v>
      </c>
      <c r="C42" s="11"/>
      <c r="D42" s="33"/>
      <c r="E42" s="33"/>
      <c r="F42" s="33"/>
      <c r="G42" s="90">
        <f>G36*G39</f>
        <v>0</v>
      </c>
      <c r="H42" s="90">
        <f t="shared" ref="H42:BO42" si="7">H36*H39</f>
        <v>0</v>
      </c>
      <c r="I42" s="90">
        <f t="shared" si="7"/>
        <v>0</v>
      </c>
      <c r="J42" s="90">
        <f t="shared" si="7"/>
        <v>0</v>
      </c>
      <c r="K42" s="90">
        <f t="shared" si="7"/>
        <v>0</v>
      </c>
      <c r="L42" s="90">
        <f t="shared" si="7"/>
        <v>0</v>
      </c>
      <c r="M42" s="90">
        <f t="shared" si="7"/>
        <v>0</v>
      </c>
      <c r="N42" s="90">
        <f t="shared" si="7"/>
        <v>0</v>
      </c>
      <c r="O42" s="90">
        <f t="shared" si="7"/>
        <v>0</v>
      </c>
      <c r="P42" s="90">
        <f t="shared" si="7"/>
        <v>0</v>
      </c>
      <c r="Q42" s="90">
        <f t="shared" si="7"/>
        <v>0</v>
      </c>
      <c r="R42" s="90">
        <f t="shared" si="7"/>
        <v>0</v>
      </c>
      <c r="S42" s="90">
        <f t="shared" si="7"/>
        <v>0</v>
      </c>
      <c r="T42" s="90">
        <f t="shared" si="7"/>
        <v>0</v>
      </c>
      <c r="U42" s="90">
        <f t="shared" si="7"/>
        <v>0</v>
      </c>
      <c r="V42" s="90">
        <f t="shared" si="7"/>
        <v>0</v>
      </c>
      <c r="W42" s="90">
        <f t="shared" si="7"/>
        <v>0</v>
      </c>
      <c r="X42" s="90">
        <f t="shared" si="7"/>
        <v>0</v>
      </c>
      <c r="Y42" s="90">
        <f t="shared" si="7"/>
        <v>0</v>
      </c>
      <c r="Z42" s="90">
        <f t="shared" si="7"/>
        <v>0</v>
      </c>
      <c r="AA42" s="90">
        <f t="shared" si="7"/>
        <v>0</v>
      </c>
      <c r="AB42" s="90">
        <f t="shared" si="7"/>
        <v>4288598.739697719</v>
      </c>
      <c r="AC42" s="90">
        <f t="shared" si="7"/>
        <v>5682393.3300994765</v>
      </c>
      <c r="AD42" s="90">
        <f t="shared" si="7"/>
        <v>7076187.9205012368</v>
      </c>
      <c r="AE42" s="90">
        <f t="shared" si="7"/>
        <v>8639382.1611210573</v>
      </c>
      <c r="AF42" s="90">
        <f t="shared" si="7"/>
        <v>10061052.64333085</v>
      </c>
      <c r="AG42" s="90">
        <f t="shared" si="7"/>
        <v>11482723.125540644</v>
      </c>
      <c r="AH42" s="90">
        <f t="shared" si="7"/>
        <v>12904393.607750434</v>
      </c>
      <c r="AI42" s="90">
        <f t="shared" si="7"/>
        <v>14326064.089960229</v>
      </c>
      <c r="AJ42" s="90">
        <f t="shared" si="7"/>
        <v>15747734.572170025</v>
      </c>
      <c r="AK42" s="90">
        <f t="shared" si="7"/>
        <v>17169405.054379821</v>
      </c>
      <c r="AL42" s="90">
        <f t="shared" si="7"/>
        <v>18591075.536589611</v>
      </c>
      <c r="AM42" s="90">
        <f t="shared" si="7"/>
        <v>20012746.018799409</v>
      </c>
      <c r="AN42" s="90">
        <f t="shared" si="7"/>
        <v>21434416.5010092</v>
      </c>
      <c r="AO42" s="90">
        <f t="shared" si="7"/>
        <v>21434416.5010092</v>
      </c>
      <c r="AP42" s="90">
        <f t="shared" si="7"/>
        <v>21434416.5010092</v>
      </c>
      <c r="AQ42" s="90">
        <f t="shared" si="7"/>
        <v>21863104.831029385</v>
      </c>
      <c r="AR42" s="90">
        <f t="shared" si="7"/>
        <v>21863104.831029385</v>
      </c>
      <c r="AS42" s="90">
        <f t="shared" si="7"/>
        <v>21863104.831029385</v>
      </c>
      <c r="AT42" s="90">
        <f t="shared" si="7"/>
        <v>21863104.831029385</v>
      </c>
      <c r="AU42" s="90">
        <f t="shared" si="7"/>
        <v>21863104.831029385</v>
      </c>
      <c r="AV42" s="90">
        <f t="shared" si="7"/>
        <v>21863104.831029385</v>
      </c>
      <c r="AW42" s="90">
        <f t="shared" si="7"/>
        <v>21863104.831029385</v>
      </c>
      <c r="AX42" s="90">
        <f t="shared" si="7"/>
        <v>21863104.831029385</v>
      </c>
      <c r="AY42" s="90">
        <f t="shared" si="7"/>
        <v>21863104.831029385</v>
      </c>
      <c r="AZ42" s="90">
        <f t="shared" si="7"/>
        <v>21863104.831029385</v>
      </c>
      <c r="BA42" s="90">
        <f t="shared" si="7"/>
        <v>21863104.831029385</v>
      </c>
      <c r="BB42" s="90">
        <f t="shared" si="7"/>
        <v>21863104.831029385</v>
      </c>
      <c r="BC42" s="90">
        <f t="shared" si="7"/>
        <v>22300366.927649975</v>
      </c>
      <c r="BD42" s="90">
        <f t="shared" si="7"/>
        <v>22300366.927649975</v>
      </c>
      <c r="BE42" s="90">
        <f t="shared" si="7"/>
        <v>22300366.927649975</v>
      </c>
      <c r="BF42" s="90">
        <f t="shared" si="7"/>
        <v>22300366.927649975</v>
      </c>
      <c r="BG42" s="90">
        <f t="shared" si="7"/>
        <v>22300366.927649975</v>
      </c>
      <c r="BH42" s="90">
        <f t="shared" si="7"/>
        <v>22300366.927649975</v>
      </c>
      <c r="BI42" s="90">
        <f t="shared" si="7"/>
        <v>272956491.19443566</v>
      </c>
      <c r="BJ42" s="90">
        <f t="shared" si="7"/>
        <v>278415621.01832443</v>
      </c>
      <c r="BK42" s="90">
        <f t="shared" si="7"/>
        <v>283983933.4386909</v>
      </c>
      <c r="BL42" s="90">
        <f t="shared" si="7"/>
        <v>289663612.10746473</v>
      </c>
      <c r="BM42" s="90">
        <f t="shared" si="7"/>
        <v>295456884.34961402</v>
      </c>
      <c r="BN42" s="90">
        <f t="shared" si="7"/>
        <v>301366022.03660631</v>
      </c>
      <c r="BO42" s="90">
        <f t="shared" si="7"/>
        <v>301366022.03660631</v>
      </c>
    </row>
    <row r="43" spans="1:67">
      <c r="A43" s="11"/>
      <c r="B43" s="11" t="s">
        <v>822</v>
      </c>
      <c r="C43" s="11"/>
      <c r="D43" s="33"/>
      <c r="E43" s="33"/>
      <c r="F43" s="33"/>
      <c r="G43" s="90">
        <f>G37*G40</f>
        <v>0</v>
      </c>
      <c r="H43" s="90">
        <f t="shared" ref="H43:BO43" si="8">H37*H40</f>
        <v>0</v>
      </c>
      <c r="I43" s="90">
        <f t="shared" si="8"/>
        <v>0</v>
      </c>
      <c r="J43" s="90">
        <f t="shared" si="8"/>
        <v>0</v>
      </c>
      <c r="K43" s="90">
        <f t="shared" si="8"/>
        <v>0</v>
      </c>
      <c r="L43" s="90">
        <f t="shared" si="8"/>
        <v>0</v>
      </c>
      <c r="M43" s="90">
        <f t="shared" si="8"/>
        <v>0</v>
      </c>
      <c r="N43" s="90">
        <f t="shared" si="8"/>
        <v>0</v>
      </c>
      <c r="O43" s="90">
        <f t="shared" si="8"/>
        <v>0</v>
      </c>
      <c r="P43" s="90">
        <f t="shared" si="8"/>
        <v>0</v>
      </c>
      <c r="Q43" s="90">
        <f t="shared" si="8"/>
        <v>0</v>
      </c>
      <c r="R43" s="90">
        <f t="shared" si="8"/>
        <v>0</v>
      </c>
      <c r="S43" s="90">
        <f t="shared" si="8"/>
        <v>0</v>
      </c>
      <c r="T43" s="90">
        <f t="shared" si="8"/>
        <v>0</v>
      </c>
      <c r="U43" s="90">
        <f t="shared" si="8"/>
        <v>0</v>
      </c>
      <c r="V43" s="90">
        <f t="shared" si="8"/>
        <v>0</v>
      </c>
      <c r="W43" s="90">
        <f t="shared" si="8"/>
        <v>0</v>
      </c>
      <c r="X43" s="90">
        <f t="shared" si="8"/>
        <v>0</v>
      </c>
      <c r="Y43" s="90">
        <f t="shared" si="8"/>
        <v>0</v>
      </c>
      <c r="Z43" s="90">
        <f t="shared" si="8"/>
        <v>0</v>
      </c>
      <c r="AA43" s="90">
        <f t="shared" si="8"/>
        <v>0</v>
      </c>
      <c r="AB43" s="90">
        <f t="shared" si="8"/>
        <v>6504807.0913636517</v>
      </c>
      <c r="AC43" s="90">
        <f t="shared" si="8"/>
        <v>9121358.789996231</v>
      </c>
      <c r="AD43" s="90">
        <f t="shared" si="8"/>
        <v>11737910.488628814</v>
      </c>
      <c r="AE43" s="90">
        <f t="shared" si="8"/>
        <v>14711134.399572931</v>
      </c>
      <c r="AF43" s="90">
        <f t="shared" si="8"/>
        <v>17388088.22545841</v>
      </c>
      <c r="AG43" s="90">
        <f t="shared" si="8"/>
        <v>20065042.051343892</v>
      </c>
      <c r="AH43" s="90">
        <f t="shared" si="8"/>
        <v>22741995.877229366</v>
      </c>
      <c r="AI43" s="90">
        <f t="shared" si="8"/>
        <v>25418949.703114852</v>
      </c>
      <c r="AJ43" s="90">
        <f t="shared" si="8"/>
        <v>28095903.529000334</v>
      </c>
      <c r="AK43" s="90">
        <f t="shared" si="8"/>
        <v>30772857.354885817</v>
      </c>
      <c r="AL43" s="90">
        <f t="shared" si="8"/>
        <v>33449811.180771299</v>
      </c>
      <c r="AM43" s="90">
        <f t="shared" si="8"/>
        <v>36126765.006656781</v>
      </c>
      <c r="AN43" s="90">
        <f t="shared" si="8"/>
        <v>38803718.832542256</v>
      </c>
      <c r="AO43" s="90">
        <f t="shared" si="8"/>
        <v>38803718.832542256</v>
      </c>
      <c r="AP43" s="90">
        <f t="shared" si="8"/>
        <v>38803718.832542256</v>
      </c>
      <c r="AQ43" s="90">
        <f t="shared" si="8"/>
        <v>39724503.218029305</v>
      </c>
      <c r="AR43" s="90">
        <f t="shared" si="8"/>
        <v>39724503.218029305</v>
      </c>
      <c r="AS43" s="90">
        <f t="shared" si="8"/>
        <v>39724503.218029305</v>
      </c>
      <c r="AT43" s="90">
        <f t="shared" si="8"/>
        <v>39724503.218029305</v>
      </c>
      <c r="AU43" s="90">
        <f t="shared" si="8"/>
        <v>39724503.218029305</v>
      </c>
      <c r="AV43" s="90">
        <f t="shared" si="8"/>
        <v>39724503.218029305</v>
      </c>
      <c r="AW43" s="90">
        <f t="shared" si="8"/>
        <v>39724503.218029305</v>
      </c>
      <c r="AX43" s="90">
        <f t="shared" si="8"/>
        <v>39724503.218029305</v>
      </c>
      <c r="AY43" s="90">
        <f t="shared" si="8"/>
        <v>39724503.218029305</v>
      </c>
      <c r="AZ43" s="90">
        <f t="shared" si="8"/>
        <v>39724503.218029305</v>
      </c>
      <c r="BA43" s="90">
        <f t="shared" si="8"/>
        <v>39724503.218029305</v>
      </c>
      <c r="BB43" s="90">
        <f t="shared" si="8"/>
        <v>39724503.218029305</v>
      </c>
      <c r="BC43" s="90">
        <f t="shared" si="8"/>
        <v>40666239.284227304</v>
      </c>
      <c r="BD43" s="90">
        <f t="shared" si="8"/>
        <v>40666239.284227304</v>
      </c>
      <c r="BE43" s="90">
        <f t="shared" si="8"/>
        <v>40666239.284227304</v>
      </c>
      <c r="BF43" s="90">
        <f t="shared" si="8"/>
        <v>40666239.284227304</v>
      </c>
      <c r="BG43" s="90">
        <f t="shared" si="8"/>
        <v>40666239.284227304</v>
      </c>
      <c r="BH43" s="90">
        <f t="shared" si="8"/>
        <v>40666239.284227304</v>
      </c>
      <c r="BI43" s="90">
        <f t="shared" si="8"/>
        <v>499552746.70269239</v>
      </c>
      <c r="BJ43" s="90">
        <f t="shared" si="8"/>
        <v>511373407.62775558</v>
      </c>
      <c r="BK43" s="90">
        <f t="shared" si="8"/>
        <v>523462720.47126532</v>
      </c>
      <c r="BL43" s="90">
        <f t="shared" si="8"/>
        <v>535826677.04373628</v>
      </c>
      <c r="BM43" s="90">
        <f t="shared" si="8"/>
        <v>548471397.08775508</v>
      </c>
      <c r="BN43" s="90">
        <f t="shared" si="8"/>
        <v>561403130.71603191</v>
      </c>
      <c r="BO43" s="90">
        <f t="shared" si="8"/>
        <v>574628260.8800993</v>
      </c>
    </row>
    <row r="44" spans="1:67">
      <c r="A44" s="11"/>
      <c r="B44" s="11" t="s">
        <v>823</v>
      </c>
      <c r="C44" s="11"/>
      <c r="D44" s="33"/>
      <c r="E44" s="33"/>
      <c r="F44" s="33"/>
      <c r="G44" s="90">
        <f>G38*G41</f>
        <v>0</v>
      </c>
      <c r="H44" s="90">
        <f t="shared" ref="H44:BO44" si="9">H38*H41</f>
        <v>0</v>
      </c>
      <c r="I44" s="90">
        <f t="shared" si="9"/>
        <v>0</v>
      </c>
      <c r="J44" s="90">
        <f t="shared" si="9"/>
        <v>0</v>
      </c>
      <c r="K44" s="90">
        <f t="shared" si="9"/>
        <v>0</v>
      </c>
      <c r="L44" s="90">
        <f t="shared" si="9"/>
        <v>0</v>
      </c>
      <c r="M44" s="90">
        <f t="shared" si="9"/>
        <v>0</v>
      </c>
      <c r="N44" s="90">
        <f t="shared" si="9"/>
        <v>0</v>
      </c>
      <c r="O44" s="90">
        <f t="shared" si="9"/>
        <v>0</v>
      </c>
      <c r="P44" s="90">
        <f t="shared" si="9"/>
        <v>0</v>
      </c>
      <c r="Q44" s="90">
        <f t="shared" si="9"/>
        <v>0</v>
      </c>
      <c r="R44" s="90">
        <f t="shared" si="9"/>
        <v>0</v>
      </c>
      <c r="S44" s="90">
        <f t="shared" si="9"/>
        <v>0</v>
      </c>
      <c r="T44" s="90">
        <f t="shared" si="9"/>
        <v>0</v>
      </c>
      <c r="U44" s="90">
        <f t="shared" si="9"/>
        <v>0</v>
      </c>
      <c r="V44" s="90">
        <f t="shared" si="9"/>
        <v>0</v>
      </c>
      <c r="W44" s="90">
        <f t="shared" si="9"/>
        <v>0</v>
      </c>
      <c r="X44" s="90">
        <f t="shared" si="9"/>
        <v>0</v>
      </c>
      <c r="Y44" s="90">
        <f t="shared" si="9"/>
        <v>0</v>
      </c>
      <c r="Z44" s="90">
        <f t="shared" si="9"/>
        <v>0</v>
      </c>
      <c r="AA44" s="90">
        <f t="shared" si="9"/>
        <v>0</v>
      </c>
      <c r="AB44" s="90">
        <f t="shared" si="9"/>
        <v>345354.57</v>
      </c>
      <c r="AC44" s="90">
        <f t="shared" si="9"/>
        <v>457594.80524999992</v>
      </c>
      <c r="AD44" s="90">
        <f t="shared" si="9"/>
        <v>569835.04050000012</v>
      </c>
      <c r="AE44" s="90">
        <f t="shared" si="9"/>
        <v>697763.00709225016</v>
      </c>
      <c r="AF44" s="90">
        <f t="shared" si="9"/>
        <v>812584.76775300002</v>
      </c>
      <c r="AG44" s="90">
        <f t="shared" si="9"/>
        <v>927406.52841375</v>
      </c>
      <c r="AH44" s="90">
        <f t="shared" si="9"/>
        <v>1042228.2890744999</v>
      </c>
      <c r="AI44" s="90">
        <f t="shared" si="9"/>
        <v>1157050.0497352497</v>
      </c>
      <c r="AJ44" s="90">
        <f t="shared" si="9"/>
        <v>1271871.810396</v>
      </c>
      <c r="AK44" s="90">
        <f t="shared" si="9"/>
        <v>1386693.5710567499</v>
      </c>
      <c r="AL44" s="90">
        <f t="shared" si="9"/>
        <v>1501515.3317174998</v>
      </c>
      <c r="AM44" s="90">
        <f t="shared" si="9"/>
        <v>1616337.0923782501</v>
      </c>
      <c r="AN44" s="90">
        <f t="shared" si="9"/>
        <v>1731158.8530389995</v>
      </c>
      <c r="AO44" s="90">
        <f t="shared" si="9"/>
        <v>1731158.8530389995</v>
      </c>
      <c r="AP44" s="90">
        <f t="shared" si="9"/>
        <v>1731158.8530389995</v>
      </c>
      <c r="AQ44" s="90">
        <f t="shared" si="9"/>
        <v>1770975.5066588963</v>
      </c>
      <c r="AR44" s="90">
        <f t="shared" si="9"/>
        <v>1770975.5066588963</v>
      </c>
      <c r="AS44" s="90">
        <f t="shared" si="9"/>
        <v>1770975.5066588963</v>
      </c>
      <c r="AT44" s="90">
        <f t="shared" si="9"/>
        <v>1770975.5066588963</v>
      </c>
      <c r="AU44" s="90">
        <f t="shared" si="9"/>
        <v>1770975.5066588963</v>
      </c>
      <c r="AV44" s="90">
        <f t="shared" si="9"/>
        <v>1770975.5066588963</v>
      </c>
      <c r="AW44" s="90">
        <f t="shared" si="9"/>
        <v>1770975.5066588963</v>
      </c>
      <c r="AX44" s="90">
        <f t="shared" si="9"/>
        <v>1770975.5066588963</v>
      </c>
      <c r="AY44" s="90">
        <f t="shared" si="9"/>
        <v>1770975.5066588963</v>
      </c>
      <c r="AZ44" s="90">
        <f t="shared" si="9"/>
        <v>1770975.5066588963</v>
      </c>
      <c r="BA44" s="90">
        <f t="shared" si="9"/>
        <v>1770975.5066588963</v>
      </c>
      <c r="BB44" s="90">
        <f t="shared" si="9"/>
        <v>1770975.5066588963</v>
      </c>
      <c r="BC44" s="90">
        <f t="shared" si="9"/>
        <v>1811707.9433120508</v>
      </c>
      <c r="BD44" s="90">
        <f t="shared" si="9"/>
        <v>1811707.9433120508</v>
      </c>
      <c r="BE44" s="90">
        <f t="shared" si="9"/>
        <v>1811707.9433120508</v>
      </c>
      <c r="BF44" s="90">
        <f t="shared" si="9"/>
        <v>1811707.9433120508</v>
      </c>
      <c r="BG44" s="90">
        <f t="shared" si="9"/>
        <v>1811707.9433120508</v>
      </c>
      <c r="BH44" s="90">
        <f t="shared" si="9"/>
        <v>1811707.9433120508</v>
      </c>
      <c r="BI44" s="90">
        <f t="shared" si="9"/>
        <v>22240526.712098733</v>
      </c>
      <c r="BJ44" s="90">
        <f t="shared" si="9"/>
        <v>22752058.826477002</v>
      </c>
      <c r="BK44" s="90">
        <f t="shared" si="9"/>
        <v>23275356.179485969</v>
      </c>
      <c r="BL44" s="90">
        <f t="shared" si="9"/>
        <v>23810689.371614147</v>
      </c>
      <c r="BM44" s="90">
        <f t="shared" si="9"/>
        <v>24358335.22716127</v>
      </c>
      <c r="BN44" s="90">
        <f t="shared" si="9"/>
        <v>24918576.937385973</v>
      </c>
      <c r="BO44" s="90">
        <f t="shared" si="9"/>
        <v>25491704.206945851</v>
      </c>
    </row>
    <row r="45" spans="1:67">
      <c r="A45" s="22" t="s">
        <v>824</v>
      </c>
      <c r="B45" s="11"/>
      <c r="C45" s="11"/>
      <c r="D45" s="33"/>
      <c r="E45" s="33"/>
      <c r="F45" s="33"/>
      <c r="G45" s="89">
        <f>SUM(G42:G44)</f>
        <v>0</v>
      </c>
      <c r="H45" s="89">
        <f t="shared" ref="H45:BO45" si="10">SUM(H42:H44)</f>
        <v>0</v>
      </c>
      <c r="I45" s="89">
        <f t="shared" si="10"/>
        <v>0</v>
      </c>
      <c r="J45" s="89">
        <f t="shared" si="10"/>
        <v>0</v>
      </c>
      <c r="K45" s="89">
        <f t="shared" si="10"/>
        <v>0</v>
      </c>
      <c r="L45" s="89">
        <f t="shared" si="10"/>
        <v>0</v>
      </c>
      <c r="M45" s="89">
        <f t="shared" si="10"/>
        <v>0</v>
      </c>
      <c r="N45" s="89">
        <f t="shared" si="10"/>
        <v>0</v>
      </c>
      <c r="O45" s="89">
        <f t="shared" si="10"/>
        <v>0</v>
      </c>
      <c r="P45" s="89">
        <f t="shared" si="10"/>
        <v>0</v>
      </c>
      <c r="Q45" s="89">
        <f t="shared" si="10"/>
        <v>0</v>
      </c>
      <c r="R45" s="89">
        <f t="shared" si="10"/>
        <v>0</v>
      </c>
      <c r="S45" s="89">
        <f t="shared" si="10"/>
        <v>0</v>
      </c>
      <c r="T45" s="89">
        <f t="shared" si="10"/>
        <v>0</v>
      </c>
      <c r="U45" s="89">
        <f t="shared" si="10"/>
        <v>0</v>
      </c>
      <c r="V45" s="89">
        <f t="shared" si="10"/>
        <v>0</v>
      </c>
      <c r="W45" s="89">
        <f t="shared" si="10"/>
        <v>0</v>
      </c>
      <c r="X45" s="89">
        <f t="shared" si="10"/>
        <v>0</v>
      </c>
      <c r="Y45" s="89">
        <f t="shared" si="10"/>
        <v>0</v>
      </c>
      <c r="Z45" s="89">
        <f t="shared" si="10"/>
        <v>0</v>
      </c>
      <c r="AA45" s="89">
        <f t="shared" si="10"/>
        <v>0</v>
      </c>
      <c r="AB45" s="89">
        <f t="shared" si="10"/>
        <v>11138760.401061371</v>
      </c>
      <c r="AC45" s="89">
        <f t="shared" si="10"/>
        <v>15261346.925345708</v>
      </c>
      <c r="AD45" s="89">
        <f t="shared" si="10"/>
        <v>19383933.449630052</v>
      </c>
      <c r="AE45" s="89">
        <f t="shared" si="10"/>
        <v>24048279.567786235</v>
      </c>
      <c r="AF45" s="89">
        <f t="shared" si="10"/>
        <v>28261725.636542261</v>
      </c>
      <c r="AG45" s="89">
        <f t="shared" si="10"/>
        <v>32475171.705298286</v>
      </c>
      <c r="AH45" s="89">
        <f t="shared" si="10"/>
        <v>36688617.774054304</v>
      </c>
      <c r="AI45" s="89">
        <f t="shared" si="10"/>
        <v>40902063.842810333</v>
      </c>
      <c r="AJ45" s="89">
        <f t="shared" si="10"/>
        <v>45115509.911566362</v>
      </c>
      <c r="AK45" s="89">
        <f t="shared" si="10"/>
        <v>49328955.980322391</v>
      </c>
      <c r="AL45" s="89">
        <f t="shared" si="10"/>
        <v>53542402.049078412</v>
      </c>
      <c r="AM45" s="89">
        <f t="shared" si="10"/>
        <v>57755848.117834441</v>
      </c>
      <c r="AN45" s="89">
        <f t="shared" si="10"/>
        <v>61969294.186590448</v>
      </c>
      <c r="AO45" s="89">
        <f t="shared" si="10"/>
        <v>61969294.186590448</v>
      </c>
      <c r="AP45" s="89">
        <f t="shared" si="10"/>
        <v>61969294.186590448</v>
      </c>
      <c r="AQ45" s="89">
        <f t="shared" si="10"/>
        <v>63358583.555717587</v>
      </c>
      <c r="AR45" s="89">
        <f t="shared" si="10"/>
        <v>63358583.555717587</v>
      </c>
      <c r="AS45" s="89">
        <f t="shared" si="10"/>
        <v>63358583.555717587</v>
      </c>
      <c r="AT45" s="89">
        <f t="shared" si="10"/>
        <v>63358583.555717587</v>
      </c>
      <c r="AU45" s="89">
        <f t="shared" si="10"/>
        <v>63358583.555717587</v>
      </c>
      <c r="AV45" s="89">
        <f t="shared" si="10"/>
        <v>63358583.555717587</v>
      </c>
      <c r="AW45" s="89">
        <f t="shared" si="10"/>
        <v>63358583.555717587</v>
      </c>
      <c r="AX45" s="89">
        <f t="shared" si="10"/>
        <v>63358583.555717587</v>
      </c>
      <c r="AY45" s="89">
        <f t="shared" si="10"/>
        <v>63358583.555717587</v>
      </c>
      <c r="AZ45" s="89">
        <f t="shared" si="10"/>
        <v>63358583.555717587</v>
      </c>
      <c r="BA45" s="89">
        <f t="shared" si="10"/>
        <v>63358583.555717587</v>
      </c>
      <c r="BB45" s="89">
        <f t="shared" si="10"/>
        <v>63358583.555717587</v>
      </c>
      <c r="BC45" s="89">
        <f t="shared" si="10"/>
        <v>64778314.155189328</v>
      </c>
      <c r="BD45" s="89">
        <f t="shared" si="10"/>
        <v>64778314.155189328</v>
      </c>
      <c r="BE45" s="89">
        <f t="shared" si="10"/>
        <v>64778314.155189328</v>
      </c>
      <c r="BF45" s="89">
        <f t="shared" si="10"/>
        <v>64778314.155189328</v>
      </c>
      <c r="BG45" s="89">
        <f t="shared" si="10"/>
        <v>64778314.155189328</v>
      </c>
      <c r="BH45" s="89">
        <f t="shared" si="10"/>
        <v>64778314.155189328</v>
      </c>
      <c r="BI45" s="89">
        <f t="shared" si="10"/>
        <v>794749764.60922682</v>
      </c>
      <c r="BJ45" s="89">
        <f t="shared" si="10"/>
        <v>812541087.47255707</v>
      </c>
      <c r="BK45" s="89">
        <f t="shared" si="10"/>
        <v>830722010.08944213</v>
      </c>
      <c r="BL45" s="89">
        <f t="shared" si="10"/>
        <v>849300978.52281511</v>
      </c>
      <c r="BM45" s="89">
        <f t="shared" si="10"/>
        <v>868286616.6645304</v>
      </c>
      <c r="BN45" s="89">
        <f t="shared" si="10"/>
        <v>887687729.69002414</v>
      </c>
      <c r="BO45" s="89">
        <f t="shared" si="10"/>
        <v>901485987.1236515</v>
      </c>
    </row>
    <row r="46" spans="1:67">
      <c r="A46" s="11"/>
      <c r="B46" s="11" t="s">
        <v>825</v>
      </c>
      <c r="C46" s="11"/>
      <c r="D46" s="33"/>
      <c r="E46" s="33"/>
      <c r="F46" s="33"/>
      <c r="G46" s="6">
        <f>IF(G45=0,0,G42/G45)</f>
        <v>0</v>
      </c>
      <c r="H46" s="6">
        <f t="shared" ref="H46:BO46" si="11">IF(H45=0,0,H42/H45)</f>
        <v>0</v>
      </c>
      <c r="I46" s="6">
        <f t="shared" si="11"/>
        <v>0</v>
      </c>
      <c r="J46" s="6">
        <f t="shared" si="11"/>
        <v>0</v>
      </c>
      <c r="K46" s="6">
        <f t="shared" si="11"/>
        <v>0</v>
      </c>
      <c r="L46" s="6">
        <f t="shared" si="11"/>
        <v>0</v>
      </c>
      <c r="M46" s="6">
        <f t="shared" si="11"/>
        <v>0</v>
      </c>
      <c r="N46" s="6">
        <f t="shared" si="11"/>
        <v>0</v>
      </c>
      <c r="O46" s="6">
        <f t="shared" si="11"/>
        <v>0</v>
      </c>
      <c r="P46" s="6">
        <f t="shared" si="11"/>
        <v>0</v>
      </c>
      <c r="Q46" s="6">
        <f t="shared" si="11"/>
        <v>0</v>
      </c>
      <c r="R46" s="6">
        <f t="shared" si="11"/>
        <v>0</v>
      </c>
      <c r="S46" s="6">
        <f t="shared" si="11"/>
        <v>0</v>
      </c>
      <c r="T46" s="6">
        <f t="shared" si="11"/>
        <v>0</v>
      </c>
      <c r="U46" s="6">
        <f t="shared" si="11"/>
        <v>0</v>
      </c>
      <c r="V46" s="6">
        <f t="shared" si="11"/>
        <v>0</v>
      </c>
      <c r="W46" s="6">
        <f t="shared" si="11"/>
        <v>0</v>
      </c>
      <c r="X46" s="6">
        <f t="shared" si="11"/>
        <v>0</v>
      </c>
      <c r="Y46" s="6">
        <f t="shared" si="11"/>
        <v>0</v>
      </c>
      <c r="Z46" s="6">
        <f t="shared" si="11"/>
        <v>0</v>
      </c>
      <c r="AA46" s="6">
        <f t="shared" si="11"/>
        <v>0</v>
      </c>
      <c r="AB46" s="6">
        <f t="shared" si="11"/>
        <v>0.38501579936031971</v>
      </c>
      <c r="AC46" s="6">
        <f t="shared" si="11"/>
        <v>0.3723389133276489</v>
      </c>
      <c r="AD46" s="6">
        <f t="shared" si="11"/>
        <v>0.36505428265573664</v>
      </c>
      <c r="AE46" s="6">
        <f t="shared" si="11"/>
        <v>0.35925156877724851</v>
      </c>
      <c r="AF46" s="6">
        <f t="shared" si="11"/>
        <v>0.35599569441442608</v>
      </c>
      <c r="AG46" s="6">
        <f t="shared" si="11"/>
        <v>0.35358467784997888</v>
      </c>
      <c r="AH46" s="6">
        <f t="shared" si="11"/>
        <v>0.35172744002572504</v>
      </c>
      <c r="AI46" s="6">
        <f t="shared" si="11"/>
        <v>0.35025284164183884</v>
      </c>
      <c r="AJ46" s="6">
        <f t="shared" si="11"/>
        <v>0.34905367584314378</v>
      </c>
      <c r="AK46" s="6">
        <f t="shared" si="11"/>
        <v>0.34805936418416794</v>
      </c>
      <c r="AL46" s="6">
        <f t="shared" si="11"/>
        <v>0.34722154451622339</v>
      </c>
      <c r="AM46" s="6">
        <f t="shared" si="11"/>
        <v>0.34650596729129612</v>
      </c>
      <c r="AN46" s="6">
        <f t="shared" si="11"/>
        <v>0.34588769780836714</v>
      </c>
      <c r="AO46" s="6">
        <f t="shared" si="11"/>
        <v>0.34588769780836714</v>
      </c>
      <c r="AP46" s="6">
        <f t="shared" si="11"/>
        <v>0.34588769780836714</v>
      </c>
      <c r="AQ46" s="6">
        <f t="shared" si="11"/>
        <v>0.34506934347424217</v>
      </c>
      <c r="AR46" s="6">
        <f t="shared" si="11"/>
        <v>0.34506934347424217</v>
      </c>
      <c r="AS46" s="6">
        <f t="shared" si="11"/>
        <v>0.34506934347424217</v>
      </c>
      <c r="AT46" s="6">
        <f t="shared" si="11"/>
        <v>0.34506934347424217</v>
      </c>
      <c r="AU46" s="6">
        <f t="shared" si="11"/>
        <v>0.34506934347424217</v>
      </c>
      <c r="AV46" s="6">
        <f t="shared" si="11"/>
        <v>0.34506934347424217</v>
      </c>
      <c r="AW46" s="6">
        <f t="shared" si="11"/>
        <v>0.34506934347424217</v>
      </c>
      <c r="AX46" s="6">
        <f t="shared" si="11"/>
        <v>0.34506934347424217</v>
      </c>
      <c r="AY46" s="6">
        <f t="shared" si="11"/>
        <v>0.34506934347424217</v>
      </c>
      <c r="AZ46" s="6">
        <f t="shared" si="11"/>
        <v>0.34506934347424217</v>
      </c>
      <c r="BA46" s="6">
        <f t="shared" si="11"/>
        <v>0.34506934347424217</v>
      </c>
      <c r="BB46" s="6">
        <f t="shared" si="11"/>
        <v>0.34506934347424217</v>
      </c>
      <c r="BC46" s="6">
        <f t="shared" si="11"/>
        <v>0.34425667321667269</v>
      </c>
      <c r="BD46" s="6">
        <f t="shared" si="11"/>
        <v>0.34425667321667269</v>
      </c>
      <c r="BE46" s="6">
        <f t="shared" si="11"/>
        <v>0.34425667321667269</v>
      </c>
      <c r="BF46" s="6">
        <f t="shared" si="11"/>
        <v>0.34425667321667269</v>
      </c>
      <c r="BG46" s="6">
        <f t="shared" si="11"/>
        <v>0.34425667321667269</v>
      </c>
      <c r="BH46" s="6">
        <f t="shared" si="11"/>
        <v>0.34425667321667269</v>
      </c>
      <c r="BI46" s="6">
        <f t="shared" si="11"/>
        <v>0.34344960306927119</v>
      </c>
      <c r="BJ46" s="6">
        <f t="shared" si="11"/>
        <v>0.34264805227800582</v>
      </c>
      <c r="BK46" s="6">
        <f t="shared" si="11"/>
        <v>0.34185194323684159</v>
      </c>
      <c r="BL46" s="6">
        <f t="shared" si="11"/>
        <v>0.34106120142623075</v>
      </c>
      <c r="BM46" s="6">
        <f t="shared" si="11"/>
        <v>0.34027575535437071</v>
      </c>
      <c r="BN46" s="6">
        <f t="shared" si="11"/>
        <v>0.33949553650115422</v>
      </c>
      <c r="BO46" s="6">
        <f t="shared" si="11"/>
        <v>0.33429917529629855</v>
      </c>
    </row>
    <row r="47" spans="1:67">
      <c r="A47" s="11"/>
      <c r="B47" s="11" t="s">
        <v>826</v>
      </c>
      <c r="C47" s="11"/>
      <c r="D47" s="33"/>
      <c r="E47" s="33"/>
      <c r="F47" s="33"/>
      <c r="G47" s="6">
        <f>IF(G45=0,0,G43/G45)</f>
        <v>0</v>
      </c>
      <c r="H47" s="6">
        <f t="shared" ref="H47:BO47" si="12">IF(H45=0,0,H43/H45)</f>
        <v>0</v>
      </c>
      <c r="I47" s="6">
        <f t="shared" si="12"/>
        <v>0</v>
      </c>
      <c r="J47" s="6">
        <f t="shared" si="12"/>
        <v>0</v>
      </c>
      <c r="K47" s="6">
        <f t="shared" si="12"/>
        <v>0</v>
      </c>
      <c r="L47" s="6">
        <f t="shared" si="12"/>
        <v>0</v>
      </c>
      <c r="M47" s="6">
        <f t="shared" si="12"/>
        <v>0</v>
      </c>
      <c r="N47" s="6">
        <f t="shared" si="12"/>
        <v>0</v>
      </c>
      <c r="O47" s="6">
        <f t="shared" si="12"/>
        <v>0</v>
      </c>
      <c r="P47" s="6">
        <f t="shared" si="12"/>
        <v>0</v>
      </c>
      <c r="Q47" s="6">
        <f t="shared" si="12"/>
        <v>0</v>
      </c>
      <c r="R47" s="6">
        <f t="shared" si="12"/>
        <v>0</v>
      </c>
      <c r="S47" s="6">
        <f t="shared" si="12"/>
        <v>0</v>
      </c>
      <c r="T47" s="6">
        <f t="shared" si="12"/>
        <v>0</v>
      </c>
      <c r="U47" s="6">
        <f t="shared" si="12"/>
        <v>0</v>
      </c>
      <c r="V47" s="6">
        <f t="shared" si="12"/>
        <v>0</v>
      </c>
      <c r="W47" s="6">
        <f t="shared" si="12"/>
        <v>0</v>
      </c>
      <c r="X47" s="6">
        <f t="shared" si="12"/>
        <v>0</v>
      </c>
      <c r="Y47" s="6">
        <f t="shared" si="12"/>
        <v>0</v>
      </c>
      <c r="Z47" s="6">
        <f t="shared" si="12"/>
        <v>0</v>
      </c>
      <c r="AA47" s="6">
        <f t="shared" si="12"/>
        <v>0</v>
      </c>
      <c r="AB47" s="6">
        <f t="shared" si="12"/>
        <v>0.58397944269847413</v>
      </c>
      <c r="AC47" s="6">
        <f t="shared" si="12"/>
        <v>0.59767717978074919</v>
      </c>
      <c r="AD47" s="6">
        <f t="shared" si="12"/>
        <v>0.60554843108238365</v>
      </c>
      <c r="AE47" s="6">
        <f t="shared" si="12"/>
        <v>0.61173334076168862</v>
      </c>
      <c r="AF47" s="6">
        <f t="shared" si="12"/>
        <v>0.61525217706365753</v>
      </c>
      <c r="AG47" s="6">
        <f t="shared" si="12"/>
        <v>0.61785792030378406</v>
      </c>
      <c r="AH47" s="6">
        <f t="shared" si="12"/>
        <v>0.61986515865179848</v>
      </c>
      <c r="AI47" s="6">
        <f t="shared" si="12"/>
        <v>0.62145885353858332</v>
      </c>
      <c r="AJ47" s="6">
        <f t="shared" si="12"/>
        <v>0.62275487042200817</v>
      </c>
      <c r="AK47" s="6">
        <f t="shared" si="12"/>
        <v>0.62382948804270844</v>
      </c>
      <c r="AL47" s="6">
        <f t="shared" si="12"/>
        <v>0.62473497453682225</v>
      </c>
      <c r="AM47" s="6">
        <f t="shared" si="12"/>
        <v>0.62550834563021829</v>
      </c>
      <c r="AN47" s="6">
        <f t="shared" si="12"/>
        <v>0.62617654988458793</v>
      </c>
      <c r="AO47" s="6">
        <f t="shared" si="12"/>
        <v>0.62617654988458793</v>
      </c>
      <c r="AP47" s="6">
        <f t="shared" si="12"/>
        <v>0.62617654988458793</v>
      </c>
      <c r="AQ47" s="6">
        <f t="shared" si="12"/>
        <v>0.62697902933855121</v>
      </c>
      <c r="AR47" s="6">
        <f t="shared" si="12"/>
        <v>0.62697902933855121</v>
      </c>
      <c r="AS47" s="6">
        <f t="shared" si="12"/>
        <v>0.62697902933855121</v>
      </c>
      <c r="AT47" s="6">
        <f t="shared" si="12"/>
        <v>0.62697902933855121</v>
      </c>
      <c r="AU47" s="6">
        <f t="shared" si="12"/>
        <v>0.62697902933855121</v>
      </c>
      <c r="AV47" s="6">
        <f t="shared" si="12"/>
        <v>0.62697902933855121</v>
      </c>
      <c r="AW47" s="6">
        <f t="shared" si="12"/>
        <v>0.62697902933855121</v>
      </c>
      <c r="AX47" s="6">
        <f t="shared" si="12"/>
        <v>0.62697902933855121</v>
      </c>
      <c r="AY47" s="6">
        <f t="shared" si="12"/>
        <v>0.62697902933855121</v>
      </c>
      <c r="AZ47" s="6">
        <f t="shared" si="12"/>
        <v>0.62697902933855121</v>
      </c>
      <c r="BA47" s="6">
        <f t="shared" si="12"/>
        <v>0.62697902933855121</v>
      </c>
      <c r="BB47" s="6">
        <f t="shared" si="12"/>
        <v>0.62697902933855121</v>
      </c>
      <c r="BC47" s="6">
        <f t="shared" si="12"/>
        <v>0.62777551121202757</v>
      </c>
      <c r="BD47" s="6">
        <f t="shared" si="12"/>
        <v>0.62777551121202757</v>
      </c>
      <c r="BE47" s="6">
        <f t="shared" si="12"/>
        <v>0.62777551121202757</v>
      </c>
      <c r="BF47" s="6">
        <f t="shared" si="12"/>
        <v>0.62777551121202757</v>
      </c>
      <c r="BG47" s="6">
        <f t="shared" si="12"/>
        <v>0.62777551121202757</v>
      </c>
      <c r="BH47" s="6">
        <f t="shared" si="12"/>
        <v>0.62777551121202757</v>
      </c>
      <c r="BI47" s="6">
        <f t="shared" si="12"/>
        <v>0.6285660832480009</v>
      </c>
      <c r="BJ47" s="6">
        <f t="shared" si="12"/>
        <v>0.62935082977576418</v>
      </c>
      <c r="BK47" s="6">
        <f t="shared" si="12"/>
        <v>0.63012983177718518</v>
      </c>
      <c r="BL47" s="6">
        <f t="shared" si="12"/>
        <v>0.63090316694995086</v>
      </c>
      <c r="BM47" s="6">
        <f t="shared" si="12"/>
        <v>0.63167090976787621</v>
      </c>
      <c r="BN47" s="6">
        <f t="shared" si="12"/>
        <v>0.63243313153835179</v>
      </c>
      <c r="BO47" s="6">
        <f t="shared" si="12"/>
        <v>0.63742339768757927</v>
      </c>
    </row>
    <row r="48" spans="1:67">
      <c r="A48" s="11"/>
      <c r="B48" s="11" t="s">
        <v>827</v>
      </c>
      <c r="C48" s="11"/>
      <c r="D48" s="33"/>
      <c r="E48" s="33"/>
      <c r="F48" s="33"/>
      <c r="G48" s="6">
        <f>IF(G45=0,0,G44/G45)</f>
        <v>0</v>
      </c>
      <c r="H48" s="6">
        <f t="shared" ref="H48:BO48" si="13">IF(H45=0,0,H44/H45)</f>
        <v>0</v>
      </c>
      <c r="I48" s="6">
        <f t="shared" si="13"/>
        <v>0</v>
      </c>
      <c r="J48" s="6">
        <f t="shared" si="13"/>
        <v>0</v>
      </c>
      <c r="K48" s="6">
        <f t="shared" si="13"/>
        <v>0</v>
      </c>
      <c r="L48" s="6">
        <f t="shared" si="13"/>
        <v>0</v>
      </c>
      <c r="M48" s="6">
        <f t="shared" si="13"/>
        <v>0</v>
      </c>
      <c r="N48" s="6">
        <f t="shared" si="13"/>
        <v>0</v>
      </c>
      <c r="O48" s="6">
        <f t="shared" si="13"/>
        <v>0</v>
      </c>
      <c r="P48" s="6">
        <f t="shared" si="13"/>
        <v>0</v>
      </c>
      <c r="Q48" s="6">
        <f t="shared" si="13"/>
        <v>0</v>
      </c>
      <c r="R48" s="6">
        <f t="shared" si="13"/>
        <v>0</v>
      </c>
      <c r="S48" s="6">
        <f t="shared" si="13"/>
        <v>0</v>
      </c>
      <c r="T48" s="6">
        <f t="shared" si="13"/>
        <v>0</v>
      </c>
      <c r="U48" s="6">
        <f t="shared" si="13"/>
        <v>0</v>
      </c>
      <c r="V48" s="6">
        <f t="shared" si="13"/>
        <v>0</v>
      </c>
      <c r="W48" s="6">
        <f t="shared" si="13"/>
        <v>0</v>
      </c>
      <c r="X48" s="6">
        <f t="shared" si="13"/>
        <v>0</v>
      </c>
      <c r="Y48" s="6">
        <f t="shared" si="13"/>
        <v>0</v>
      </c>
      <c r="Z48" s="6">
        <f t="shared" si="13"/>
        <v>0</v>
      </c>
      <c r="AA48" s="6">
        <f t="shared" si="13"/>
        <v>0</v>
      </c>
      <c r="AB48" s="6">
        <f t="shared" si="13"/>
        <v>3.1004757941206138E-2</v>
      </c>
      <c r="AC48" s="6">
        <f t="shared" si="13"/>
        <v>2.9983906891601853E-2</v>
      </c>
      <c r="AD48" s="6">
        <f t="shared" si="13"/>
        <v>2.9397286261879711E-2</v>
      </c>
      <c r="AE48" s="6">
        <f t="shared" si="13"/>
        <v>2.901509046106298E-2</v>
      </c>
      <c r="AF48" s="6">
        <f t="shared" si="13"/>
        <v>2.8752128521916307E-2</v>
      </c>
      <c r="AG48" s="6">
        <f t="shared" si="13"/>
        <v>2.8557401846237035E-2</v>
      </c>
      <c r="AH48" s="6">
        <f t="shared" si="13"/>
        <v>2.8407401322476357E-2</v>
      </c>
      <c r="AI48" s="6">
        <f t="shared" si="13"/>
        <v>2.8288304819577784E-2</v>
      </c>
      <c r="AJ48" s="6">
        <f t="shared" si="13"/>
        <v>2.8191453734848014E-2</v>
      </c>
      <c r="AK48" s="6">
        <f t="shared" si="13"/>
        <v>2.8111147773123561E-2</v>
      </c>
      <c r="AL48" s="6">
        <f t="shared" si="13"/>
        <v>2.8043480946954344E-2</v>
      </c>
      <c r="AM48" s="6">
        <f t="shared" si="13"/>
        <v>2.7985687078485495E-2</v>
      </c>
      <c r="AN48" s="6">
        <f t="shared" si="13"/>
        <v>2.7935752307045082E-2</v>
      </c>
      <c r="AO48" s="6">
        <f t="shared" si="13"/>
        <v>2.7935752307045082E-2</v>
      </c>
      <c r="AP48" s="6">
        <f t="shared" si="13"/>
        <v>2.7935752307045082E-2</v>
      </c>
      <c r="AQ48" s="6">
        <f t="shared" si="13"/>
        <v>2.7951627187206594E-2</v>
      </c>
      <c r="AR48" s="6">
        <f t="shared" si="13"/>
        <v>2.7951627187206594E-2</v>
      </c>
      <c r="AS48" s="6">
        <f t="shared" si="13"/>
        <v>2.7951627187206594E-2</v>
      </c>
      <c r="AT48" s="6">
        <f t="shared" si="13"/>
        <v>2.7951627187206594E-2</v>
      </c>
      <c r="AU48" s="6">
        <f t="shared" si="13"/>
        <v>2.7951627187206594E-2</v>
      </c>
      <c r="AV48" s="6">
        <f t="shared" si="13"/>
        <v>2.7951627187206594E-2</v>
      </c>
      <c r="AW48" s="6">
        <f t="shared" si="13"/>
        <v>2.7951627187206594E-2</v>
      </c>
      <c r="AX48" s="6">
        <f t="shared" si="13"/>
        <v>2.7951627187206594E-2</v>
      </c>
      <c r="AY48" s="6">
        <f t="shared" si="13"/>
        <v>2.7951627187206594E-2</v>
      </c>
      <c r="AZ48" s="6">
        <f t="shared" si="13"/>
        <v>2.7951627187206594E-2</v>
      </c>
      <c r="BA48" s="6">
        <f t="shared" si="13"/>
        <v>2.7951627187206594E-2</v>
      </c>
      <c r="BB48" s="6">
        <f t="shared" si="13"/>
        <v>2.7951627187206594E-2</v>
      </c>
      <c r="BC48" s="6">
        <f t="shared" si="13"/>
        <v>2.7967815571299744E-2</v>
      </c>
      <c r="BD48" s="6">
        <f t="shared" si="13"/>
        <v>2.7967815571299744E-2</v>
      </c>
      <c r="BE48" s="6">
        <f t="shared" si="13"/>
        <v>2.7967815571299744E-2</v>
      </c>
      <c r="BF48" s="6">
        <f t="shared" si="13"/>
        <v>2.7967815571299744E-2</v>
      </c>
      <c r="BG48" s="6">
        <f t="shared" si="13"/>
        <v>2.7967815571299744E-2</v>
      </c>
      <c r="BH48" s="6">
        <f t="shared" si="13"/>
        <v>2.7967815571299744E-2</v>
      </c>
      <c r="BI48" s="6">
        <f t="shared" si="13"/>
        <v>2.7984313682727861E-2</v>
      </c>
      <c r="BJ48" s="6">
        <f t="shared" si="13"/>
        <v>2.800111794622993E-2</v>
      </c>
      <c r="BK48" s="6">
        <f t="shared" si="13"/>
        <v>2.8018224985973297E-2</v>
      </c>
      <c r="BL48" s="6">
        <f t="shared" si="13"/>
        <v>2.8035631623818402E-2</v>
      </c>
      <c r="BM48" s="6">
        <f t="shared" si="13"/>
        <v>2.8053334877753057E-2</v>
      </c>
      <c r="BN48" s="6">
        <f t="shared" si="13"/>
        <v>2.8071331960494043E-2</v>
      </c>
      <c r="BO48" s="6">
        <f t="shared" si="13"/>
        <v>2.8277427016122111E-2</v>
      </c>
    </row>
    <row r="49" spans="1:67">
      <c r="A49" s="11"/>
      <c r="B49" s="11" t="s">
        <v>828</v>
      </c>
      <c r="C49" s="11"/>
      <c r="D49" s="33"/>
      <c r="E49" s="33"/>
      <c r="F49" s="33"/>
      <c r="G49" s="6">
        <f>IF(G45=0,0,SUM(G46:G48))</f>
        <v>0</v>
      </c>
      <c r="H49" s="6">
        <f t="shared" ref="H49:BO49" si="14">IF(H45=0,0,SUM(H46:H48))</f>
        <v>0</v>
      </c>
      <c r="I49" s="6">
        <f t="shared" si="14"/>
        <v>0</v>
      </c>
      <c r="J49" s="6">
        <f t="shared" si="14"/>
        <v>0</v>
      </c>
      <c r="K49" s="6">
        <f t="shared" si="14"/>
        <v>0</v>
      </c>
      <c r="L49" s="6">
        <f t="shared" si="14"/>
        <v>0</v>
      </c>
      <c r="M49" s="6">
        <f t="shared" si="14"/>
        <v>0</v>
      </c>
      <c r="N49" s="6">
        <f t="shared" si="14"/>
        <v>0</v>
      </c>
      <c r="O49" s="6">
        <f t="shared" si="14"/>
        <v>0</v>
      </c>
      <c r="P49" s="6">
        <f t="shared" si="14"/>
        <v>0</v>
      </c>
      <c r="Q49" s="6">
        <f t="shared" si="14"/>
        <v>0</v>
      </c>
      <c r="R49" s="6">
        <f t="shared" si="14"/>
        <v>0</v>
      </c>
      <c r="S49" s="6">
        <f t="shared" si="14"/>
        <v>0</v>
      </c>
      <c r="T49" s="6">
        <f t="shared" si="14"/>
        <v>0</v>
      </c>
      <c r="U49" s="6">
        <f t="shared" si="14"/>
        <v>0</v>
      </c>
      <c r="V49" s="6">
        <f t="shared" si="14"/>
        <v>0</v>
      </c>
      <c r="W49" s="6">
        <f t="shared" si="14"/>
        <v>0</v>
      </c>
      <c r="X49" s="6">
        <f t="shared" si="14"/>
        <v>0</v>
      </c>
      <c r="Y49" s="6">
        <f t="shared" si="14"/>
        <v>0</v>
      </c>
      <c r="Z49" s="6">
        <f t="shared" si="14"/>
        <v>0</v>
      </c>
      <c r="AA49" s="6">
        <f t="shared" si="14"/>
        <v>0</v>
      </c>
      <c r="AB49" s="6">
        <f t="shared" si="14"/>
        <v>1</v>
      </c>
      <c r="AC49" s="6">
        <f t="shared" si="14"/>
        <v>1</v>
      </c>
      <c r="AD49" s="6">
        <f t="shared" si="14"/>
        <v>1</v>
      </c>
      <c r="AE49" s="6">
        <f t="shared" si="14"/>
        <v>1</v>
      </c>
      <c r="AF49" s="6">
        <f t="shared" si="14"/>
        <v>1</v>
      </c>
      <c r="AG49" s="6">
        <f t="shared" si="14"/>
        <v>0.99999999999999989</v>
      </c>
      <c r="AH49" s="6">
        <f t="shared" si="14"/>
        <v>0.99999999999999989</v>
      </c>
      <c r="AI49" s="6">
        <f t="shared" si="14"/>
        <v>0.99999999999999989</v>
      </c>
      <c r="AJ49" s="6">
        <f t="shared" si="14"/>
        <v>1</v>
      </c>
      <c r="AK49" s="6">
        <f t="shared" si="14"/>
        <v>0.99999999999999989</v>
      </c>
      <c r="AL49" s="6">
        <f t="shared" si="14"/>
        <v>1</v>
      </c>
      <c r="AM49" s="6">
        <f t="shared" si="14"/>
        <v>0.99999999999999989</v>
      </c>
      <c r="AN49" s="6">
        <f t="shared" si="14"/>
        <v>1.0000000000000002</v>
      </c>
      <c r="AO49" s="6">
        <f t="shared" si="14"/>
        <v>1.0000000000000002</v>
      </c>
      <c r="AP49" s="6">
        <f t="shared" si="14"/>
        <v>1.0000000000000002</v>
      </c>
      <c r="AQ49" s="6">
        <f t="shared" si="14"/>
        <v>0.99999999999999989</v>
      </c>
      <c r="AR49" s="6">
        <f t="shared" si="14"/>
        <v>0.99999999999999989</v>
      </c>
      <c r="AS49" s="6">
        <f t="shared" si="14"/>
        <v>0.99999999999999989</v>
      </c>
      <c r="AT49" s="6">
        <f t="shared" si="14"/>
        <v>0.99999999999999989</v>
      </c>
      <c r="AU49" s="6">
        <f t="shared" si="14"/>
        <v>0.99999999999999989</v>
      </c>
      <c r="AV49" s="6">
        <f t="shared" si="14"/>
        <v>0.99999999999999989</v>
      </c>
      <c r="AW49" s="6">
        <f t="shared" si="14"/>
        <v>0.99999999999999989</v>
      </c>
      <c r="AX49" s="6">
        <f t="shared" si="14"/>
        <v>0.99999999999999989</v>
      </c>
      <c r="AY49" s="6">
        <f t="shared" si="14"/>
        <v>0.99999999999999989</v>
      </c>
      <c r="AZ49" s="6">
        <f t="shared" si="14"/>
        <v>0.99999999999999989</v>
      </c>
      <c r="BA49" s="6">
        <f t="shared" si="14"/>
        <v>0.99999999999999989</v>
      </c>
      <c r="BB49" s="6">
        <f t="shared" si="14"/>
        <v>0.99999999999999989</v>
      </c>
      <c r="BC49" s="6">
        <f t="shared" si="14"/>
        <v>1</v>
      </c>
      <c r="BD49" s="6">
        <f t="shared" si="14"/>
        <v>1</v>
      </c>
      <c r="BE49" s="6">
        <f t="shared" si="14"/>
        <v>1</v>
      </c>
      <c r="BF49" s="6">
        <f t="shared" si="14"/>
        <v>1</v>
      </c>
      <c r="BG49" s="6">
        <f t="shared" si="14"/>
        <v>1</v>
      </c>
      <c r="BH49" s="6">
        <f t="shared" si="14"/>
        <v>1</v>
      </c>
      <c r="BI49" s="6">
        <f t="shared" si="14"/>
        <v>1</v>
      </c>
      <c r="BJ49" s="6">
        <f t="shared" si="14"/>
        <v>0.99999999999999989</v>
      </c>
      <c r="BK49" s="6">
        <f t="shared" si="14"/>
        <v>1</v>
      </c>
      <c r="BL49" s="6">
        <f t="shared" si="14"/>
        <v>1</v>
      </c>
      <c r="BM49" s="6">
        <f t="shared" si="14"/>
        <v>1</v>
      </c>
      <c r="BN49" s="6">
        <f t="shared" si="14"/>
        <v>1</v>
      </c>
      <c r="BO49" s="6">
        <f t="shared" si="14"/>
        <v>1</v>
      </c>
    </row>
    <row r="50" spans="1:67">
      <c r="A50" s="11"/>
      <c r="B50" s="11" t="s">
        <v>777</v>
      </c>
      <c r="C50" s="11"/>
      <c r="D50" s="33"/>
      <c r="E50" s="33"/>
      <c r="F50" s="33"/>
      <c r="G50" s="6">
        <f>'04 Operating Model'!G$121</f>
        <v>0</v>
      </c>
      <c r="H50" s="6">
        <f>'04 Operating Model'!H$121</f>
        <v>0</v>
      </c>
      <c r="I50" s="6">
        <f>'04 Operating Model'!I$121</f>
        <v>0</v>
      </c>
      <c r="J50" s="6">
        <f>'04 Operating Model'!J$121</f>
        <v>0</v>
      </c>
      <c r="K50" s="6">
        <f>'04 Operating Model'!K$121</f>
        <v>0</v>
      </c>
      <c r="L50" s="6">
        <f>'04 Operating Model'!L$121</f>
        <v>0</v>
      </c>
      <c r="M50" s="6">
        <f>'04 Operating Model'!M$121</f>
        <v>0</v>
      </c>
      <c r="N50" s="6">
        <f>'04 Operating Model'!N$121</f>
        <v>0</v>
      </c>
      <c r="O50" s="6">
        <f>'04 Operating Model'!O$121</f>
        <v>0</v>
      </c>
      <c r="P50" s="6">
        <f>'04 Operating Model'!P$121</f>
        <v>0</v>
      </c>
      <c r="Q50" s="6">
        <f>'04 Operating Model'!Q$121</f>
        <v>0</v>
      </c>
      <c r="R50" s="6">
        <f>'04 Operating Model'!R$121</f>
        <v>0</v>
      </c>
      <c r="S50" s="6">
        <f>'04 Operating Model'!S$121</f>
        <v>0</v>
      </c>
      <c r="T50" s="6">
        <f>'04 Operating Model'!T$121</f>
        <v>0</v>
      </c>
      <c r="U50" s="6">
        <f>'04 Operating Model'!U$121</f>
        <v>0</v>
      </c>
      <c r="V50" s="6">
        <f>'04 Operating Model'!V$121</f>
        <v>0</v>
      </c>
      <c r="W50" s="6">
        <f>'04 Operating Model'!W$121</f>
        <v>0</v>
      </c>
      <c r="X50" s="6">
        <f>'04 Operating Model'!X$121</f>
        <v>0</v>
      </c>
      <c r="Y50" s="6">
        <f>'04 Operating Model'!Y$121</f>
        <v>0</v>
      </c>
      <c r="Z50" s="6">
        <f>'04 Operating Model'!Z$121</f>
        <v>0</v>
      </c>
      <c r="AA50" s="6">
        <f>'04 Operating Model'!AA$121</f>
        <v>0</v>
      </c>
      <c r="AB50" s="6">
        <f>'04 Operating Model'!AB$121</f>
        <v>0.20000000000000004</v>
      </c>
      <c r="AC50" s="6">
        <f>'04 Operating Model'!AC$121</f>
        <v>0.26499999999999996</v>
      </c>
      <c r="AD50" s="6">
        <f>'04 Operating Model'!AD$121</f>
        <v>0.33000000000000007</v>
      </c>
      <c r="AE50" s="6">
        <f>'04 Operating Model'!AE$121</f>
        <v>0.39500000000000013</v>
      </c>
      <c r="AF50" s="6">
        <f>'04 Operating Model'!AF$121</f>
        <v>0.46000000000000008</v>
      </c>
      <c r="AG50" s="6">
        <f>'04 Operating Model'!AG$121</f>
        <v>0.52500000000000002</v>
      </c>
      <c r="AH50" s="6">
        <f>'04 Operating Model'!AH$121</f>
        <v>0.59</v>
      </c>
      <c r="AI50" s="6">
        <f>'04 Operating Model'!AI$121</f>
        <v>0.65499999999999992</v>
      </c>
      <c r="AJ50" s="6">
        <f>'04 Operating Model'!AJ$121</f>
        <v>0.72000000000000008</v>
      </c>
      <c r="AK50" s="6">
        <f>'04 Operating Model'!AK$121</f>
        <v>0.78500000000000014</v>
      </c>
      <c r="AL50" s="6">
        <f>'04 Operating Model'!AL$121</f>
        <v>0.85000000000000009</v>
      </c>
      <c r="AM50" s="6">
        <f>'04 Operating Model'!AM$121</f>
        <v>0.91500000000000015</v>
      </c>
      <c r="AN50" s="6">
        <f>'04 Operating Model'!AN$121</f>
        <v>0.98000000000000009</v>
      </c>
      <c r="AO50" s="6">
        <f>'04 Operating Model'!AO$121</f>
        <v>0.98000000000000009</v>
      </c>
      <c r="AP50" s="6">
        <f>'04 Operating Model'!AP$121</f>
        <v>0.98000000000000009</v>
      </c>
      <c r="AQ50" s="6">
        <f>'04 Operating Model'!AQ$121</f>
        <v>0.98000000000000009</v>
      </c>
      <c r="AR50" s="6">
        <f>'04 Operating Model'!AR$121</f>
        <v>0.98000000000000009</v>
      </c>
      <c r="AS50" s="6">
        <f>'04 Operating Model'!AS$121</f>
        <v>0.98000000000000009</v>
      </c>
      <c r="AT50" s="6">
        <f>'04 Operating Model'!AT$121</f>
        <v>0.98000000000000009</v>
      </c>
      <c r="AU50" s="6">
        <f>'04 Operating Model'!AU$121</f>
        <v>0.98000000000000009</v>
      </c>
      <c r="AV50" s="6">
        <f>'04 Operating Model'!AV$121</f>
        <v>0.98000000000000009</v>
      </c>
      <c r="AW50" s="6">
        <f>'04 Operating Model'!AW$121</f>
        <v>0.98000000000000009</v>
      </c>
      <c r="AX50" s="6">
        <f>'04 Operating Model'!AX$121</f>
        <v>0.98000000000000009</v>
      </c>
      <c r="AY50" s="6">
        <f>'04 Operating Model'!AY$121</f>
        <v>0.98000000000000009</v>
      </c>
      <c r="AZ50" s="6">
        <f>'04 Operating Model'!AZ$121</f>
        <v>0.98000000000000009</v>
      </c>
      <c r="BA50" s="6">
        <f>'04 Operating Model'!BA$121</f>
        <v>0.98000000000000009</v>
      </c>
      <c r="BB50" s="6">
        <f>'04 Operating Model'!BB$121</f>
        <v>0.98000000000000009</v>
      </c>
      <c r="BC50" s="6">
        <f>'04 Operating Model'!BC$121</f>
        <v>0.98000000000000009</v>
      </c>
      <c r="BD50" s="6">
        <f>'04 Operating Model'!BD$121</f>
        <v>0.98000000000000009</v>
      </c>
      <c r="BE50" s="6">
        <f>'04 Operating Model'!BE$121</f>
        <v>0.98000000000000009</v>
      </c>
      <c r="BF50" s="6">
        <f>'04 Operating Model'!BF$121</f>
        <v>0.98000000000000009</v>
      </c>
      <c r="BG50" s="6">
        <f>'04 Operating Model'!BG$121</f>
        <v>0.98000000000000009</v>
      </c>
      <c r="BH50" s="6">
        <f>'04 Operating Model'!BH$121</f>
        <v>0.98000000000000009</v>
      </c>
      <c r="BI50" s="6">
        <f>'04 Operating Model'!BI$121</f>
        <v>0.98</v>
      </c>
      <c r="BJ50" s="6">
        <f>'04 Operating Model'!BJ$121</f>
        <v>0.98</v>
      </c>
      <c r="BK50" s="6">
        <f>'04 Operating Model'!BK$121</f>
        <v>0.98</v>
      </c>
      <c r="BL50" s="6">
        <f>'04 Operating Model'!BL$121</f>
        <v>0.98</v>
      </c>
      <c r="BM50" s="6">
        <f>'04 Operating Model'!BM$121</f>
        <v>0.98</v>
      </c>
      <c r="BN50" s="6">
        <f>'04 Operating Model'!BN$121</f>
        <v>0.98</v>
      </c>
      <c r="BO50" s="6">
        <f>'04 Operating Model'!BO$121</f>
        <v>0.98</v>
      </c>
    </row>
    <row r="51" spans="1:67">
      <c r="A51" s="11"/>
      <c r="B51" s="11" t="s">
        <v>778</v>
      </c>
      <c r="C51" s="11"/>
      <c r="D51" s="33"/>
      <c r="E51" s="33"/>
      <c r="F51" s="33"/>
      <c r="G51" s="6">
        <f>'04 Operating Model'!G$122</f>
        <v>0</v>
      </c>
      <c r="H51" s="6">
        <f>'04 Operating Model'!H$122</f>
        <v>0</v>
      </c>
      <c r="I51" s="6">
        <f>'04 Operating Model'!I$122</f>
        <v>0</v>
      </c>
      <c r="J51" s="6">
        <f>'04 Operating Model'!J$122</f>
        <v>0</v>
      </c>
      <c r="K51" s="6">
        <f>'04 Operating Model'!K$122</f>
        <v>0</v>
      </c>
      <c r="L51" s="6">
        <f>'04 Operating Model'!L$122</f>
        <v>0</v>
      </c>
      <c r="M51" s="6">
        <f>'04 Operating Model'!M$122</f>
        <v>0</v>
      </c>
      <c r="N51" s="6">
        <f>'04 Operating Model'!N$122</f>
        <v>0</v>
      </c>
      <c r="O51" s="6">
        <f>'04 Operating Model'!O$122</f>
        <v>0</v>
      </c>
      <c r="P51" s="6">
        <f>'04 Operating Model'!P$122</f>
        <v>0</v>
      </c>
      <c r="Q51" s="6">
        <f>'04 Operating Model'!Q$122</f>
        <v>0</v>
      </c>
      <c r="R51" s="6">
        <f>'04 Operating Model'!R$122</f>
        <v>0</v>
      </c>
      <c r="S51" s="6">
        <f>'04 Operating Model'!S$122</f>
        <v>0</v>
      </c>
      <c r="T51" s="6">
        <f>'04 Operating Model'!T$122</f>
        <v>0</v>
      </c>
      <c r="U51" s="6">
        <f>'04 Operating Model'!U$122</f>
        <v>0</v>
      </c>
      <c r="V51" s="6">
        <f>'04 Operating Model'!V$122</f>
        <v>0</v>
      </c>
      <c r="W51" s="6">
        <f>'04 Operating Model'!W$122</f>
        <v>0</v>
      </c>
      <c r="X51" s="6">
        <f>'04 Operating Model'!X$122</f>
        <v>0</v>
      </c>
      <c r="Y51" s="6">
        <f>'04 Operating Model'!Y$122</f>
        <v>0</v>
      </c>
      <c r="Z51" s="6">
        <f>'04 Operating Model'!Z$122</f>
        <v>0</v>
      </c>
      <c r="AA51" s="6">
        <f>'04 Operating Model'!AA$122</f>
        <v>0</v>
      </c>
      <c r="AB51" s="6">
        <f>'04 Operating Model'!AB$122</f>
        <v>0.19999999999999998</v>
      </c>
      <c r="AC51" s="6">
        <f>'04 Operating Model'!AC$122</f>
        <v>0.26499999999999996</v>
      </c>
      <c r="AD51" s="6">
        <f>'04 Operating Model'!AD$122</f>
        <v>0.33</v>
      </c>
      <c r="AE51" s="6">
        <f>'04 Operating Model'!AE$122</f>
        <v>0.39500000000000013</v>
      </c>
      <c r="AF51" s="6">
        <f>'04 Operating Model'!AF$122</f>
        <v>0.46</v>
      </c>
      <c r="AG51" s="6">
        <f>'04 Operating Model'!AG$122</f>
        <v>0.52500000000000002</v>
      </c>
      <c r="AH51" s="6">
        <f>'04 Operating Model'!AH$122</f>
        <v>0.59</v>
      </c>
      <c r="AI51" s="6">
        <f>'04 Operating Model'!AI$122</f>
        <v>0.65499999999999992</v>
      </c>
      <c r="AJ51" s="6">
        <f>'04 Operating Model'!AJ$122</f>
        <v>0.72000000000000008</v>
      </c>
      <c r="AK51" s="6">
        <f>'04 Operating Model'!AK$122</f>
        <v>0.78500000000000003</v>
      </c>
      <c r="AL51" s="6">
        <f>'04 Operating Model'!AL$122</f>
        <v>0.85</v>
      </c>
      <c r="AM51" s="6">
        <f>'04 Operating Model'!AM$122</f>
        <v>0.91500000000000004</v>
      </c>
      <c r="AN51" s="6">
        <f>'04 Operating Model'!AN$122</f>
        <v>0.97999999999999987</v>
      </c>
      <c r="AO51" s="6">
        <f>'04 Operating Model'!AO$122</f>
        <v>0.97999999999999987</v>
      </c>
      <c r="AP51" s="6">
        <f>'04 Operating Model'!AP$122</f>
        <v>0.97999999999999987</v>
      </c>
      <c r="AQ51" s="6">
        <f>'04 Operating Model'!AQ$122</f>
        <v>0.97999999999999987</v>
      </c>
      <c r="AR51" s="6">
        <f>'04 Operating Model'!AR$122</f>
        <v>0.97999999999999987</v>
      </c>
      <c r="AS51" s="6">
        <f>'04 Operating Model'!AS$122</f>
        <v>0.97999999999999987</v>
      </c>
      <c r="AT51" s="6">
        <f>'04 Operating Model'!AT$122</f>
        <v>0.97999999999999987</v>
      </c>
      <c r="AU51" s="6">
        <f>'04 Operating Model'!AU$122</f>
        <v>0.97999999999999987</v>
      </c>
      <c r="AV51" s="6">
        <f>'04 Operating Model'!AV$122</f>
        <v>0.97999999999999987</v>
      </c>
      <c r="AW51" s="6">
        <f>'04 Operating Model'!AW$122</f>
        <v>0.97999999999999987</v>
      </c>
      <c r="AX51" s="6">
        <f>'04 Operating Model'!AX$122</f>
        <v>0.97999999999999987</v>
      </c>
      <c r="AY51" s="6">
        <f>'04 Operating Model'!AY$122</f>
        <v>0.97999999999999987</v>
      </c>
      <c r="AZ51" s="6">
        <f>'04 Operating Model'!AZ$122</f>
        <v>0.97999999999999987</v>
      </c>
      <c r="BA51" s="6">
        <f>'04 Operating Model'!BA$122</f>
        <v>0.97999999999999987</v>
      </c>
      <c r="BB51" s="6">
        <f>'04 Operating Model'!BB$122</f>
        <v>0.97999999999999987</v>
      </c>
      <c r="BC51" s="6">
        <f>'04 Operating Model'!BC$122</f>
        <v>0.97999999999999987</v>
      </c>
      <c r="BD51" s="6">
        <f>'04 Operating Model'!BD$122</f>
        <v>0.97999999999999987</v>
      </c>
      <c r="BE51" s="6">
        <f>'04 Operating Model'!BE$122</f>
        <v>0.97999999999999987</v>
      </c>
      <c r="BF51" s="6">
        <f>'04 Operating Model'!BF$122</f>
        <v>0.97999999999999987</v>
      </c>
      <c r="BG51" s="6">
        <f>'04 Operating Model'!BG$122</f>
        <v>0.97999999999999987</v>
      </c>
      <c r="BH51" s="6">
        <f>'04 Operating Model'!BH$122</f>
        <v>0.97999999999999987</v>
      </c>
      <c r="BI51" s="6">
        <f>'04 Operating Model'!BI$122</f>
        <v>0.98</v>
      </c>
      <c r="BJ51" s="6">
        <f>'04 Operating Model'!BJ$122</f>
        <v>0.98</v>
      </c>
      <c r="BK51" s="6">
        <f>'04 Operating Model'!BK$122</f>
        <v>0.98</v>
      </c>
      <c r="BL51" s="6">
        <f>'04 Operating Model'!BL$122</f>
        <v>0.98</v>
      </c>
      <c r="BM51" s="6">
        <f>'04 Operating Model'!BM$122</f>
        <v>0.98</v>
      </c>
      <c r="BN51" s="6">
        <f>'04 Operating Model'!BN$122</f>
        <v>0.98</v>
      </c>
      <c r="BO51" s="6">
        <f>'04 Operating Model'!BO$122</f>
        <v>0.98</v>
      </c>
    </row>
    <row r="52" spans="1:67">
      <c r="A52" s="11"/>
      <c r="B52" s="11" t="s">
        <v>779</v>
      </c>
      <c r="C52" s="11"/>
      <c r="D52" s="33"/>
      <c r="E52" s="33"/>
      <c r="F52" s="33"/>
      <c r="G52" s="6">
        <f>'04 Operating Model'!G$123</f>
        <v>0</v>
      </c>
      <c r="H52" s="6">
        <f>'04 Operating Model'!H$123</f>
        <v>0</v>
      </c>
      <c r="I52" s="6">
        <f>'04 Operating Model'!I$123</f>
        <v>0</v>
      </c>
      <c r="J52" s="6">
        <f>'04 Operating Model'!J$123</f>
        <v>0</v>
      </c>
      <c r="K52" s="6">
        <f>'04 Operating Model'!K$123</f>
        <v>0</v>
      </c>
      <c r="L52" s="6">
        <f>'04 Operating Model'!L$123</f>
        <v>0</v>
      </c>
      <c r="M52" s="6">
        <f>'04 Operating Model'!M$123</f>
        <v>0</v>
      </c>
      <c r="N52" s="6">
        <f>'04 Operating Model'!N$123</f>
        <v>0</v>
      </c>
      <c r="O52" s="6">
        <f>'04 Operating Model'!O$123</f>
        <v>0</v>
      </c>
      <c r="P52" s="6">
        <f>'04 Operating Model'!P$123</f>
        <v>0</v>
      </c>
      <c r="Q52" s="6">
        <f>'04 Operating Model'!Q$123</f>
        <v>0</v>
      </c>
      <c r="R52" s="6">
        <f>'04 Operating Model'!R$123</f>
        <v>0</v>
      </c>
      <c r="S52" s="6">
        <f>'04 Operating Model'!S$123</f>
        <v>0</v>
      </c>
      <c r="T52" s="6">
        <f>'04 Operating Model'!T$123</f>
        <v>0</v>
      </c>
      <c r="U52" s="6">
        <f>'04 Operating Model'!U$123</f>
        <v>0</v>
      </c>
      <c r="V52" s="6">
        <f>'04 Operating Model'!V$123</f>
        <v>0</v>
      </c>
      <c r="W52" s="6">
        <f>'04 Operating Model'!W$123</f>
        <v>0</v>
      </c>
      <c r="X52" s="6">
        <f>'04 Operating Model'!X$123</f>
        <v>0</v>
      </c>
      <c r="Y52" s="6">
        <f>'04 Operating Model'!Y$123</f>
        <v>0</v>
      </c>
      <c r="Z52" s="6">
        <f>'04 Operating Model'!Z$123</f>
        <v>0</v>
      </c>
      <c r="AA52" s="6">
        <f>'04 Operating Model'!AA$123</f>
        <v>0</v>
      </c>
      <c r="AB52" s="6">
        <f>'04 Operating Model'!AB$123</f>
        <v>0.19999999999999998</v>
      </c>
      <c r="AC52" s="6">
        <f>'04 Operating Model'!AC$123</f>
        <v>0.26499999999999996</v>
      </c>
      <c r="AD52" s="6">
        <f>'04 Operating Model'!AD$123</f>
        <v>0.33</v>
      </c>
      <c r="AE52" s="6">
        <f>'04 Operating Model'!AE$123</f>
        <v>0.39500000000000013</v>
      </c>
      <c r="AF52" s="6">
        <f>'04 Operating Model'!AF$123</f>
        <v>0.46</v>
      </c>
      <c r="AG52" s="6">
        <f>'04 Operating Model'!AG$123</f>
        <v>0.52500000000000002</v>
      </c>
      <c r="AH52" s="6">
        <f>'04 Operating Model'!AH$123</f>
        <v>0.59</v>
      </c>
      <c r="AI52" s="6">
        <f>'04 Operating Model'!AI$123</f>
        <v>0.6549999999999998</v>
      </c>
      <c r="AJ52" s="6">
        <f>'04 Operating Model'!AJ$123</f>
        <v>0.72000000000000008</v>
      </c>
      <c r="AK52" s="6">
        <f>'04 Operating Model'!AK$123</f>
        <v>0.78500000000000003</v>
      </c>
      <c r="AL52" s="6">
        <f>'04 Operating Model'!AL$123</f>
        <v>0.84999999999999987</v>
      </c>
      <c r="AM52" s="6">
        <f>'04 Operating Model'!AM$123</f>
        <v>0.91500000000000004</v>
      </c>
      <c r="AN52" s="6">
        <f>'04 Operating Model'!AN$123</f>
        <v>0.97999999999999987</v>
      </c>
      <c r="AO52" s="6">
        <f>'04 Operating Model'!AO$123</f>
        <v>0.97999999999999987</v>
      </c>
      <c r="AP52" s="6">
        <f>'04 Operating Model'!AP$123</f>
        <v>0.97999999999999987</v>
      </c>
      <c r="AQ52" s="6">
        <f>'04 Operating Model'!AQ$123</f>
        <v>0.97999999999999987</v>
      </c>
      <c r="AR52" s="6">
        <f>'04 Operating Model'!AR$123</f>
        <v>0.97999999999999987</v>
      </c>
      <c r="AS52" s="6">
        <f>'04 Operating Model'!AS$123</f>
        <v>0.97999999999999987</v>
      </c>
      <c r="AT52" s="6">
        <f>'04 Operating Model'!AT$123</f>
        <v>0.97999999999999987</v>
      </c>
      <c r="AU52" s="6">
        <f>'04 Operating Model'!AU$123</f>
        <v>0.97999999999999987</v>
      </c>
      <c r="AV52" s="6">
        <f>'04 Operating Model'!AV$123</f>
        <v>0.97999999999999987</v>
      </c>
      <c r="AW52" s="6">
        <f>'04 Operating Model'!AW$123</f>
        <v>0.97999999999999987</v>
      </c>
      <c r="AX52" s="6">
        <f>'04 Operating Model'!AX$123</f>
        <v>0.97999999999999987</v>
      </c>
      <c r="AY52" s="6">
        <f>'04 Operating Model'!AY$123</f>
        <v>0.97999999999999987</v>
      </c>
      <c r="AZ52" s="6">
        <f>'04 Operating Model'!AZ$123</f>
        <v>0.97999999999999987</v>
      </c>
      <c r="BA52" s="6">
        <f>'04 Operating Model'!BA$123</f>
        <v>0.97999999999999987</v>
      </c>
      <c r="BB52" s="6">
        <f>'04 Operating Model'!BB$123</f>
        <v>0.97999999999999987</v>
      </c>
      <c r="BC52" s="6">
        <f>'04 Operating Model'!BC$123</f>
        <v>0.97999999999999987</v>
      </c>
      <c r="BD52" s="6">
        <f>'04 Operating Model'!BD$123</f>
        <v>0.97999999999999987</v>
      </c>
      <c r="BE52" s="6">
        <f>'04 Operating Model'!BE$123</f>
        <v>0.97999999999999987</v>
      </c>
      <c r="BF52" s="6">
        <f>'04 Operating Model'!BF$123</f>
        <v>0.97999999999999987</v>
      </c>
      <c r="BG52" s="6">
        <f>'04 Operating Model'!BG$123</f>
        <v>0.97999999999999987</v>
      </c>
      <c r="BH52" s="6">
        <f>'04 Operating Model'!BH$123</f>
        <v>0.97999999999999987</v>
      </c>
      <c r="BI52" s="6">
        <f>'04 Operating Model'!BI$123</f>
        <v>0.97999999999999987</v>
      </c>
      <c r="BJ52" s="6">
        <f>'04 Operating Model'!BJ$123</f>
        <v>0.97999999999999987</v>
      </c>
      <c r="BK52" s="6">
        <f>'04 Operating Model'!BK$123</f>
        <v>0.97999999999999987</v>
      </c>
      <c r="BL52" s="6">
        <f>'04 Operating Model'!BL$123</f>
        <v>0.97999999999999987</v>
      </c>
      <c r="BM52" s="6">
        <f>'04 Operating Model'!BM$123</f>
        <v>0.97999999999999987</v>
      </c>
      <c r="BN52" s="6">
        <f>'04 Operating Model'!BN$123</f>
        <v>0.97999999999999987</v>
      </c>
      <c r="BO52" s="6">
        <f>'04 Operating Model'!BO$123</f>
        <v>0.97999999999999987</v>
      </c>
    </row>
    <row r="53" spans="1:67">
      <c r="A53" s="11"/>
      <c r="B53" s="11"/>
      <c r="C53" s="11"/>
      <c r="D53" s="33"/>
      <c r="E53" s="33"/>
      <c r="F53" s="33"/>
      <c r="G53" s="33"/>
      <c r="H53" s="33"/>
      <c r="I53" s="33"/>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3"/>
      <c r="AP53" s="33"/>
      <c r="AQ53" s="33"/>
      <c r="AR53" s="33"/>
      <c r="AS53" s="33"/>
      <c r="AT53" s="33"/>
      <c r="AU53" s="33"/>
      <c r="AV53" s="33"/>
      <c r="AW53" s="33"/>
      <c r="AX53" s="33"/>
      <c r="AY53" s="33"/>
      <c r="AZ53" s="33"/>
      <c r="BA53" s="33"/>
      <c r="BB53" s="33"/>
      <c r="BC53" s="33"/>
      <c r="BD53" s="33"/>
      <c r="BE53" s="33"/>
      <c r="BF53" s="33"/>
      <c r="BG53" s="33"/>
      <c r="BH53" s="33"/>
      <c r="BI53" s="33"/>
      <c r="BJ53" s="33"/>
      <c r="BK53" s="33"/>
      <c r="BL53" s="33"/>
      <c r="BM53" s="33"/>
      <c r="BN53" s="33"/>
      <c r="BO53" s="33"/>
    </row>
    <row r="54" spans="1:67">
      <c r="A54" s="18" t="s">
        <v>832</v>
      </c>
      <c r="B54" s="18"/>
      <c r="C54" s="18"/>
      <c r="D54" s="39"/>
      <c r="E54" s="39"/>
      <c r="F54" s="39"/>
      <c r="G54" s="39"/>
      <c r="H54" s="39"/>
      <c r="I54" s="39"/>
      <c r="J54" s="39"/>
      <c r="K54" s="39"/>
      <c r="L54" s="39"/>
      <c r="M54" s="39"/>
      <c r="N54" s="39"/>
      <c r="O54" s="39"/>
      <c r="P54" s="39"/>
      <c r="Q54" s="39"/>
      <c r="R54" s="39"/>
      <c r="S54" s="39"/>
      <c r="T54" s="39"/>
      <c r="U54" s="39"/>
      <c r="V54" s="39"/>
      <c r="W54" s="39"/>
      <c r="X54" s="39"/>
      <c r="Y54" s="39"/>
      <c r="Z54" s="39"/>
      <c r="AA54" s="39"/>
      <c r="AB54" s="39"/>
      <c r="AC54" s="39"/>
      <c r="AD54" s="39"/>
      <c r="AE54" s="39"/>
      <c r="AF54" s="39"/>
      <c r="AG54" s="39"/>
      <c r="AH54" s="39"/>
      <c r="AI54" s="39"/>
      <c r="AJ54" s="39"/>
      <c r="AK54" s="39"/>
      <c r="AL54" s="39"/>
      <c r="AM54" s="39"/>
      <c r="AN54" s="39"/>
      <c r="AO54" s="39"/>
      <c r="AP54" s="39"/>
      <c r="AQ54" s="39"/>
      <c r="AR54" s="39"/>
      <c r="AS54" s="39"/>
      <c r="AT54" s="39"/>
      <c r="AU54" s="39"/>
      <c r="AV54" s="39"/>
      <c r="AW54" s="39"/>
      <c r="AX54" s="39"/>
      <c r="AY54" s="39"/>
      <c r="AZ54" s="39"/>
      <c r="BA54" s="39"/>
      <c r="BB54" s="39"/>
      <c r="BC54" s="39"/>
      <c r="BD54" s="39"/>
      <c r="BE54" s="39"/>
      <c r="BF54" s="39"/>
      <c r="BG54" s="39"/>
      <c r="BH54" s="39"/>
      <c r="BI54" s="39"/>
      <c r="BJ54" s="39"/>
      <c r="BK54" s="39"/>
      <c r="BL54" s="39"/>
      <c r="BM54" s="39"/>
      <c r="BN54" s="39"/>
      <c r="BO54" s="39"/>
    </row>
    <row r="55" spans="1:67">
      <c r="A55" s="11"/>
      <c r="B55" s="11" t="s">
        <v>833</v>
      </c>
      <c r="C55" s="11"/>
      <c r="D55" s="33"/>
      <c r="E55" s="33"/>
      <c r="F55" s="33"/>
      <c r="G55" s="90">
        <f>(G29-G10)*G46</f>
        <v>0</v>
      </c>
      <c r="H55" s="90">
        <f t="shared" ref="H55:BO55" si="15">(H29-H10)*H46</f>
        <v>0</v>
      </c>
      <c r="I55" s="90">
        <f t="shared" si="15"/>
        <v>0</v>
      </c>
      <c r="J55" s="90">
        <f t="shared" si="15"/>
        <v>0</v>
      </c>
      <c r="K55" s="90">
        <f t="shared" si="15"/>
        <v>0</v>
      </c>
      <c r="L55" s="90">
        <f t="shared" si="15"/>
        <v>0</v>
      </c>
      <c r="M55" s="90">
        <f t="shared" si="15"/>
        <v>0</v>
      </c>
      <c r="N55" s="90">
        <f t="shared" si="15"/>
        <v>0</v>
      </c>
      <c r="O55" s="90">
        <f t="shared" si="15"/>
        <v>0</v>
      </c>
      <c r="P55" s="90">
        <f t="shared" si="15"/>
        <v>0</v>
      </c>
      <c r="Q55" s="90">
        <f t="shared" si="15"/>
        <v>0</v>
      </c>
      <c r="R55" s="90">
        <f t="shared" si="15"/>
        <v>0</v>
      </c>
      <c r="S55" s="90">
        <f t="shared" si="15"/>
        <v>0</v>
      </c>
      <c r="T55" s="90">
        <f t="shared" si="15"/>
        <v>0</v>
      </c>
      <c r="U55" s="90">
        <f t="shared" si="15"/>
        <v>0</v>
      </c>
      <c r="V55" s="90">
        <f t="shared" si="15"/>
        <v>0</v>
      </c>
      <c r="W55" s="90">
        <f t="shared" si="15"/>
        <v>0</v>
      </c>
      <c r="X55" s="90">
        <f t="shared" si="15"/>
        <v>0</v>
      </c>
      <c r="Y55" s="90">
        <f t="shared" si="15"/>
        <v>0</v>
      </c>
      <c r="Z55" s="90">
        <f t="shared" si="15"/>
        <v>0</v>
      </c>
      <c r="AA55" s="90">
        <f t="shared" si="15"/>
        <v>0</v>
      </c>
      <c r="AB55" s="90">
        <f t="shared" si="15"/>
        <v>8910473.4094769806</v>
      </c>
      <c r="AC55" s="90">
        <f t="shared" si="15"/>
        <v>2915072.6664658841</v>
      </c>
      <c r="AD55" s="90">
        <f t="shared" si="15"/>
        <v>3420194.508581589</v>
      </c>
      <c r="AE55" s="90">
        <f t="shared" si="15"/>
        <v>4017498.5380354649</v>
      </c>
      <c r="AF55" s="90">
        <f t="shared" si="15"/>
        <v>4541261.6735400809</v>
      </c>
      <c r="AG55" s="90">
        <f t="shared" si="15"/>
        <v>5066885.1640539765</v>
      </c>
      <c r="AH55" s="90">
        <f t="shared" si="15"/>
        <v>5593728.0610234058</v>
      </c>
      <c r="AI55" s="90">
        <f t="shared" si="15"/>
        <v>6121413.5201388001</v>
      </c>
      <c r="AJ55" s="90">
        <f t="shared" si="15"/>
        <v>6649705.4746793024</v>
      </c>
      <c r="AK55" s="90">
        <f t="shared" si="15"/>
        <v>7178448.5127343629</v>
      </c>
      <c r="AL55" s="90">
        <f t="shared" si="15"/>
        <v>7707536.1421040641</v>
      </c>
      <c r="AM55" s="90">
        <f t="shared" si="15"/>
        <v>8236892.9461699752</v>
      </c>
      <c r="AN55" s="90">
        <f t="shared" si="15"/>
        <v>8766464.0193656832</v>
      </c>
      <c r="AO55" s="90">
        <f t="shared" si="15"/>
        <v>8766464.0193656869</v>
      </c>
      <c r="AP55" s="90">
        <f t="shared" si="15"/>
        <v>8766464.0193656869</v>
      </c>
      <c r="AQ55" s="90">
        <f t="shared" si="15"/>
        <v>8949700.2302255332</v>
      </c>
      <c r="AR55" s="90">
        <f t="shared" si="15"/>
        <v>8949700.2302255332</v>
      </c>
      <c r="AS55" s="90">
        <f t="shared" si="15"/>
        <v>8949700.2302255332</v>
      </c>
      <c r="AT55" s="90">
        <f t="shared" si="15"/>
        <v>8949700.2302255332</v>
      </c>
      <c r="AU55" s="90">
        <f t="shared" si="15"/>
        <v>8949700.2302255332</v>
      </c>
      <c r="AV55" s="90">
        <f t="shared" si="15"/>
        <v>8949700.2302255332</v>
      </c>
      <c r="AW55" s="90">
        <f t="shared" si="15"/>
        <v>8949700.2302255332</v>
      </c>
      <c r="AX55" s="90">
        <f t="shared" si="15"/>
        <v>8949700.2302255332</v>
      </c>
      <c r="AY55" s="90">
        <f t="shared" si="15"/>
        <v>8949700.2302255332</v>
      </c>
      <c r="AZ55" s="90">
        <f t="shared" si="15"/>
        <v>8949700.2302255332</v>
      </c>
      <c r="BA55" s="90">
        <f t="shared" si="15"/>
        <v>8949700.2302255332</v>
      </c>
      <c r="BB55" s="90">
        <f t="shared" si="15"/>
        <v>8949700.2302255332</v>
      </c>
      <c r="BC55" s="90">
        <f t="shared" si="15"/>
        <v>9137245.1713764444</v>
      </c>
      <c r="BD55" s="90">
        <f t="shared" si="15"/>
        <v>9137245.1713764444</v>
      </c>
      <c r="BE55" s="90">
        <f t="shared" si="15"/>
        <v>9137245.1713764444</v>
      </c>
      <c r="BF55" s="90">
        <f t="shared" si="15"/>
        <v>9137245.1713764444</v>
      </c>
      <c r="BG55" s="90">
        <f t="shared" si="15"/>
        <v>9137245.1713764444</v>
      </c>
      <c r="BH55" s="90">
        <f t="shared" si="15"/>
        <v>9137245.1713764444</v>
      </c>
      <c r="BI55" s="90">
        <f t="shared" si="15"/>
        <v>111950588.89456564</v>
      </c>
      <c r="BJ55" s="90">
        <f t="shared" si="15"/>
        <v>114308792.03908598</v>
      </c>
      <c r="BK55" s="90">
        <f t="shared" si="15"/>
        <v>116723048.02066824</v>
      </c>
      <c r="BL55" s="90">
        <f t="shared" si="15"/>
        <v>119194903.00338876</v>
      </c>
      <c r="BM55" s="90">
        <f t="shared" si="15"/>
        <v>121725954.73188263</v>
      </c>
      <c r="BN55" s="90">
        <f t="shared" si="15"/>
        <v>124317854.56421316</v>
      </c>
      <c r="BO55" s="90">
        <f t="shared" si="15"/>
        <v>125223609.6504157</v>
      </c>
    </row>
    <row r="56" spans="1:67">
      <c r="A56" s="11"/>
      <c r="B56" s="11" t="s">
        <v>834</v>
      </c>
      <c r="C56" s="11"/>
      <c r="D56" s="33"/>
      <c r="E56" s="33"/>
      <c r="F56" s="33"/>
      <c r="G56" s="90">
        <f>(G29-G10)*G47+G10</f>
        <v>0</v>
      </c>
      <c r="H56" s="90">
        <f t="shared" ref="H56:BO56" si="16">(H29-H10)*H47+H10</f>
        <v>0</v>
      </c>
      <c r="I56" s="90">
        <f t="shared" si="16"/>
        <v>0</v>
      </c>
      <c r="J56" s="90">
        <f t="shared" si="16"/>
        <v>0</v>
      </c>
      <c r="K56" s="90">
        <f t="shared" si="16"/>
        <v>0</v>
      </c>
      <c r="L56" s="90">
        <f t="shared" si="16"/>
        <v>0</v>
      </c>
      <c r="M56" s="90">
        <f t="shared" si="16"/>
        <v>0</v>
      </c>
      <c r="N56" s="90">
        <f t="shared" si="16"/>
        <v>0</v>
      </c>
      <c r="O56" s="90">
        <f t="shared" si="16"/>
        <v>0</v>
      </c>
      <c r="P56" s="90">
        <f t="shared" si="16"/>
        <v>0</v>
      </c>
      <c r="Q56" s="90">
        <f t="shared" si="16"/>
        <v>0</v>
      </c>
      <c r="R56" s="90">
        <f t="shared" si="16"/>
        <v>0</v>
      </c>
      <c r="S56" s="90">
        <f t="shared" si="16"/>
        <v>0</v>
      </c>
      <c r="T56" s="90">
        <f t="shared" si="16"/>
        <v>0</v>
      </c>
      <c r="U56" s="90">
        <f t="shared" si="16"/>
        <v>0</v>
      </c>
      <c r="V56" s="90">
        <f t="shared" si="16"/>
        <v>0</v>
      </c>
      <c r="W56" s="90">
        <f t="shared" si="16"/>
        <v>0</v>
      </c>
      <c r="X56" s="90">
        <f t="shared" si="16"/>
        <v>0</v>
      </c>
      <c r="Y56" s="90">
        <f t="shared" si="16"/>
        <v>0</v>
      </c>
      <c r="Z56" s="90">
        <f t="shared" si="16"/>
        <v>0</v>
      </c>
      <c r="AA56" s="90">
        <f t="shared" si="16"/>
        <v>0</v>
      </c>
      <c r="AB56" s="90">
        <f t="shared" si="16"/>
        <v>13515116.274426382</v>
      </c>
      <c r="AC56" s="90">
        <f t="shared" si="16"/>
        <v>4679264.9056697497</v>
      </c>
      <c r="AD56" s="90">
        <f t="shared" si="16"/>
        <v>5673384.8007511357</v>
      </c>
      <c r="AE56" s="90">
        <f t="shared" si="16"/>
        <v>6840993.9323089672</v>
      </c>
      <c r="AF56" s="90">
        <f t="shared" si="16"/>
        <v>7848468.8862800496</v>
      </c>
      <c r="AG56" s="90">
        <f t="shared" si="16"/>
        <v>8853933.2329574656</v>
      </c>
      <c r="AH56" s="90">
        <f t="shared" si="16"/>
        <v>9858079.6873502135</v>
      </c>
      <c r="AI56" s="90">
        <f t="shared" si="16"/>
        <v>10861315.529742777</v>
      </c>
      <c r="AJ56" s="90">
        <f t="shared" si="16"/>
        <v>11863895.892875092</v>
      </c>
      <c r="AK56" s="90">
        <f t="shared" si="16"/>
        <v>12865988.74056012</v>
      </c>
      <c r="AL56" s="90">
        <f t="shared" si="16"/>
        <v>13867709.165881088</v>
      </c>
      <c r="AM56" s="90">
        <f t="shared" si="16"/>
        <v>14869138.676508486</v>
      </c>
      <c r="AN56" s="90">
        <f t="shared" si="16"/>
        <v>15870336.612477785</v>
      </c>
      <c r="AO56" s="90">
        <f t="shared" si="16"/>
        <v>15870336.612477789</v>
      </c>
      <c r="AP56" s="90">
        <f t="shared" si="16"/>
        <v>15870336.612477789</v>
      </c>
      <c r="AQ56" s="90">
        <f t="shared" si="16"/>
        <v>16261294.923281612</v>
      </c>
      <c r="AR56" s="90">
        <f t="shared" si="16"/>
        <v>16261294.923281612</v>
      </c>
      <c r="AS56" s="90">
        <f t="shared" si="16"/>
        <v>16261294.923281612</v>
      </c>
      <c r="AT56" s="90">
        <f t="shared" si="16"/>
        <v>16261294.923281612</v>
      </c>
      <c r="AU56" s="90">
        <f t="shared" si="16"/>
        <v>16261294.923281612</v>
      </c>
      <c r="AV56" s="90">
        <f t="shared" si="16"/>
        <v>16261294.923281612</v>
      </c>
      <c r="AW56" s="90">
        <f t="shared" si="16"/>
        <v>16261294.923281612</v>
      </c>
      <c r="AX56" s="90">
        <f t="shared" si="16"/>
        <v>16261294.923281612</v>
      </c>
      <c r="AY56" s="90">
        <f t="shared" si="16"/>
        <v>16261294.923281612</v>
      </c>
      <c r="AZ56" s="90">
        <f t="shared" si="16"/>
        <v>16261294.923281612</v>
      </c>
      <c r="BA56" s="90">
        <f t="shared" si="16"/>
        <v>16261294.923281612</v>
      </c>
      <c r="BB56" s="90">
        <f t="shared" si="16"/>
        <v>16261294.923281612</v>
      </c>
      <c r="BC56" s="90">
        <f t="shared" si="16"/>
        <v>16662389.446028816</v>
      </c>
      <c r="BD56" s="90">
        <f t="shared" si="16"/>
        <v>16662389.446028816</v>
      </c>
      <c r="BE56" s="90">
        <f t="shared" si="16"/>
        <v>16662389.446028816</v>
      </c>
      <c r="BF56" s="90">
        <f t="shared" si="16"/>
        <v>16662389.446028816</v>
      </c>
      <c r="BG56" s="90">
        <f t="shared" si="16"/>
        <v>16662389.446028816</v>
      </c>
      <c r="BH56" s="90">
        <f t="shared" si="16"/>
        <v>16662389.446028816</v>
      </c>
      <c r="BI56" s="90">
        <f t="shared" si="16"/>
        <v>204886954.44662228</v>
      </c>
      <c r="BJ56" s="90">
        <f t="shared" si="16"/>
        <v>209954011.53512347</v>
      </c>
      <c r="BK56" s="90">
        <f t="shared" si="16"/>
        <v>215153595.2007933</v>
      </c>
      <c r="BL56" s="90">
        <f t="shared" si="16"/>
        <v>220489582.14731303</v>
      </c>
      <c r="BM56" s="90">
        <f t="shared" si="16"/>
        <v>225965980.11449829</v>
      </c>
      <c r="BN56" s="90">
        <f t="shared" si="16"/>
        <v>231586933.00790247</v>
      </c>
      <c r="BO56" s="90">
        <f t="shared" si="16"/>
        <v>238769535.29222456</v>
      </c>
    </row>
    <row r="57" spans="1:67">
      <c r="A57" s="11"/>
      <c r="B57" s="11" t="s">
        <v>835</v>
      </c>
      <c r="C57" s="11"/>
      <c r="D57" s="33"/>
      <c r="E57" s="33"/>
      <c r="F57" s="33"/>
      <c r="G57" s="90">
        <f>(G29-G10)*G48</f>
        <v>0</v>
      </c>
      <c r="H57" s="90">
        <f t="shared" ref="H57:BO57" si="17">(H29-H10)*H48</f>
        <v>0</v>
      </c>
      <c r="I57" s="90">
        <f t="shared" si="17"/>
        <v>0</v>
      </c>
      <c r="J57" s="90">
        <f t="shared" si="17"/>
        <v>0</v>
      </c>
      <c r="K57" s="90">
        <f t="shared" si="17"/>
        <v>0</v>
      </c>
      <c r="L57" s="90">
        <f t="shared" si="17"/>
        <v>0</v>
      </c>
      <c r="M57" s="90">
        <f t="shared" si="17"/>
        <v>0</v>
      </c>
      <c r="N57" s="90">
        <f t="shared" si="17"/>
        <v>0</v>
      </c>
      <c r="O57" s="90">
        <f t="shared" si="17"/>
        <v>0</v>
      </c>
      <c r="P57" s="90">
        <f t="shared" si="17"/>
        <v>0</v>
      </c>
      <c r="Q57" s="90">
        <f t="shared" si="17"/>
        <v>0</v>
      </c>
      <c r="R57" s="90">
        <f t="shared" si="17"/>
        <v>0</v>
      </c>
      <c r="S57" s="90">
        <f t="shared" si="17"/>
        <v>0</v>
      </c>
      <c r="T57" s="90">
        <f t="shared" si="17"/>
        <v>0</v>
      </c>
      <c r="U57" s="90">
        <f t="shared" si="17"/>
        <v>0</v>
      </c>
      <c r="V57" s="90">
        <f t="shared" si="17"/>
        <v>0</v>
      </c>
      <c r="W57" s="90">
        <f t="shared" si="17"/>
        <v>0</v>
      </c>
      <c r="X57" s="90">
        <f t="shared" si="17"/>
        <v>0</v>
      </c>
      <c r="Y57" s="90">
        <f t="shared" si="17"/>
        <v>0</v>
      </c>
      <c r="Z57" s="90">
        <f t="shared" si="17"/>
        <v>0</v>
      </c>
      <c r="AA57" s="90">
        <f t="shared" si="17"/>
        <v>0</v>
      </c>
      <c r="AB57" s="90">
        <f t="shared" si="17"/>
        <v>717547.36211186252</v>
      </c>
      <c r="AC57" s="90">
        <f t="shared" si="17"/>
        <v>234746.52872677898</v>
      </c>
      <c r="AD57" s="90">
        <f t="shared" si="17"/>
        <v>275423.25023180211</v>
      </c>
      <c r="AE57" s="90">
        <f t="shared" si="17"/>
        <v>324474.80718049285</v>
      </c>
      <c r="AF57" s="90">
        <f t="shared" si="17"/>
        <v>366776.73729748902</v>
      </c>
      <c r="AG57" s="90">
        <f t="shared" si="17"/>
        <v>409228.91969888768</v>
      </c>
      <c r="AH57" s="90">
        <f t="shared" si="17"/>
        <v>451779.58792941307</v>
      </c>
      <c r="AI57" s="90">
        <f t="shared" si="17"/>
        <v>494398.30601416016</v>
      </c>
      <c r="AJ57" s="90">
        <f t="shared" si="17"/>
        <v>537066.00793406123</v>
      </c>
      <c r="AK57" s="90">
        <f t="shared" si="17"/>
        <v>579770.14178667415</v>
      </c>
      <c r="AL57" s="90">
        <f t="shared" si="17"/>
        <v>622502.10668871156</v>
      </c>
      <c r="AM57" s="90">
        <f t="shared" si="17"/>
        <v>665255.8115881189</v>
      </c>
      <c r="AN57" s="90">
        <f t="shared" si="17"/>
        <v>708026.82201580866</v>
      </c>
      <c r="AO57" s="90">
        <f t="shared" si="17"/>
        <v>708026.8220158089</v>
      </c>
      <c r="AP57" s="90">
        <f t="shared" si="17"/>
        <v>708026.8220158089</v>
      </c>
      <c r="AQ57" s="90">
        <f t="shared" si="17"/>
        <v>724951.9234420032</v>
      </c>
      <c r="AR57" s="90">
        <f t="shared" si="17"/>
        <v>724951.9234420032</v>
      </c>
      <c r="AS57" s="90">
        <f t="shared" si="17"/>
        <v>724951.9234420032</v>
      </c>
      <c r="AT57" s="90">
        <f t="shared" si="17"/>
        <v>724951.9234420032</v>
      </c>
      <c r="AU57" s="90">
        <f t="shared" si="17"/>
        <v>724951.9234420032</v>
      </c>
      <c r="AV57" s="90">
        <f t="shared" si="17"/>
        <v>724951.9234420032</v>
      </c>
      <c r="AW57" s="90">
        <f t="shared" si="17"/>
        <v>724951.9234420032</v>
      </c>
      <c r="AX57" s="90">
        <f t="shared" si="17"/>
        <v>724951.9234420032</v>
      </c>
      <c r="AY57" s="90">
        <f t="shared" si="17"/>
        <v>724951.9234420032</v>
      </c>
      <c r="AZ57" s="90">
        <f t="shared" si="17"/>
        <v>724951.9234420032</v>
      </c>
      <c r="BA57" s="90">
        <f t="shared" si="17"/>
        <v>724951.9234420032</v>
      </c>
      <c r="BB57" s="90">
        <f t="shared" si="17"/>
        <v>724951.9234420032</v>
      </c>
      <c r="BC57" s="90">
        <f t="shared" si="17"/>
        <v>742320.5057871599</v>
      </c>
      <c r="BD57" s="90">
        <f t="shared" si="17"/>
        <v>742320.5057871599</v>
      </c>
      <c r="BE57" s="90">
        <f t="shared" si="17"/>
        <v>742320.5057871599</v>
      </c>
      <c r="BF57" s="90">
        <f t="shared" si="17"/>
        <v>742320.5057871599</v>
      </c>
      <c r="BG57" s="90">
        <f t="shared" si="17"/>
        <v>742320.5057871599</v>
      </c>
      <c r="BH57" s="90">
        <f t="shared" si="17"/>
        <v>742320.5057871599</v>
      </c>
      <c r="BI57" s="90">
        <f t="shared" si="17"/>
        <v>9121747.029533647</v>
      </c>
      <c r="BJ57" s="90">
        <f t="shared" si="17"/>
        <v>9341287.50155738</v>
      </c>
      <c r="BK57" s="90">
        <f t="shared" si="17"/>
        <v>9566634.5773142818</v>
      </c>
      <c r="BL57" s="90">
        <f t="shared" si="17"/>
        <v>9797961.1227123439</v>
      </c>
      <c r="BM57" s="90">
        <f t="shared" si="17"/>
        <v>10035446.010108609</v>
      </c>
      <c r="BN57" s="90">
        <f t="shared" si="17"/>
        <v>10279274.361171409</v>
      </c>
      <c r="BO57" s="90">
        <f t="shared" si="17"/>
        <v>10592312.946768437</v>
      </c>
    </row>
    <row r="58" spans="1:67">
      <c r="A58" s="11"/>
      <c r="B58" s="11"/>
      <c r="C58" s="11"/>
      <c r="D58" s="33"/>
      <c r="E58" s="33"/>
      <c r="F58" s="33"/>
      <c r="G58" s="33"/>
      <c r="H58" s="33"/>
      <c r="I58" s="33"/>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row>
    <row r="59" spans="1:67">
      <c r="A59" s="11"/>
      <c r="B59" s="11" t="s">
        <v>836</v>
      </c>
      <c r="C59" s="11"/>
      <c r="D59" s="33"/>
      <c r="E59" s="33"/>
      <c r="F59" s="33"/>
      <c r="G59" s="90">
        <f>G30*G46*G50</f>
        <v>0</v>
      </c>
      <c r="H59" s="90">
        <f t="shared" ref="H59:BO59" si="18">H30*H46*H50</f>
        <v>0</v>
      </c>
      <c r="I59" s="90">
        <f t="shared" si="18"/>
        <v>0</v>
      </c>
      <c r="J59" s="90">
        <f t="shared" si="18"/>
        <v>0</v>
      </c>
      <c r="K59" s="90">
        <f t="shared" si="18"/>
        <v>0</v>
      </c>
      <c r="L59" s="90">
        <f t="shared" si="18"/>
        <v>0</v>
      </c>
      <c r="M59" s="90">
        <f t="shared" si="18"/>
        <v>0</v>
      </c>
      <c r="N59" s="90">
        <f t="shared" si="18"/>
        <v>0</v>
      </c>
      <c r="O59" s="90">
        <f t="shared" si="18"/>
        <v>0</v>
      </c>
      <c r="P59" s="90">
        <f t="shared" si="18"/>
        <v>0</v>
      </c>
      <c r="Q59" s="90">
        <f t="shared" si="18"/>
        <v>0</v>
      </c>
      <c r="R59" s="90">
        <f t="shared" si="18"/>
        <v>0</v>
      </c>
      <c r="S59" s="90">
        <f t="shared" si="18"/>
        <v>0</v>
      </c>
      <c r="T59" s="90">
        <f t="shared" si="18"/>
        <v>0</v>
      </c>
      <c r="U59" s="90">
        <f t="shared" si="18"/>
        <v>0</v>
      </c>
      <c r="V59" s="90">
        <f t="shared" si="18"/>
        <v>0</v>
      </c>
      <c r="W59" s="90">
        <f t="shared" si="18"/>
        <v>0</v>
      </c>
      <c r="X59" s="90">
        <f t="shared" si="18"/>
        <v>0</v>
      </c>
      <c r="Y59" s="90">
        <f t="shared" si="18"/>
        <v>0</v>
      </c>
      <c r="Z59" s="90">
        <f t="shared" si="18"/>
        <v>0</v>
      </c>
      <c r="AA59" s="90">
        <f t="shared" si="18"/>
        <v>0</v>
      </c>
      <c r="AB59" s="90">
        <f t="shared" si="18"/>
        <v>910872.38181303372</v>
      </c>
      <c r="AC59" s="90">
        <f t="shared" si="18"/>
        <v>1168612.8927474399</v>
      </c>
      <c r="AD59" s="90">
        <f t="shared" si="18"/>
        <v>1428546.8286108051</v>
      </c>
      <c r="AE59" s="90">
        <f t="shared" si="18"/>
        <v>1700904.5374855653</v>
      </c>
      <c r="AF59" s="90">
        <f t="shared" si="18"/>
        <v>1965254.248682321</v>
      </c>
      <c r="AG59" s="90">
        <f t="shared" si="18"/>
        <v>2230489.8553296444</v>
      </c>
      <c r="AH59" s="90">
        <f t="shared" si="18"/>
        <v>2496528.166968687</v>
      </c>
      <c r="AI59" s="90">
        <f t="shared" si="18"/>
        <v>2763320.2719499166</v>
      </c>
      <c r="AJ59" s="90">
        <f t="shared" si="18"/>
        <v>3030835.5305305449</v>
      </c>
      <c r="AK59" s="90">
        <f t="shared" si="18"/>
        <v>3299053.7713753311</v>
      </c>
      <c r="AL59" s="90">
        <f t="shared" si="18"/>
        <v>3567961.1725715441</v>
      </c>
      <c r="AM59" s="90">
        <f t="shared" si="18"/>
        <v>3837547.9455908304</v>
      </c>
      <c r="AN59" s="90">
        <f t="shared" si="18"/>
        <v>4107806.9640901522</v>
      </c>
      <c r="AO59" s="90">
        <f t="shared" si="18"/>
        <v>4112787.0334131061</v>
      </c>
      <c r="AP59" s="90">
        <f t="shared" si="18"/>
        <v>4117767.1027360591</v>
      </c>
      <c r="AQ59" s="90">
        <f t="shared" si="18"/>
        <v>4153066.1231528576</v>
      </c>
      <c r="AR59" s="90">
        <f t="shared" si="18"/>
        <v>4158050.0410941355</v>
      </c>
      <c r="AS59" s="90">
        <f t="shared" si="18"/>
        <v>4163033.9590354143</v>
      </c>
      <c r="AT59" s="90">
        <f t="shared" si="18"/>
        <v>4168017.8769766926</v>
      </c>
      <c r="AU59" s="90">
        <f t="shared" si="18"/>
        <v>4173001.7949179714</v>
      </c>
      <c r="AV59" s="90">
        <f t="shared" si="18"/>
        <v>4177985.7128592511</v>
      </c>
      <c r="AW59" s="90">
        <f t="shared" si="18"/>
        <v>4182969.6308005289</v>
      </c>
      <c r="AX59" s="90">
        <f t="shared" si="18"/>
        <v>4187953.5487418077</v>
      </c>
      <c r="AY59" s="90">
        <f t="shared" si="18"/>
        <v>4192937.4666830869</v>
      </c>
      <c r="AZ59" s="90">
        <f t="shared" si="18"/>
        <v>4197921.3846243657</v>
      </c>
      <c r="BA59" s="90">
        <f t="shared" si="18"/>
        <v>4202905.3025656445</v>
      </c>
      <c r="BB59" s="90">
        <f t="shared" si="18"/>
        <v>4207889.2205069223</v>
      </c>
      <c r="BC59" s="90">
        <f t="shared" si="18"/>
        <v>4244760.2625050824</v>
      </c>
      <c r="BD59" s="90">
        <f t="shared" si="18"/>
        <v>4249748.1932218587</v>
      </c>
      <c r="BE59" s="90">
        <f t="shared" si="18"/>
        <v>4254736.1239386341</v>
      </c>
      <c r="BF59" s="90">
        <f t="shared" si="18"/>
        <v>4259724.0546554103</v>
      </c>
      <c r="BG59" s="90">
        <f t="shared" si="18"/>
        <v>4264711.9853721857</v>
      </c>
      <c r="BH59" s="90">
        <f t="shared" si="18"/>
        <v>4269699.916088962</v>
      </c>
      <c r="BI59" s="90">
        <f t="shared" si="18"/>
        <v>52483614.124274537</v>
      </c>
      <c r="BJ59" s="90">
        <f t="shared" si="18"/>
        <v>53625343.302928366</v>
      </c>
      <c r="BK59" s="90">
        <f t="shared" si="18"/>
        <v>54186200.338886142</v>
      </c>
      <c r="BL59" s="90">
        <f t="shared" si="18"/>
        <v>55174097.682302788</v>
      </c>
      <c r="BM59" s="90">
        <f t="shared" si="18"/>
        <v>56387207.675985985</v>
      </c>
      <c r="BN59" s="90">
        <f t="shared" si="18"/>
        <v>57759291.982453436</v>
      </c>
      <c r="BO59" s="90">
        <f t="shared" si="18"/>
        <v>58253423.281450234</v>
      </c>
    </row>
    <row r="60" spans="1:67">
      <c r="A60" s="11"/>
      <c r="B60" s="11" t="s">
        <v>837</v>
      </c>
      <c r="C60" s="11"/>
      <c r="D60" s="33"/>
      <c r="E60" s="33"/>
      <c r="F60" s="33"/>
      <c r="G60" s="90">
        <f>G30*G47*G51</f>
        <v>0</v>
      </c>
      <c r="H60" s="90">
        <f t="shared" ref="H60:BO60" si="19">H30*H47*H51</f>
        <v>0</v>
      </c>
      <c r="I60" s="90">
        <f t="shared" si="19"/>
        <v>0</v>
      </c>
      <c r="J60" s="90">
        <f t="shared" si="19"/>
        <v>0</v>
      </c>
      <c r="K60" s="90">
        <f t="shared" si="19"/>
        <v>0</v>
      </c>
      <c r="L60" s="90">
        <f t="shared" si="19"/>
        <v>0</v>
      </c>
      <c r="M60" s="90">
        <f t="shared" si="19"/>
        <v>0</v>
      </c>
      <c r="N60" s="90">
        <f t="shared" si="19"/>
        <v>0</v>
      </c>
      <c r="O60" s="90">
        <f t="shared" si="19"/>
        <v>0</v>
      </c>
      <c r="P60" s="90">
        <f t="shared" si="19"/>
        <v>0</v>
      </c>
      <c r="Q60" s="90">
        <f t="shared" si="19"/>
        <v>0</v>
      </c>
      <c r="R60" s="90">
        <f t="shared" si="19"/>
        <v>0</v>
      </c>
      <c r="S60" s="90">
        <f t="shared" si="19"/>
        <v>0</v>
      </c>
      <c r="T60" s="90">
        <f t="shared" si="19"/>
        <v>0</v>
      </c>
      <c r="U60" s="90">
        <f t="shared" si="19"/>
        <v>0</v>
      </c>
      <c r="V60" s="90">
        <f t="shared" si="19"/>
        <v>0</v>
      </c>
      <c r="W60" s="90">
        <f t="shared" si="19"/>
        <v>0</v>
      </c>
      <c r="X60" s="90">
        <f t="shared" si="19"/>
        <v>0</v>
      </c>
      <c r="Y60" s="90">
        <f t="shared" si="19"/>
        <v>0</v>
      </c>
      <c r="Z60" s="90">
        <f t="shared" si="19"/>
        <v>0</v>
      </c>
      <c r="AA60" s="90">
        <f t="shared" si="19"/>
        <v>0</v>
      </c>
      <c r="AB60" s="90">
        <f t="shared" si="19"/>
        <v>1381581.6046623997</v>
      </c>
      <c r="AC60" s="90">
        <f t="shared" si="19"/>
        <v>1875853.5113897473</v>
      </c>
      <c r="AD60" s="90">
        <f t="shared" si="19"/>
        <v>2369659.3407966527</v>
      </c>
      <c r="AE60" s="90">
        <f t="shared" si="19"/>
        <v>2896299.1548630223</v>
      </c>
      <c r="AF60" s="90">
        <f t="shared" si="19"/>
        <v>3396465.1088667852</v>
      </c>
      <c r="AG60" s="90">
        <f t="shared" si="19"/>
        <v>3897583.5481688557</v>
      </c>
      <c r="AH60" s="90">
        <f t="shared" si="19"/>
        <v>4399744.3821373312</v>
      </c>
      <c r="AI60" s="90">
        <f t="shared" si="19"/>
        <v>4903000.4727898408</v>
      </c>
      <c r="AJ60" s="90">
        <f t="shared" si="19"/>
        <v>5407384.9344997294</v>
      </c>
      <c r="AK60" s="90">
        <f t="shared" si="19"/>
        <v>5912919.5677478425</v>
      </c>
      <c r="AL60" s="90">
        <f t="shared" si="19"/>
        <v>6419619.3107789885</v>
      </c>
      <c r="AM60" s="90">
        <f t="shared" si="19"/>
        <v>6927494.7426957609</v>
      </c>
      <c r="AN60" s="90">
        <f t="shared" si="19"/>
        <v>7436553.5654030172</v>
      </c>
      <c r="AO60" s="90">
        <f t="shared" si="19"/>
        <v>7445569.2159930561</v>
      </c>
      <c r="AP60" s="90">
        <f t="shared" si="19"/>
        <v>7454584.8665830959</v>
      </c>
      <c r="AQ60" s="90">
        <f t="shared" si="19"/>
        <v>7545977.1084172418</v>
      </c>
      <c r="AR60" s="90">
        <f t="shared" si="19"/>
        <v>7555032.7144634482</v>
      </c>
      <c r="AS60" s="90">
        <f t="shared" si="19"/>
        <v>7564088.3205096535</v>
      </c>
      <c r="AT60" s="90">
        <f t="shared" si="19"/>
        <v>7573143.9265558599</v>
      </c>
      <c r="AU60" s="90">
        <f t="shared" si="19"/>
        <v>7582199.5326020671</v>
      </c>
      <c r="AV60" s="90">
        <f t="shared" si="19"/>
        <v>7591255.1386482744</v>
      </c>
      <c r="AW60" s="90">
        <f t="shared" si="19"/>
        <v>7600310.7446944797</v>
      </c>
      <c r="AX60" s="90">
        <f t="shared" si="19"/>
        <v>7609366.3507406879</v>
      </c>
      <c r="AY60" s="90">
        <f t="shared" si="19"/>
        <v>7618421.9567868942</v>
      </c>
      <c r="AZ60" s="90">
        <f t="shared" si="19"/>
        <v>7627477.5628331006</v>
      </c>
      <c r="BA60" s="90">
        <f t="shared" si="19"/>
        <v>7636533.1688793087</v>
      </c>
      <c r="BB60" s="90">
        <f t="shared" si="19"/>
        <v>7645588.7749255141</v>
      </c>
      <c r="BC60" s="90">
        <f t="shared" si="19"/>
        <v>7740609.6993490933</v>
      </c>
      <c r="BD60" s="90">
        <f t="shared" si="19"/>
        <v>7749705.5310329245</v>
      </c>
      <c r="BE60" s="90">
        <f t="shared" si="19"/>
        <v>7758801.3627167549</v>
      </c>
      <c r="BF60" s="90">
        <f t="shared" si="19"/>
        <v>7767897.1944005843</v>
      </c>
      <c r="BG60" s="90">
        <f t="shared" si="19"/>
        <v>7776993.0260844128</v>
      </c>
      <c r="BH60" s="90">
        <f t="shared" si="19"/>
        <v>7786088.8577682432</v>
      </c>
      <c r="BI60" s="90">
        <f t="shared" si="19"/>
        <v>96053160.259850383</v>
      </c>
      <c r="BJ60" s="90">
        <f t="shared" si="19"/>
        <v>98495100.381676704</v>
      </c>
      <c r="BK60" s="90">
        <f t="shared" si="19"/>
        <v>99880494.991164416</v>
      </c>
      <c r="BL60" s="90">
        <f t="shared" si="19"/>
        <v>102062365.39309159</v>
      </c>
      <c r="BM60" s="90">
        <f t="shared" si="19"/>
        <v>104674394.84445989</v>
      </c>
      <c r="BN60" s="90">
        <f t="shared" si="19"/>
        <v>107597555.71566063</v>
      </c>
      <c r="BO60" s="90">
        <f t="shared" si="19"/>
        <v>111074443.90816563</v>
      </c>
    </row>
    <row r="61" spans="1:67">
      <c r="A61" s="11"/>
      <c r="B61" s="11" t="s">
        <v>838</v>
      </c>
      <c r="C61" s="11"/>
      <c r="D61" s="33"/>
      <c r="E61" s="33"/>
      <c r="F61" s="33"/>
      <c r="G61" s="90">
        <f>G30*G48*G52</f>
        <v>0</v>
      </c>
      <c r="H61" s="90">
        <f t="shared" ref="H61:BO61" si="20">H30*H48*H52</f>
        <v>0</v>
      </c>
      <c r="I61" s="90">
        <f t="shared" si="20"/>
        <v>0</v>
      </c>
      <c r="J61" s="90">
        <f t="shared" si="20"/>
        <v>0</v>
      </c>
      <c r="K61" s="90">
        <f t="shared" si="20"/>
        <v>0</v>
      </c>
      <c r="L61" s="90">
        <f t="shared" si="20"/>
        <v>0</v>
      </c>
      <c r="M61" s="90">
        <f t="shared" si="20"/>
        <v>0</v>
      </c>
      <c r="N61" s="90">
        <f t="shared" si="20"/>
        <v>0</v>
      </c>
      <c r="O61" s="90">
        <f t="shared" si="20"/>
        <v>0</v>
      </c>
      <c r="P61" s="90">
        <f t="shared" si="20"/>
        <v>0</v>
      </c>
      <c r="Q61" s="90">
        <f t="shared" si="20"/>
        <v>0</v>
      </c>
      <c r="R61" s="90">
        <f t="shared" si="20"/>
        <v>0</v>
      </c>
      <c r="S61" s="90">
        <f t="shared" si="20"/>
        <v>0</v>
      </c>
      <c r="T61" s="90">
        <f t="shared" si="20"/>
        <v>0</v>
      </c>
      <c r="U61" s="90">
        <f t="shared" si="20"/>
        <v>0</v>
      </c>
      <c r="V61" s="90">
        <f t="shared" si="20"/>
        <v>0</v>
      </c>
      <c r="W61" s="90">
        <f t="shared" si="20"/>
        <v>0</v>
      </c>
      <c r="X61" s="90">
        <f t="shared" si="20"/>
        <v>0</v>
      </c>
      <c r="Y61" s="90">
        <f t="shared" si="20"/>
        <v>0</v>
      </c>
      <c r="Z61" s="90">
        <f t="shared" si="20"/>
        <v>0</v>
      </c>
      <c r="AA61" s="90">
        <f t="shared" si="20"/>
        <v>0</v>
      </c>
      <c r="AB61" s="90">
        <f t="shared" si="20"/>
        <v>73351.217691233265</v>
      </c>
      <c r="AC61" s="90">
        <f t="shared" si="20"/>
        <v>94106.683223922897</v>
      </c>
      <c r="AD61" s="90">
        <f t="shared" si="20"/>
        <v>115038.78205087621</v>
      </c>
      <c r="AE61" s="90">
        <f t="shared" si="20"/>
        <v>137374.20601599786</v>
      </c>
      <c r="AF61" s="90">
        <f t="shared" si="20"/>
        <v>158724.51162450458</v>
      </c>
      <c r="AG61" s="90">
        <f t="shared" si="20"/>
        <v>180146.36691816588</v>
      </c>
      <c r="AH61" s="90">
        <f t="shared" si="20"/>
        <v>201633.05298773033</v>
      </c>
      <c r="AI61" s="90">
        <f t="shared" si="20"/>
        <v>223180.61946510183</v>
      </c>
      <c r="AJ61" s="90">
        <f t="shared" si="20"/>
        <v>244786.59171972645</v>
      </c>
      <c r="AK61" s="90">
        <f t="shared" si="20"/>
        <v>266449.34060599242</v>
      </c>
      <c r="AL61" s="90">
        <f t="shared" si="20"/>
        <v>288167.74979182752</v>
      </c>
      <c r="AM61" s="90">
        <f t="shared" si="20"/>
        <v>309941.02870299265</v>
      </c>
      <c r="AN61" s="90">
        <f t="shared" si="20"/>
        <v>331768.60177766444</v>
      </c>
      <c r="AO61" s="90">
        <f t="shared" si="20"/>
        <v>332170.81898272678</v>
      </c>
      <c r="AP61" s="90">
        <f t="shared" si="20"/>
        <v>332573.03618778923</v>
      </c>
      <c r="AQ61" s="90">
        <f t="shared" si="20"/>
        <v>336410.51618615107</v>
      </c>
      <c r="AR61" s="90">
        <f t="shared" si="20"/>
        <v>336814.22813234612</v>
      </c>
      <c r="AS61" s="90">
        <f t="shared" si="20"/>
        <v>337217.94007854117</v>
      </c>
      <c r="AT61" s="90">
        <f t="shared" si="20"/>
        <v>337621.65202473628</v>
      </c>
      <c r="AU61" s="90">
        <f t="shared" si="20"/>
        <v>338025.36397093139</v>
      </c>
      <c r="AV61" s="90">
        <f t="shared" si="20"/>
        <v>338429.07591712655</v>
      </c>
      <c r="AW61" s="90">
        <f t="shared" si="20"/>
        <v>338832.7878633216</v>
      </c>
      <c r="AX61" s="90">
        <f t="shared" si="20"/>
        <v>339236.49980951677</v>
      </c>
      <c r="AY61" s="90">
        <f t="shared" si="20"/>
        <v>339640.21175571182</v>
      </c>
      <c r="AZ61" s="90">
        <f t="shared" si="20"/>
        <v>340043.92370190698</v>
      </c>
      <c r="BA61" s="90">
        <f t="shared" si="20"/>
        <v>340447.63564810209</v>
      </c>
      <c r="BB61" s="90">
        <f t="shared" si="20"/>
        <v>340851.34759429714</v>
      </c>
      <c r="BC61" s="90">
        <f t="shared" si="20"/>
        <v>344849.29821942648</v>
      </c>
      <c r="BD61" s="90">
        <f t="shared" si="20"/>
        <v>345254.52355628263</v>
      </c>
      <c r="BE61" s="90">
        <f t="shared" si="20"/>
        <v>345659.74889313884</v>
      </c>
      <c r="BF61" s="90">
        <f t="shared" si="20"/>
        <v>346064.97422999499</v>
      </c>
      <c r="BG61" s="90">
        <f t="shared" si="20"/>
        <v>346470.19956685108</v>
      </c>
      <c r="BH61" s="90">
        <f t="shared" si="20"/>
        <v>346875.42490370729</v>
      </c>
      <c r="BI61" s="90">
        <f t="shared" si="20"/>
        <v>4276370.9951375769</v>
      </c>
      <c r="BJ61" s="90">
        <f t="shared" si="20"/>
        <v>4382250.3958495501</v>
      </c>
      <c r="BK61" s="90">
        <f t="shared" si="20"/>
        <v>4441107.2754326733</v>
      </c>
      <c r="BL61" s="90">
        <f t="shared" si="20"/>
        <v>4535375.678409392</v>
      </c>
      <c r="BM61" s="90">
        <f t="shared" si="20"/>
        <v>4648727.3773251036</v>
      </c>
      <c r="BN61" s="90">
        <f t="shared" si="20"/>
        <v>4775851.4758471353</v>
      </c>
      <c r="BO61" s="90">
        <f t="shared" si="20"/>
        <v>4927493.2366209654</v>
      </c>
    </row>
    <row r="62" spans="1:67">
      <c r="A62" s="11"/>
      <c r="B62" s="11" t="s">
        <v>839</v>
      </c>
      <c r="C62" s="11"/>
      <c r="D62" s="33"/>
      <c r="E62" s="33"/>
      <c r="F62" s="33"/>
      <c r="G62" s="90">
        <f>G55+G59</f>
        <v>0</v>
      </c>
      <c r="H62" s="90">
        <f t="shared" ref="H62:BO62" si="21">H55+H59</f>
        <v>0</v>
      </c>
      <c r="I62" s="90">
        <f t="shared" si="21"/>
        <v>0</v>
      </c>
      <c r="J62" s="90">
        <f t="shared" si="21"/>
        <v>0</v>
      </c>
      <c r="K62" s="90">
        <f t="shared" si="21"/>
        <v>0</v>
      </c>
      <c r="L62" s="90">
        <f t="shared" si="21"/>
        <v>0</v>
      </c>
      <c r="M62" s="90">
        <f t="shared" si="21"/>
        <v>0</v>
      </c>
      <c r="N62" s="90">
        <f t="shared" si="21"/>
        <v>0</v>
      </c>
      <c r="O62" s="90">
        <f t="shared" si="21"/>
        <v>0</v>
      </c>
      <c r="P62" s="90">
        <f t="shared" si="21"/>
        <v>0</v>
      </c>
      <c r="Q62" s="90">
        <f t="shared" si="21"/>
        <v>0</v>
      </c>
      <c r="R62" s="90">
        <f t="shared" si="21"/>
        <v>0</v>
      </c>
      <c r="S62" s="90">
        <f t="shared" si="21"/>
        <v>0</v>
      </c>
      <c r="T62" s="90">
        <f t="shared" si="21"/>
        <v>0</v>
      </c>
      <c r="U62" s="90">
        <f t="shared" si="21"/>
        <v>0</v>
      </c>
      <c r="V62" s="90">
        <f t="shared" si="21"/>
        <v>0</v>
      </c>
      <c r="W62" s="90">
        <f t="shared" si="21"/>
        <v>0</v>
      </c>
      <c r="X62" s="90">
        <f t="shared" si="21"/>
        <v>0</v>
      </c>
      <c r="Y62" s="90">
        <f t="shared" si="21"/>
        <v>0</v>
      </c>
      <c r="Z62" s="90">
        <f t="shared" si="21"/>
        <v>0</v>
      </c>
      <c r="AA62" s="90">
        <f t="shared" si="21"/>
        <v>0</v>
      </c>
      <c r="AB62" s="90">
        <f t="shared" si="21"/>
        <v>9821345.791290015</v>
      </c>
      <c r="AC62" s="90">
        <f t="shared" si="21"/>
        <v>4083685.559213324</v>
      </c>
      <c r="AD62" s="90">
        <f t="shared" si="21"/>
        <v>4848741.3371923938</v>
      </c>
      <c r="AE62" s="90">
        <f t="shared" si="21"/>
        <v>5718403.0755210305</v>
      </c>
      <c r="AF62" s="90">
        <f t="shared" si="21"/>
        <v>6506515.9222224019</v>
      </c>
      <c r="AG62" s="90">
        <f t="shared" si="21"/>
        <v>7297375.0193836205</v>
      </c>
      <c r="AH62" s="90">
        <f t="shared" si="21"/>
        <v>8090256.2279920932</v>
      </c>
      <c r="AI62" s="90">
        <f t="shared" si="21"/>
        <v>8884733.7920887172</v>
      </c>
      <c r="AJ62" s="90">
        <f t="shared" si="21"/>
        <v>9680541.0052098483</v>
      </c>
      <c r="AK62" s="90">
        <f t="shared" si="21"/>
        <v>10477502.284109693</v>
      </c>
      <c r="AL62" s="90">
        <f t="shared" si="21"/>
        <v>11275497.314675609</v>
      </c>
      <c r="AM62" s="90">
        <f t="shared" si="21"/>
        <v>12074440.891760806</v>
      </c>
      <c r="AN62" s="90">
        <f t="shared" si="21"/>
        <v>12874270.983455835</v>
      </c>
      <c r="AO62" s="90">
        <f t="shared" si="21"/>
        <v>12879251.052778793</v>
      </c>
      <c r="AP62" s="90">
        <f t="shared" si="21"/>
        <v>12884231.122101746</v>
      </c>
      <c r="AQ62" s="90">
        <f t="shared" si="21"/>
        <v>13102766.353378391</v>
      </c>
      <c r="AR62" s="90">
        <f t="shared" si="21"/>
        <v>13107750.271319669</v>
      </c>
      <c r="AS62" s="90">
        <f t="shared" si="21"/>
        <v>13112734.189260948</v>
      </c>
      <c r="AT62" s="90">
        <f t="shared" si="21"/>
        <v>13117718.107202226</v>
      </c>
      <c r="AU62" s="90">
        <f t="shared" si="21"/>
        <v>13122702.025143504</v>
      </c>
      <c r="AV62" s="90">
        <f t="shared" si="21"/>
        <v>13127685.943084784</v>
      </c>
      <c r="AW62" s="90">
        <f t="shared" si="21"/>
        <v>13132669.861026062</v>
      </c>
      <c r="AX62" s="90">
        <f t="shared" si="21"/>
        <v>13137653.778967341</v>
      </c>
      <c r="AY62" s="90">
        <f t="shared" si="21"/>
        <v>13142637.696908619</v>
      </c>
      <c r="AZ62" s="90">
        <f t="shared" si="21"/>
        <v>13147621.614849899</v>
      </c>
      <c r="BA62" s="90">
        <f t="shared" si="21"/>
        <v>13152605.532791179</v>
      </c>
      <c r="BB62" s="90">
        <f t="shared" si="21"/>
        <v>13157589.450732455</v>
      </c>
      <c r="BC62" s="90">
        <f t="shared" si="21"/>
        <v>13382005.433881527</v>
      </c>
      <c r="BD62" s="90">
        <f t="shared" si="21"/>
        <v>13386993.364598304</v>
      </c>
      <c r="BE62" s="90">
        <f t="shared" si="21"/>
        <v>13391981.295315079</v>
      </c>
      <c r="BF62" s="90">
        <f t="shared" si="21"/>
        <v>13396969.226031855</v>
      </c>
      <c r="BG62" s="90">
        <f t="shared" si="21"/>
        <v>13401957.15674863</v>
      </c>
      <c r="BH62" s="90">
        <f t="shared" si="21"/>
        <v>13406945.087465405</v>
      </c>
      <c r="BI62" s="90">
        <f t="shared" si="21"/>
        <v>164434203.01884019</v>
      </c>
      <c r="BJ62" s="90">
        <f t="shared" si="21"/>
        <v>167934135.34201434</v>
      </c>
      <c r="BK62" s="90">
        <f t="shared" si="21"/>
        <v>170909248.35955438</v>
      </c>
      <c r="BL62" s="90">
        <f t="shared" si="21"/>
        <v>174369000.68569154</v>
      </c>
      <c r="BM62" s="90">
        <f t="shared" si="21"/>
        <v>178113162.40786862</v>
      </c>
      <c r="BN62" s="90">
        <f t="shared" si="21"/>
        <v>182077146.54666659</v>
      </c>
      <c r="BO62" s="90">
        <f t="shared" si="21"/>
        <v>183477032.93186593</v>
      </c>
    </row>
    <row r="63" spans="1:67">
      <c r="A63" s="11"/>
      <c r="B63" s="11" t="s">
        <v>840</v>
      </c>
      <c r="C63" s="11"/>
      <c r="D63" s="33"/>
      <c r="E63" s="33"/>
      <c r="F63" s="33"/>
      <c r="G63" s="90">
        <f>G56+G60</f>
        <v>0</v>
      </c>
      <c r="H63" s="90">
        <f t="shared" ref="H63:BO63" si="22">H56+H60</f>
        <v>0</v>
      </c>
      <c r="I63" s="90">
        <f t="shared" si="22"/>
        <v>0</v>
      </c>
      <c r="J63" s="90">
        <f t="shared" si="22"/>
        <v>0</v>
      </c>
      <c r="K63" s="90">
        <f t="shared" si="22"/>
        <v>0</v>
      </c>
      <c r="L63" s="90">
        <f t="shared" si="22"/>
        <v>0</v>
      </c>
      <c r="M63" s="90">
        <f t="shared" si="22"/>
        <v>0</v>
      </c>
      <c r="N63" s="90">
        <f t="shared" si="22"/>
        <v>0</v>
      </c>
      <c r="O63" s="90">
        <f t="shared" si="22"/>
        <v>0</v>
      </c>
      <c r="P63" s="90">
        <f t="shared" si="22"/>
        <v>0</v>
      </c>
      <c r="Q63" s="90">
        <f t="shared" si="22"/>
        <v>0</v>
      </c>
      <c r="R63" s="90">
        <f t="shared" si="22"/>
        <v>0</v>
      </c>
      <c r="S63" s="90">
        <f t="shared" si="22"/>
        <v>0</v>
      </c>
      <c r="T63" s="90">
        <f t="shared" si="22"/>
        <v>0</v>
      </c>
      <c r="U63" s="90">
        <f t="shared" si="22"/>
        <v>0</v>
      </c>
      <c r="V63" s="90">
        <f t="shared" si="22"/>
        <v>0</v>
      </c>
      <c r="W63" s="90">
        <f t="shared" si="22"/>
        <v>0</v>
      </c>
      <c r="X63" s="90">
        <f t="shared" si="22"/>
        <v>0</v>
      </c>
      <c r="Y63" s="90">
        <f t="shared" si="22"/>
        <v>0</v>
      </c>
      <c r="Z63" s="90">
        <f t="shared" si="22"/>
        <v>0</v>
      </c>
      <c r="AA63" s="90">
        <f t="shared" si="22"/>
        <v>0</v>
      </c>
      <c r="AB63" s="90">
        <f t="shared" si="22"/>
        <v>14896697.879088782</v>
      </c>
      <c r="AC63" s="90">
        <f t="shared" si="22"/>
        <v>6555118.417059497</v>
      </c>
      <c r="AD63" s="90">
        <f t="shared" si="22"/>
        <v>8043044.1415477879</v>
      </c>
      <c r="AE63" s="90">
        <f t="shared" si="22"/>
        <v>9737293.0871719904</v>
      </c>
      <c r="AF63" s="90">
        <f t="shared" si="22"/>
        <v>11244933.995146835</v>
      </c>
      <c r="AG63" s="90">
        <f t="shared" si="22"/>
        <v>12751516.78112632</v>
      </c>
      <c r="AH63" s="90">
        <f t="shared" si="22"/>
        <v>14257824.069487546</v>
      </c>
      <c r="AI63" s="90">
        <f t="shared" si="22"/>
        <v>15764316.002532618</v>
      </c>
      <c r="AJ63" s="90">
        <f t="shared" si="22"/>
        <v>17271280.827374823</v>
      </c>
      <c r="AK63" s="90">
        <f t="shared" si="22"/>
        <v>18778908.308307961</v>
      </c>
      <c r="AL63" s="90">
        <f t="shared" si="22"/>
        <v>20287328.476660077</v>
      </c>
      <c r="AM63" s="90">
        <f t="shared" si="22"/>
        <v>21796633.419204246</v>
      </c>
      <c r="AN63" s="90">
        <f t="shared" si="22"/>
        <v>23306890.177880801</v>
      </c>
      <c r="AO63" s="90">
        <f t="shared" si="22"/>
        <v>23315905.828470845</v>
      </c>
      <c r="AP63" s="90">
        <f t="shared" si="22"/>
        <v>23324921.479060885</v>
      </c>
      <c r="AQ63" s="90">
        <f t="shared" si="22"/>
        <v>23807272.031698853</v>
      </c>
      <c r="AR63" s="90">
        <f t="shared" si="22"/>
        <v>23816327.63774506</v>
      </c>
      <c r="AS63" s="90">
        <f t="shared" si="22"/>
        <v>23825383.243791267</v>
      </c>
      <c r="AT63" s="90">
        <f t="shared" si="22"/>
        <v>23834438.849837471</v>
      </c>
      <c r="AU63" s="90">
        <f t="shared" si="22"/>
        <v>23843494.455883678</v>
      </c>
      <c r="AV63" s="90">
        <f t="shared" si="22"/>
        <v>23852550.061929885</v>
      </c>
      <c r="AW63" s="90">
        <f t="shared" si="22"/>
        <v>23861605.667976093</v>
      </c>
      <c r="AX63" s="90">
        <f t="shared" si="22"/>
        <v>23870661.2740223</v>
      </c>
      <c r="AY63" s="90">
        <f t="shared" si="22"/>
        <v>23879716.880068507</v>
      </c>
      <c r="AZ63" s="90">
        <f t="shared" si="22"/>
        <v>23888772.486114711</v>
      </c>
      <c r="BA63" s="90">
        <f t="shared" si="22"/>
        <v>23897828.092160922</v>
      </c>
      <c r="BB63" s="90">
        <f t="shared" si="22"/>
        <v>23906883.698207125</v>
      </c>
      <c r="BC63" s="90">
        <f t="shared" si="22"/>
        <v>24402999.145377908</v>
      </c>
      <c r="BD63" s="90">
        <f t="shared" si="22"/>
        <v>24412094.977061741</v>
      </c>
      <c r="BE63" s="90">
        <f t="shared" si="22"/>
        <v>24421190.80874557</v>
      </c>
      <c r="BF63" s="90">
        <f t="shared" si="22"/>
        <v>24430286.6404294</v>
      </c>
      <c r="BG63" s="90">
        <f t="shared" si="22"/>
        <v>24439382.472113229</v>
      </c>
      <c r="BH63" s="90">
        <f t="shared" si="22"/>
        <v>24448478.303797059</v>
      </c>
      <c r="BI63" s="90">
        <f t="shared" si="22"/>
        <v>300940114.70647264</v>
      </c>
      <c r="BJ63" s="90">
        <f t="shared" si="22"/>
        <v>308449111.91680014</v>
      </c>
      <c r="BK63" s="90">
        <f t="shared" si="22"/>
        <v>315034090.19195771</v>
      </c>
      <c r="BL63" s="90">
        <f t="shared" si="22"/>
        <v>322551947.54040462</v>
      </c>
      <c r="BM63" s="90">
        <f t="shared" si="22"/>
        <v>330640374.95895815</v>
      </c>
      <c r="BN63" s="90">
        <f t="shared" si="22"/>
        <v>339184488.72356308</v>
      </c>
      <c r="BO63" s="90">
        <f t="shared" si="22"/>
        <v>349843979.20039022</v>
      </c>
    </row>
    <row r="64" spans="1:67">
      <c r="A64" s="11"/>
      <c r="B64" s="11" t="s">
        <v>841</v>
      </c>
      <c r="C64" s="11"/>
      <c r="D64" s="33"/>
      <c r="E64" s="33"/>
      <c r="F64" s="33"/>
      <c r="G64" s="90">
        <f>G57+G61</f>
        <v>0</v>
      </c>
      <c r="H64" s="90">
        <f t="shared" ref="H64:BO64" si="23">H57+H61</f>
        <v>0</v>
      </c>
      <c r="I64" s="90">
        <f t="shared" si="23"/>
        <v>0</v>
      </c>
      <c r="J64" s="90">
        <f t="shared" si="23"/>
        <v>0</v>
      </c>
      <c r="K64" s="90">
        <f t="shared" si="23"/>
        <v>0</v>
      </c>
      <c r="L64" s="90">
        <f t="shared" si="23"/>
        <v>0</v>
      </c>
      <c r="M64" s="90">
        <f t="shared" si="23"/>
        <v>0</v>
      </c>
      <c r="N64" s="90">
        <f t="shared" si="23"/>
        <v>0</v>
      </c>
      <c r="O64" s="90">
        <f t="shared" si="23"/>
        <v>0</v>
      </c>
      <c r="P64" s="90">
        <f t="shared" si="23"/>
        <v>0</v>
      </c>
      <c r="Q64" s="90">
        <f t="shared" si="23"/>
        <v>0</v>
      </c>
      <c r="R64" s="90">
        <f t="shared" si="23"/>
        <v>0</v>
      </c>
      <c r="S64" s="90">
        <f t="shared" si="23"/>
        <v>0</v>
      </c>
      <c r="T64" s="90">
        <f t="shared" si="23"/>
        <v>0</v>
      </c>
      <c r="U64" s="90">
        <f t="shared" si="23"/>
        <v>0</v>
      </c>
      <c r="V64" s="90">
        <f t="shared" si="23"/>
        <v>0</v>
      </c>
      <c r="W64" s="90">
        <f t="shared" si="23"/>
        <v>0</v>
      </c>
      <c r="X64" s="90">
        <f t="shared" si="23"/>
        <v>0</v>
      </c>
      <c r="Y64" s="90">
        <f t="shared" si="23"/>
        <v>0</v>
      </c>
      <c r="Z64" s="90">
        <f t="shared" si="23"/>
        <v>0</v>
      </c>
      <c r="AA64" s="90">
        <f t="shared" si="23"/>
        <v>0</v>
      </c>
      <c r="AB64" s="90">
        <f t="shared" si="23"/>
        <v>790898.57980309578</v>
      </c>
      <c r="AC64" s="90">
        <f t="shared" si="23"/>
        <v>328853.21195070189</v>
      </c>
      <c r="AD64" s="90">
        <f t="shared" si="23"/>
        <v>390462.03228267829</v>
      </c>
      <c r="AE64" s="90">
        <f t="shared" si="23"/>
        <v>461849.01319649071</v>
      </c>
      <c r="AF64" s="90">
        <f t="shared" si="23"/>
        <v>525501.24892199365</v>
      </c>
      <c r="AG64" s="90">
        <f t="shared" si="23"/>
        <v>589375.28661705356</v>
      </c>
      <c r="AH64" s="90">
        <f t="shared" si="23"/>
        <v>653412.64091714344</v>
      </c>
      <c r="AI64" s="90">
        <f t="shared" si="23"/>
        <v>717578.92547926202</v>
      </c>
      <c r="AJ64" s="90">
        <f t="shared" si="23"/>
        <v>781852.59965378768</v>
      </c>
      <c r="AK64" s="90">
        <f t="shared" si="23"/>
        <v>846219.48239266663</v>
      </c>
      <c r="AL64" s="90">
        <f t="shared" si="23"/>
        <v>910669.85648053908</v>
      </c>
      <c r="AM64" s="90">
        <f t="shared" si="23"/>
        <v>975196.8402911115</v>
      </c>
      <c r="AN64" s="90">
        <f t="shared" si="23"/>
        <v>1039795.423793473</v>
      </c>
      <c r="AO64" s="90">
        <f t="shared" si="23"/>
        <v>1040197.6409985357</v>
      </c>
      <c r="AP64" s="90">
        <f t="shared" si="23"/>
        <v>1040599.8582035981</v>
      </c>
      <c r="AQ64" s="90">
        <f t="shared" si="23"/>
        <v>1061362.4396281543</v>
      </c>
      <c r="AR64" s="90">
        <f t="shared" si="23"/>
        <v>1061766.1515743493</v>
      </c>
      <c r="AS64" s="90">
        <f t="shared" si="23"/>
        <v>1062169.8635205445</v>
      </c>
      <c r="AT64" s="90">
        <f t="shared" si="23"/>
        <v>1062573.5754667395</v>
      </c>
      <c r="AU64" s="90">
        <f t="shared" si="23"/>
        <v>1062977.2874129345</v>
      </c>
      <c r="AV64" s="90">
        <f t="shared" si="23"/>
        <v>1063380.9993591297</v>
      </c>
      <c r="AW64" s="90">
        <f t="shared" si="23"/>
        <v>1063784.7113053249</v>
      </c>
      <c r="AX64" s="90">
        <f t="shared" si="23"/>
        <v>1064188.4232515199</v>
      </c>
      <c r="AY64" s="90">
        <f t="shared" si="23"/>
        <v>1064592.1351977149</v>
      </c>
      <c r="AZ64" s="90">
        <f t="shared" si="23"/>
        <v>1064995.8471439101</v>
      </c>
      <c r="BA64" s="90">
        <f t="shared" si="23"/>
        <v>1065399.5590901054</v>
      </c>
      <c r="BB64" s="90">
        <f t="shared" si="23"/>
        <v>1065803.2710363003</v>
      </c>
      <c r="BC64" s="90">
        <f t="shared" si="23"/>
        <v>1087169.8040065863</v>
      </c>
      <c r="BD64" s="90">
        <f t="shared" si="23"/>
        <v>1087575.0293434425</v>
      </c>
      <c r="BE64" s="90">
        <f t="shared" si="23"/>
        <v>1087980.2546802987</v>
      </c>
      <c r="BF64" s="90">
        <f t="shared" si="23"/>
        <v>1088385.4800171549</v>
      </c>
      <c r="BG64" s="90">
        <f t="shared" si="23"/>
        <v>1088790.7053540109</v>
      </c>
      <c r="BH64" s="90">
        <f t="shared" si="23"/>
        <v>1089195.9306908671</v>
      </c>
      <c r="BI64" s="90">
        <f t="shared" si="23"/>
        <v>13398118.024671223</v>
      </c>
      <c r="BJ64" s="90">
        <f t="shared" si="23"/>
        <v>13723537.89740693</v>
      </c>
      <c r="BK64" s="90">
        <f t="shared" si="23"/>
        <v>14007741.852746956</v>
      </c>
      <c r="BL64" s="90">
        <f t="shared" si="23"/>
        <v>14333336.801121736</v>
      </c>
      <c r="BM64" s="90">
        <f t="shared" si="23"/>
        <v>14684173.387433711</v>
      </c>
      <c r="BN64" s="90">
        <f t="shared" si="23"/>
        <v>15055125.837018546</v>
      </c>
      <c r="BO64" s="90">
        <f t="shared" si="23"/>
        <v>15519806.183389403</v>
      </c>
    </row>
    <row r="65" spans="1:67">
      <c r="A65" s="22" t="s">
        <v>842</v>
      </c>
      <c r="B65" s="11"/>
      <c r="C65" s="11"/>
      <c r="D65" s="33"/>
      <c r="E65" s="33"/>
      <c r="F65" s="33"/>
      <c r="G65" s="89">
        <f>SUM(G62:G64)</f>
        <v>0</v>
      </c>
      <c r="H65" s="89">
        <f t="shared" ref="H65:BO65" si="24">SUM(H62:H64)</f>
        <v>0</v>
      </c>
      <c r="I65" s="89">
        <f t="shared" si="24"/>
        <v>0</v>
      </c>
      <c r="J65" s="89">
        <f t="shared" si="24"/>
        <v>0</v>
      </c>
      <c r="K65" s="89">
        <f t="shared" si="24"/>
        <v>0</v>
      </c>
      <c r="L65" s="89">
        <f t="shared" si="24"/>
        <v>0</v>
      </c>
      <c r="M65" s="89">
        <f t="shared" si="24"/>
        <v>0</v>
      </c>
      <c r="N65" s="89">
        <f t="shared" si="24"/>
        <v>0</v>
      </c>
      <c r="O65" s="89">
        <f t="shared" si="24"/>
        <v>0</v>
      </c>
      <c r="P65" s="89">
        <f t="shared" si="24"/>
        <v>0</v>
      </c>
      <c r="Q65" s="89">
        <f t="shared" si="24"/>
        <v>0</v>
      </c>
      <c r="R65" s="89">
        <f t="shared" si="24"/>
        <v>0</v>
      </c>
      <c r="S65" s="89">
        <f t="shared" si="24"/>
        <v>0</v>
      </c>
      <c r="T65" s="89">
        <f t="shared" si="24"/>
        <v>0</v>
      </c>
      <c r="U65" s="89">
        <f t="shared" si="24"/>
        <v>0</v>
      </c>
      <c r="V65" s="89">
        <f t="shared" si="24"/>
        <v>0</v>
      </c>
      <c r="W65" s="89">
        <f t="shared" si="24"/>
        <v>0</v>
      </c>
      <c r="X65" s="89">
        <f t="shared" si="24"/>
        <v>0</v>
      </c>
      <c r="Y65" s="89">
        <f t="shared" si="24"/>
        <v>0</v>
      </c>
      <c r="Z65" s="89">
        <f t="shared" si="24"/>
        <v>0</v>
      </c>
      <c r="AA65" s="89">
        <f t="shared" si="24"/>
        <v>0</v>
      </c>
      <c r="AB65" s="89">
        <f t="shared" si="24"/>
        <v>25508942.250181891</v>
      </c>
      <c r="AC65" s="89">
        <f t="shared" si="24"/>
        <v>10967657.188223524</v>
      </c>
      <c r="AD65" s="89">
        <f t="shared" si="24"/>
        <v>13282247.51102286</v>
      </c>
      <c r="AE65" s="89">
        <f t="shared" si="24"/>
        <v>15917545.175889511</v>
      </c>
      <c r="AF65" s="89">
        <f t="shared" si="24"/>
        <v>18276951.166291233</v>
      </c>
      <c r="AG65" s="89">
        <f t="shared" si="24"/>
        <v>20638267.087126993</v>
      </c>
      <c r="AH65" s="89">
        <f t="shared" si="24"/>
        <v>23001492.938396782</v>
      </c>
      <c r="AI65" s="89">
        <f t="shared" si="24"/>
        <v>25366628.720100597</v>
      </c>
      <c r="AJ65" s="89">
        <f t="shared" si="24"/>
        <v>27733674.43223846</v>
      </c>
      <c r="AK65" s="89">
        <f t="shared" si="24"/>
        <v>30102630.074810319</v>
      </c>
      <c r="AL65" s="89">
        <f t="shared" si="24"/>
        <v>32473495.647816226</v>
      </c>
      <c r="AM65" s="89">
        <f t="shared" si="24"/>
        <v>34846271.151256166</v>
      </c>
      <c r="AN65" s="89">
        <f t="shared" si="24"/>
        <v>37220956.58513011</v>
      </c>
      <c r="AO65" s="89">
        <f t="shared" si="24"/>
        <v>37235354.522248171</v>
      </c>
      <c r="AP65" s="89">
        <f t="shared" si="24"/>
        <v>37249752.459366225</v>
      </c>
      <c r="AQ65" s="89">
        <f t="shared" si="24"/>
        <v>37971400.8247054</v>
      </c>
      <c r="AR65" s="89">
        <f t="shared" si="24"/>
        <v>37985844.060639076</v>
      </c>
      <c r="AS65" s="89">
        <f t="shared" si="24"/>
        <v>38000287.29657276</v>
      </c>
      <c r="AT65" s="89">
        <f t="shared" si="24"/>
        <v>38014730.532506436</v>
      </c>
      <c r="AU65" s="89">
        <f t="shared" si="24"/>
        <v>38029173.76844012</v>
      </c>
      <c r="AV65" s="89">
        <f t="shared" si="24"/>
        <v>38043617.004373804</v>
      </c>
      <c r="AW65" s="89">
        <f t="shared" si="24"/>
        <v>38058060.24030748</v>
      </c>
      <c r="AX65" s="89">
        <f t="shared" si="24"/>
        <v>38072503.476241156</v>
      </c>
      <c r="AY65" s="89">
        <f t="shared" si="24"/>
        <v>38086946.71217484</v>
      </c>
      <c r="AZ65" s="89">
        <f t="shared" si="24"/>
        <v>38101389.948108517</v>
      </c>
      <c r="BA65" s="89">
        <f t="shared" si="24"/>
        <v>38115833.184042208</v>
      </c>
      <c r="BB65" s="89">
        <f t="shared" si="24"/>
        <v>38130276.419975877</v>
      </c>
      <c r="BC65" s="89">
        <f t="shared" si="24"/>
        <v>38872174.383266017</v>
      </c>
      <c r="BD65" s="89">
        <f t="shared" si="24"/>
        <v>38886663.371003486</v>
      </c>
      <c r="BE65" s="89">
        <f t="shared" si="24"/>
        <v>38901152.358740948</v>
      </c>
      <c r="BF65" s="89">
        <f t="shared" si="24"/>
        <v>38915641.34647841</v>
      </c>
      <c r="BG65" s="89">
        <f t="shared" si="24"/>
        <v>38930130.334215872</v>
      </c>
      <c r="BH65" s="89">
        <f t="shared" si="24"/>
        <v>38944619.321953334</v>
      </c>
      <c r="BI65" s="89">
        <f t="shared" si="24"/>
        <v>478772435.74998403</v>
      </c>
      <c r="BJ65" s="89">
        <f t="shared" si="24"/>
        <v>490106785.15622139</v>
      </c>
      <c r="BK65" s="89">
        <f t="shared" si="24"/>
        <v>499951080.40425909</v>
      </c>
      <c r="BL65" s="89">
        <f t="shared" si="24"/>
        <v>511254285.02721786</v>
      </c>
      <c r="BM65" s="89">
        <f t="shared" si="24"/>
        <v>523437710.75426048</v>
      </c>
      <c r="BN65" s="89">
        <f t="shared" si="24"/>
        <v>536316761.10724825</v>
      </c>
      <c r="BO65" s="89">
        <f t="shared" si="24"/>
        <v>548840818.31564558</v>
      </c>
    </row>
    <row r="66" spans="1:67">
      <c r="A66" s="22" t="s">
        <v>843</v>
      </c>
      <c r="B66" s="11"/>
      <c r="C66" s="11"/>
      <c r="D66" s="33"/>
      <c r="E66" s="33"/>
      <c r="F66" s="33"/>
      <c r="G66" s="89">
        <f>G19-G65</f>
        <v>29800</v>
      </c>
      <c r="H66" s="89">
        <f t="shared" ref="H66:BO66" si="25">H19-H65</f>
        <v>29800</v>
      </c>
      <c r="I66" s="89">
        <f t="shared" si="25"/>
        <v>29800</v>
      </c>
      <c r="J66" s="89">
        <f t="shared" si="25"/>
        <v>29800</v>
      </c>
      <c r="K66" s="89">
        <f t="shared" si="25"/>
        <v>29800</v>
      </c>
      <c r="L66" s="89">
        <f t="shared" si="25"/>
        <v>29800</v>
      </c>
      <c r="M66" s="89">
        <f t="shared" si="25"/>
        <v>29800</v>
      </c>
      <c r="N66" s="89">
        <f t="shared" si="25"/>
        <v>29800</v>
      </c>
      <c r="O66" s="89">
        <f t="shared" si="25"/>
        <v>29800</v>
      </c>
      <c r="P66" s="89">
        <f t="shared" si="25"/>
        <v>29800</v>
      </c>
      <c r="Q66" s="89">
        <f t="shared" si="25"/>
        <v>29800</v>
      </c>
      <c r="R66" s="89">
        <f t="shared" si="25"/>
        <v>29800</v>
      </c>
      <c r="S66" s="89">
        <f t="shared" si="25"/>
        <v>30396</v>
      </c>
      <c r="T66" s="89">
        <f t="shared" si="25"/>
        <v>30396</v>
      </c>
      <c r="U66" s="89">
        <f t="shared" si="25"/>
        <v>30396</v>
      </c>
      <c r="V66" s="89">
        <f t="shared" si="25"/>
        <v>30396</v>
      </c>
      <c r="W66" s="89">
        <f t="shared" si="25"/>
        <v>30396</v>
      </c>
      <c r="X66" s="89">
        <f t="shared" si="25"/>
        <v>30396</v>
      </c>
      <c r="Y66" s="89">
        <f t="shared" si="25"/>
        <v>30396</v>
      </c>
      <c r="Z66" s="89">
        <f t="shared" si="25"/>
        <v>30396</v>
      </c>
      <c r="AA66" s="89">
        <f t="shared" si="25"/>
        <v>30396</v>
      </c>
      <c r="AB66" s="89">
        <f t="shared" si="25"/>
        <v>9463220.8166666701</v>
      </c>
      <c r="AC66" s="89">
        <f t="shared" si="25"/>
        <v>8705098.9404166657</v>
      </c>
      <c r="AD66" s="89">
        <f t="shared" si="25"/>
        <v>7945073.0832638871</v>
      </c>
      <c r="AE66" s="89">
        <f t="shared" si="25"/>
        <v>7251695.2620520778</v>
      </c>
      <c r="AF66" s="89">
        <f t="shared" si="25"/>
        <v>6480521.063812498</v>
      </c>
      <c r="AG66" s="89">
        <f t="shared" si="25"/>
        <v>5707436.9351388887</v>
      </c>
      <c r="AH66" s="89">
        <f t="shared" si="25"/>
        <v>4932442.8760312535</v>
      </c>
      <c r="AI66" s="89">
        <f t="shared" si="25"/>
        <v>4155538.886489585</v>
      </c>
      <c r="AJ66" s="89">
        <f t="shared" si="25"/>
        <v>3376724.966513887</v>
      </c>
      <c r="AK66" s="89">
        <f t="shared" si="25"/>
        <v>2596001.1161041744</v>
      </c>
      <c r="AL66" s="89">
        <f t="shared" si="25"/>
        <v>1813367.335260421</v>
      </c>
      <c r="AM66" s="89">
        <f t="shared" si="25"/>
        <v>1028823.6239826456</v>
      </c>
      <c r="AN66" s="89">
        <f t="shared" si="25"/>
        <v>242369.98227082938</v>
      </c>
      <c r="AO66" s="89">
        <f t="shared" si="25"/>
        <v>242663.81772221625</v>
      </c>
      <c r="AP66" s="89">
        <f t="shared" si="25"/>
        <v>242957.65317361057</v>
      </c>
      <c r="AQ66" s="89">
        <f t="shared" si="25"/>
        <v>245621.50505625457</v>
      </c>
      <c r="AR66" s="89">
        <f t="shared" si="25"/>
        <v>245916.26497326791</v>
      </c>
      <c r="AS66" s="89">
        <f t="shared" si="25"/>
        <v>246211.02489027381</v>
      </c>
      <c r="AT66" s="89">
        <f t="shared" si="25"/>
        <v>246505.78480729461</v>
      </c>
      <c r="AU66" s="89">
        <f t="shared" si="25"/>
        <v>246800.54472430795</v>
      </c>
      <c r="AV66" s="89">
        <f t="shared" si="25"/>
        <v>247095.30464131385</v>
      </c>
      <c r="AW66" s="89">
        <f t="shared" si="25"/>
        <v>247390.06455833465</v>
      </c>
      <c r="AX66" s="89">
        <f t="shared" si="25"/>
        <v>247684.82447535545</v>
      </c>
      <c r="AY66" s="89">
        <f t="shared" si="25"/>
        <v>247979.58439236134</v>
      </c>
      <c r="AZ66" s="89">
        <f t="shared" si="25"/>
        <v>248274.34430938214</v>
      </c>
      <c r="BA66" s="89">
        <f t="shared" si="25"/>
        <v>248569.10422638804</v>
      </c>
      <c r="BB66" s="89">
        <f t="shared" si="25"/>
        <v>248863.86414340883</v>
      </c>
      <c r="BC66" s="89">
        <f t="shared" si="25"/>
        <v>251637.12775661051</v>
      </c>
      <c r="BD66" s="89">
        <f t="shared" si="25"/>
        <v>251932.82138390094</v>
      </c>
      <c r="BE66" s="89">
        <f t="shared" si="25"/>
        <v>252228.51501119137</v>
      </c>
      <c r="BF66" s="89">
        <f t="shared" si="25"/>
        <v>252524.20863848925</v>
      </c>
      <c r="BG66" s="89">
        <f t="shared" si="25"/>
        <v>252819.90226577967</v>
      </c>
      <c r="BH66" s="89">
        <f t="shared" si="25"/>
        <v>253115.59589307755</v>
      </c>
      <c r="BI66" s="89">
        <f t="shared" si="25"/>
        <v>3118635.6199849844</v>
      </c>
      <c r="BJ66" s="89">
        <f t="shared" si="25"/>
        <v>3193932.5322543383</v>
      </c>
      <c r="BK66" s="89">
        <f t="shared" si="25"/>
        <v>3234853.1143975258</v>
      </c>
      <c r="BL66" s="89">
        <f t="shared" si="25"/>
        <v>3301466.0970164537</v>
      </c>
      <c r="BM66" s="89">
        <f t="shared" si="25"/>
        <v>3381843.4673015475</v>
      </c>
      <c r="BN66" s="89">
        <f t="shared" si="25"/>
        <v>3472095.9015094638</v>
      </c>
      <c r="BO66" s="89">
        <f t="shared" si="25"/>
        <v>3556231.8454333544</v>
      </c>
    </row>
    <row r="67" spans="1:67">
      <c r="A67" s="25" t="s">
        <v>844</v>
      </c>
      <c r="B67" s="25"/>
      <c r="C67" s="11"/>
      <c r="D67" s="41"/>
      <c r="E67" s="41"/>
      <c r="F67" s="41"/>
      <c r="G67" s="91">
        <f>G65+G66-G19</f>
        <v>0</v>
      </c>
      <c r="H67" s="91">
        <f t="shared" ref="H67:BO67" si="26">H65+H66-H19</f>
        <v>0</v>
      </c>
      <c r="I67" s="91">
        <f t="shared" si="26"/>
        <v>0</v>
      </c>
      <c r="J67" s="91">
        <f t="shared" si="26"/>
        <v>0</v>
      </c>
      <c r="K67" s="91">
        <f t="shared" si="26"/>
        <v>0</v>
      </c>
      <c r="L67" s="91">
        <f t="shared" si="26"/>
        <v>0</v>
      </c>
      <c r="M67" s="91">
        <f t="shared" si="26"/>
        <v>0</v>
      </c>
      <c r="N67" s="91">
        <f t="shared" si="26"/>
        <v>0</v>
      </c>
      <c r="O67" s="91">
        <f t="shared" si="26"/>
        <v>0</v>
      </c>
      <c r="P67" s="91">
        <f t="shared" si="26"/>
        <v>0</v>
      </c>
      <c r="Q67" s="91">
        <f t="shared" si="26"/>
        <v>0</v>
      </c>
      <c r="R67" s="91">
        <f t="shared" si="26"/>
        <v>0</v>
      </c>
      <c r="S67" s="91">
        <f t="shared" si="26"/>
        <v>0</v>
      </c>
      <c r="T67" s="91">
        <f t="shared" si="26"/>
        <v>0</v>
      </c>
      <c r="U67" s="91">
        <f t="shared" si="26"/>
        <v>0</v>
      </c>
      <c r="V67" s="91">
        <f t="shared" si="26"/>
        <v>0</v>
      </c>
      <c r="W67" s="91">
        <f t="shared" si="26"/>
        <v>0</v>
      </c>
      <c r="X67" s="91">
        <f t="shared" si="26"/>
        <v>0</v>
      </c>
      <c r="Y67" s="91">
        <f t="shared" si="26"/>
        <v>0</v>
      </c>
      <c r="Z67" s="91">
        <f t="shared" si="26"/>
        <v>0</v>
      </c>
      <c r="AA67" s="91">
        <f t="shared" si="26"/>
        <v>0</v>
      </c>
      <c r="AB67" s="91">
        <f t="shared" si="26"/>
        <v>0</v>
      </c>
      <c r="AC67" s="91">
        <f t="shared" si="26"/>
        <v>0</v>
      </c>
      <c r="AD67" s="91">
        <f t="shared" si="26"/>
        <v>0</v>
      </c>
      <c r="AE67" s="91">
        <f t="shared" si="26"/>
        <v>0</v>
      </c>
      <c r="AF67" s="91">
        <f t="shared" si="26"/>
        <v>0</v>
      </c>
      <c r="AG67" s="91">
        <f t="shared" si="26"/>
        <v>0</v>
      </c>
      <c r="AH67" s="91">
        <f t="shared" si="26"/>
        <v>0</v>
      </c>
      <c r="AI67" s="91">
        <f t="shared" si="26"/>
        <v>0</v>
      </c>
      <c r="AJ67" s="91">
        <f t="shared" si="26"/>
        <v>0</v>
      </c>
      <c r="AK67" s="91">
        <f t="shared" si="26"/>
        <v>0</v>
      </c>
      <c r="AL67" s="91">
        <f t="shared" si="26"/>
        <v>0</v>
      </c>
      <c r="AM67" s="91">
        <f t="shared" si="26"/>
        <v>0</v>
      </c>
      <c r="AN67" s="91">
        <f t="shared" si="26"/>
        <v>0</v>
      </c>
      <c r="AO67" s="91">
        <f t="shared" si="26"/>
        <v>0</v>
      </c>
      <c r="AP67" s="91">
        <f t="shared" si="26"/>
        <v>0</v>
      </c>
      <c r="AQ67" s="91">
        <f t="shared" si="26"/>
        <v>0</v>
      </c>
      <c r="AR67" s="91">
        <f t="shared" si="26"/>
        <v>0</v>
      </c>
      <c r="AS67" s="91">
        <f t="shared" si="26"/>
        <v>0</v>
      </c>
      <c r="AT67" s="91">
        <f t="shared" si="26"/>
        <v>0</v>
      </c>
      <c r="AU67" s="91">
        <f t="shared" si="26"/>
        <v>0</v>
      </c>
      <c r="AV67" s="91">
        <f t="shared" si="26"/>
        <v>0</v>
      </c>
      <c r="AW67" s="91">
        <f t="shared" si="26"/>
        <v>0</v>
      </c>
      <c r="AX67" s="91">
        <f t="shared" si="26"/>
        <v>0</v>
      </c>
      <c r="AY67" s="91">
        <f t="shared" si="26"/>
        <v>0</v>
      </c>
      <c r="AZ67" s="91">
        <f t="shared" si="26"/>
        <v>0</v>
      </c>
      <c r="BA67" s="91">
        <f t="shared" si="26"/>
        <v>0</v>
      </c>
      <c r="BB67" s="91">
        <f t="shared" si="26"/>
        <v>0</v>
      </c>
      <c r="BC67" s="91">
        <f t="shared" si="26"/>
        <v>0</v>
      </c>
      <c r="BD67" s="91">
        <f t="shared" si="26"/>
        <v>0</v>
      </c>
      <c r="BE67" s="91">
        <f t="shared" si="26"/>
        <v>0</v>
      </c>
      <c r="BF67" s="91">
        <f t="shared" si="26"/>
        <v>0</v>
      </c>
      <c r="BG67" s="91">
        <f t="shared" si="26"/>
        <v>0</v>
      </c>
      <c r="BH67" s="91">
        <f t="shared" si="26"/>
        <v>0</v>
      </c>
      <c r="BI67" s="91">
        <f t="shared" si="26"/>
        <v>0</v>
      </c>
      <c r="BJ67" s="91">
        <f t="shared" si="26"/>
        <v>0</v>
      </c>
      <c r="BK67" s="91">
        <f t="shared" si="26"/>
        <v>0</v>
      </c>
      <c r="BL67" s="91">
        <f t="shared" si="26"/>
        <v>0</v>
      </c>
      <c r="BM67" s="91">
        <f t="shared" si="26"/>
        <v>0</v>
      </c>
      <c r="BN67" s="91">
        <f t="shared" si="26"/>
        <v>0</v>
      </c>
      <c r="BO67" s="91">
        <f t="shared" si="26"/>
        <v>0</v>
      </c>
    </row>
    <row r="68" spans="1:67">
      <c r="A68" s="11"/>
      <c r="B68" s="11"/>
      <c r="C68" s="11"/>
      <c r="D68" s="33"/>
      <c r="E68" s="33"/>
      <c r="F68" s="33"/>
      <c r="G68" s="33"/>
      <c r="H68" s="33"/>
      <c r="I68" s="33"/>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c r="BM68" s="33"/>
      <c r="BN68" s="33"/>
      <c r="BO68" s="33"/>
    </row>
    <row r="69" spans="1:67">
      <c r="A69" s="18" t="s">
        <v>845</v>
      </c>
      <c r="B69" s="18"/>
      <c r="C69" s="18"/>
      <c r="D69" s="39"/>
      <c r="E69" s="39"/>
      <c r="F69" s="39"/>
      <c r="G69" s="39"/>
      <c r="H69" s="39"/>
      <c r="I69" s="39"/>
      <c r="J69" s="39"/>
      <c r="K69" s="39"/>
      <c r="L69" s="39"/>
      <c r="M69" s="39"/>
      <c r="N69" s="39"/>
      <c r="O69" s="39"/>
      <c r="P69" s="39"/>
      <c r="Q69" s="39"/>
      <c r="R69" s="39"/>
      <c r="S69" s="39"/>
      <c r="T69" s="39"/>
      <c r="U69" s="39"/>
      <c r="V69" s="39"/>
      <c r="W69" s="39"/>
      <c r="X69" s="39"/>
      <c r="Y69" s="39"/>
      <c r="Z69" s="39"/>
      <c r="AA69" s="39"/>
      <c r="AB69" s="39"/>
      <c r="AC69" s="39"/>
      <c r="AD69" s="39"/>
      <c r="AE69" s="39"/>
      <c r="AF69" s="39"/>
      <c r="AG69" s="39"/>
      <c r="AH69" s="39"/>
      <c r="AI69" s="39"/>
      <c r="AJ69" s="39"/>
      <c r="AK69" s="39"/>
      <c r="AL69" s="39"/>
      <c r="AM69" s="39"/>
      <c r="AN69" s="39"/>
      <c r="AO69" s="39"/>
      <c r="AP69" s="39"/>
      <c r="AQ69" s="39"/>
      <c r="AR69" s="39"/>
      <c r="AS69" s="39"/>
      <c r="AT69" s="39"/>
      <c r="AU69" s="39"/>
      <c r="AV69" s="39"/>
      <c r="AW69" s="39"/>
      <c r="AX69" s="39"/>
      <c r="AY69" s="39"/>
      <c r="AZ69" s="39"/>
      <c r="BA69" s="39"/>
      <c r="BB69" s="39"/>
      <c r="BC69" s="39"/>
      <c r="BD69" s="39"/>
      <c r="BE69" s="39"/>
      <c r="BF69" s="39"/>
      <c r="BG69" s="39"/>
      <c r="BH69" s="39"/>
      <c r="BI69" s="39"/>
      <c r="BJ69" s="39"/>
      <c r="BK69" s="39"/>
      <c r="BL69" s="39"/>
      <c r="BM69" s="39"/>
      <c r="BN69" s="39"/>
      <c r="BO69" s="39"/>
    </row>
    <row r="70" spans="1:67">
      <c r="A70" s="11"/>
      <c r="B70" s="11" t="s">
        <v>846</v>
      </c>
      <c r="C70" s="11"/>
      <c r="D70" s="33"/>
      <c r="E70" s="33"/>
      <c r="F70" s="33"/>
      <c r="G70" s="90">
        <f>IF(G39=0,0,G62/G39)</f>
        <v>0</v>
      </c>
      <c r="H70" s="90">
        <f t="shared" ref="H70:BO70" si="27">IF(H39=0,0,H62/H39)</f>
        <v>0</v>
      </c>
      <c r="I70" s="90">
        <f t="shared" si="27"/>
        <v>0</v>
      </c>
      <c r="J70" s="90">
        <f t="shared" si="27"/>
        <v>0</v>
      </c>
      <c r="K70" s="90">
        <f t="shared" si="27"/>
        <v>0</v>
      </c>
      <c r="L70" s="90">
        <f t="shared" si="27"/>
        <v>0</v>
      </c>
      <c r="M70" s="90">
        <f t="shared" si="27"/>
        <v>0</v>
      </c>
      <c r="N70" s="90">
        <f t="shared" si="27"/>
        <v>0</v>
      </c>
      <c r="O70" s="90">
        <f t="shared" si="27"/>
        <v>0</v>
      </c>
      <c r="P70" s="90">
        <f t="shared" si="27"/>
        <v>0</v>
      </c>
      <c r="Q70" s="90">
        <f t="shared" si="27"/>
        <v>0</v>
      </c>
      <c r="R70" s="90">
        <f t="shared" si="27"/>
        <v>0</v>
      </c>
      <c r="S70" s="90">
        <f t="shared" si="27"/>
        <v>0</v>
      </c>
      <c r="T70" s="90">
        <f t="shared" si="27"/>
        <v>0</v>
      </c>
      <c r="U70" s="90">
        <f t="shared" si="27"/>
        <v>0</v>
      </c>
      <c r="V70" s="90">
        <f t="shared" si="27"/>
        <v>0</v>
      </c>
      <c r="W70" s="90">
        <f t="shared" si="27"/>
        <v>0</v>
      </c>
      <c r="X70" s="90">
        <f t="shared" si="27"/>
        <v>0</v>
      </c>
      <c r="Y70" s="90">
        <f t="shared" si="27"/>
        <v>0</v>
      </c>
      <c r="Z70" s="90">
        <f t="shared" si="27"/>
        <v>0</v>
      </c>
      <c r="AA70" s="90">
        <f t="shared" si="27"/>
        <v>0</v>
      </c>
      <c r="AB70" s="90">
        <f t="shared" si="27"/>
        <v>37896.842843378661</v>
      </c>
      <c r="AC70" s="90">
        <f t="shared" si="27"/>
        <v>11892.370879542104</v>
      </c>
      <c r="AD70" s="90">
        <f t="shared" si="27"/>
        <v>11339.061249613887</v>
      </c>
      <c r="AE70" s="90">
        <f t="shared" si="27"/>
        <v>11172.225506594878</v>
      </c>
      <c r="AF70" s="90">
        <f t="shared" si="27"/>
        <v>10915.727605277252</v>
      </c>
      <c r="AG70" s="90">
        <f t="shared" si="27"/>
        <v>10726.780322336075</v>
      </c>
      <c r="AH70" s="90">
        <f t="shared" si="27"/>
        <v>10582.11042715853</v>
      </c>
      <c r="AI70" s="90">
        <f t="shared" si="27"/>
        <v>10468.034474371951</v>
      </c>
      <c r="AJ70" s="90">
        <f t="shared" si="27"/>
        <v>10375.980738207465</v>
      </c>
      <c r="AK70" s="90">
        <f t="shared" si="27"/>
        <v>10300.306117962384</v>
      </c>
      <c r="AL70" s="90">
        <f t="shared" si="27"/>
        <v>10237.143817288079</v>
      </c>
      <c r="AM70" s="90">
        <f t="shared" si="27"/>
        <v>10183.755413041717</v>
      </c>
      <c r="AN70" s="90">
        <f t="shared" si="27"/>
        <v>10138.147250816481</v>
      </c>
      <c r="AO70" s="90">
        <f t="shared" si="27"/>
        <v>10142.068923444025</v>
      </c>
      <c r="AP70" s="90">
        <f t="shared" si="27"/>
        <v>10145.990596071568</v>
      </c>
      <c r="AQ70" s="90">
        <f t="shared" si="27"/>
        <v>10318.081299849742</v>
      </c>
      <c r="AR70" s="90">
        <f t="shared" si="27"/>
        <v>10322.006003162232</v>
      </c>
      <c r="AS70" s="90">
        <f t="shared" si="27"/>
        <v>10325.930706474725</v>
      </c>
      <c r="AT70" s="90">
        <f t="shared" si="27"/>
        <v>10329.855409787213</v>
      </c>
      <c r="AU70" s="90">
        <f t="shared" si="27"/>
        <v>10333.780113099703</v>
      </c>
      <c r="AV70" s="90">
        <f t="shared" si="27"/>
        <v>10337.704816412195</v>
      </c>
      <c r="AW70" s="90">
        <f t="shared" si="27"/>
        <v>10341.629519724685</v>
      </c>
      <c r="AX70" s="90">
        <f t="shared" si="27"/>
        <v>10345.554223037176</v>
      </c>
      <c r="AY70" s="90">
        <f t="shared" si="27"/>
        <v>10349.478926349666</v>
      </c>
      <c r="AZ70" s="90">
        <f t="shared" si="27"/>
        <v>10353.403629662158</v>
      </c>
      <c r="BA70" s="90">
        <f t="shared" si="27"/>
        <v>10357.328332974648</v>
      </c>
      <c r="BB70" s="90">
        <f t="shared" si="27"/>
        <v>10361.253036287137</v>
      </c>
      <c r="BC70" s="90">
        <f t="shared" si="27"/>
        <v>10537.974676333844</v>
      </c>
      <c r="BD70" s="90">
        <f t="shared" si="27"/>
        <v>10541.902539600707</v>
      </c>
      <c r="BE70" s="90">
        <f t="shared" si="27"/>
        <v>10545.830402867568</v>
      </c>
      <c r="BF70" s="90">
        <f t="shared" si="27"/>
        <v>10549.75826613443</v>
      </c>
      <c r="BG70" s="90">
        <f t="shared" si="27"/>
        <v>10553.686129401292</v>
      </c>
      <c r="BH70" s="90">
        <f t="shared" si="27"/>
        <v>10557.613992668154</v>
      </c>
      <c r="BI70" s="90">
        <f t="shared" si="27"/>
        <v>10790.631468362477</v>
      </c>
      <c r="BJ70" s="90">
        <f t="shared" si="27"/>
        <v>11020.306798495922</v>
      </c>
      <c r="BK70" s="90">
        <f t="shared" si="27"/>
        <v>11215.542020606763</v>
      </c>
      <c r="BL70" s="90">
        <f t="shared" si="27"/>
        <v>11442.580627160403</v>
      </c>
      <c r="BM70" s="90">
        <f t="shared" si="27"/>
        <v>11688.282972294361</v>
      </c>
      <c r="BN70" s="90">
        <f t="shared" si="27"/>
        <v>11948.410678105676</v>
      </c>
      <c r="BO70" s="90">
        <f t="shared" si="27"/>
        <v>12040.275130895547</v>
      </c>
    </row>
    <row r="71" spans="1:67">
      <c r="A71" s="11"/>
      <c r="B71" s="11" t="s">
        <v>847</v>
      </c>
      <c r="C71" s="11"/>
      <c r="D71" s="33"/>
      <c r="E71" s="33"/>
      <c r="F71" s="33"/>
      <c r="G71" s="90">
        <f>IF(G40=0,0,G63/G40)</f>
        <v>0</v>
      </c>
      <c r="H71" s="90">
        <f t="shared" ref="H71:BO71" si="28">IF(H40=0,0,H63/H40)</f>
        <v>0</v>
      </c>
      <c r="I71" s="90">
        <f t="shared" si="28"/>
        <v>0</v>
      </c>
      <c r="J71" s="90">
        <f t="shared" si="28"/>
        <v>0</v>
      </c>
      <c r="K71" s="90">
        <f t="shared" si="28"/>
        <v>0</v>
      </c>
      <c r="L71" s="90">
        <f t="shared" si="28"/>
        <v>0</v>
      </c>
      <c r="M71" s="90">
        <f t="shared" si="28"/>
        <v>0</v>
      </c>
      <c r="N71" s="90">
        <f t="shared" si="28"/>
        <v>0</v>
      </c>
      <c r="O71" s="90">
        <f t="shared" si="28"/>
        <v>0</v>
      </c>
      <c r="P71" s="90">
        <f t="shared" si="28"/>
        <v>0</v>
      </c>
      <c r="Q71" s="90">
        <f t="shared" si="28"/>
        <v>0</v>
      </c>
      <c r="R71" s="90">
        <f t="shared" si="28"/>
        <v>0</v>
      </c>
      <c r="S71" s="90">
        <f t="shared" si="28"/>
        <v>0</v>
      </c>
      <c r="T71" s="90">
        <f t="shared" si="28"/>
        <v>0</v>
      </c>
      <c r="U71" s="90">
        <f t="shared" si="28"/>
        <v>0</v>
      </c>
      <c r="V71" s="90">
        <f t="shared" si="28"/>
        <v>0</v>
      </c>
      <c r="W71" s="90">
        <f t="shared" si="28"/>
        <v>0</v>
      </c>
      <c r="X71" s="90">
        <f t="shared" si="28"/>
        <v>0</v>
      </c>
      <c r="Y71" s="90">
        <f t="shared" si="28"/>
        <v>0</v>
      </c>
      <c r="Z71" s="90">
        <f t="shared" si="28"/>
        <v>0</v>
      </c>
      <c r="AA71" s="90">
        <f t="shared" si="28"/>
        <v>0</v>
      </c>
      <c r="AB71" s="90">
        <f t="shared" si="28"/>
        <v>72808.885039534609</v>
      </c>
      <c r="AC71" s="90">
        <f t="shared" si="28"/>
        <v>24180.152408046986</v>
      </c>
      <c r="AD71" s="90">
        <f t="shared" si="28"/>
        <v>23824.888597256398</v>
      </c>
      <c r="AE71" s="90">
        <f t="shared" si="28"/>
        <v>24097.140668849344</v>
      </c>
      <c r="AF71" s="90">
        <f t="shared" si="28"/>
        <v>23895.902917988089</v>
      </c>
      <c r="AG71" s="90">
        <f t="shared" si="28"/>
        <v>23742.525310480509</v>
      </c>
      <c r="AH71" s="90">
        <f t="shared" si="28"/>
        <v>23622.486322195517</v>
      </c>
      <c r="AI71" s="90">
        <f t="shared" si="28"/>
        <v>23526.547428283255</v>
      </c>
      <c r="AJ71" s="90">
        <f t="shared" si="28"/>
        <v>23448.572862190213</v>
      </c>
      <c r="AK71" s="90">
        <f t="shared" si="28"/>
        <v>23384.336450564355</v>
      </c>
      <c r="AL71" s="90">
        <f t="shared" si="28"/>
        <v>23330.836037789752</v>
      </c>
      <c r="AM71" s="90">
        <f t="shared" si="28"/>
        <v>23285.88200268603</v>
      </c>
      <c r="AN71" s="90">
        <f t="shared" si="28"/>
        <v>23247.840662597806</v>
      </c>
      <c r="AO71" s="90">
        <f t="shared" si="28"/>
        <v>23256.833471453356</v>
      </c>
      <c r="AP71" s="90">
        <f t="shared" si="28"/>
        <v>23265.826280308902</v>
      </c>
      <c r="AQ71" s="90">
        <f t="shared" si="28"/>
        <v>23746.954766591713</v>
      </c>
      <c r="AR71" s="90">
        <f t="shared" si="28"/>
        <v>23755.987429673693</v>
      </c>
      <c r="AS71" s="90">
        <f t="shared" si="28"/>
        <v>23765.020092755673</v>
      </c>
      <c r="AT71" s="90">
        <f t="shared" si="28"/>
        <v>23774.052755837645</v>
      </c>
      <c r="AU71" s="90">
        <f t="shared" si="28"/>
        <v>23783.085418919625</v>
      </c>
      <c r="AV71" s="90">
        <f t="shared" si="28"/>
        <v>23792.118082001605</v>
      </c>
      <c r="AW71" s="90">
        <f t="shared" si="28"/>
        <v>23801.150745083585</v>
      </c>
      <c r="AX71" s="90">
        <f t="shared" si="28"/>
        <v>23810.183408165562</v>
      </c>
      <c r="AY71" s="90">
        <f t="shared" si="28"/>
        <v>23819.216071247542</v>
      </c>
      <c r="AZ71" s="90">
        <f t="shared" si="28"/>
        <v>23828.248734329518</v>
      </c>
      <c r="BA71" s="90">
        <f t="shared" si="28"/>
        <v>23837.281397411502</v>
      </c>
      <c r="BB71" s="90">
        <f t="shared" si="28"/>
        <v>23846.314060493474</v>
      </c>
      <c r="BC71" s="90">
        <f t="shared" si="28"/>
        <v>24341.172567057587</v>
      </c>
      <c r="BD71" s="90">
        <f t="shared" si="28"/>
        <v>24350.245353862934</v>
      </c>
      <c r="BE71" s="90">
        <f t="shared" si="28"/>
        <v>24359.318140668278</v>
      </c>
      <c r="BF71" s="90">
        <f t="shared" si="28"/>
        <v>24368.390927473622</v>
      </c>
      <c r="BG71" s="90">
        <f t="shared" si="28"/>
        <v>24377.463714278965</v>
      </c>
      <c r="BH71" s="90">
        <f t="shared" si="28"/>
        <v>24386.536501084309</v>
      </c>
      <c r="BI71" s="90">
        <f t="shared" si="28"/>
        <v>25014.805286777639</v>
      </c>
      <c r="BJ71" s="90">
        <f t="shared" si="28"/>
        <v>25638.96967675439</v>
      </c>
      <c r="BK71" s="90">
        <f t="shared" si="28"/>
        <v>26186.327577283511</v>
      </c>
      <c r="BL71" s="90">
        <f t="shared" si="28"/>
        <v>26811.228441459079</v>
      </c>
      <c r="BM71" s="90">
        <f t="shared" si="28"/>
        <v>27483.556346792328</v>
      </c>
      <c r="BN71" s="90">
        <f t="shared" si="28"/>
        <v>28193.761905058076</v>
      </c>
      <c r="BO71" s="90">
        <f t="shared" si="28"/>
        <v>29079.802235687206</v>
      </c>
    </row>
    <row r="72" spans="1:67">
      <c r="A72" s="11"/>
      <c r="B72" s="11" t="s">
        <v>848</v>
      </c>
      <c r="C72" s="11"/>
      <c r="D72" s="33"/>
      <c r="E72" s="33"/>
      <c r="F72" s="33"/>
      <c r="G72" s="90">
        <f>IF(G41=0,0,G64/G41)</f>
        <v>0</v>
      </c>
      <c r="H72" s="90">
        <f t="shared" ref="H72:BO72" si="29">IF(H41=0,0,H64/H41)</f>
        <v>0</v>
      </c>
      <c r="I72" s="90">
        <f t="shared" si="29"/>
        <v>0</v>
      </c>
      <c r="J72" s="90">
        <f t="shared" si="29"/>
        <v>0</v>
      </c>
      <c r="K72" s="90">
        <f t="shared" si="29"/>
        <v>0</v>
      </c>
      <c r="L72" s="90">
        <f t="shared" si="29"/>
        <v>0</v>
      </c>
      <c r="M72" s="90">
        <f t="shared" si="29"/>
        <v>0</v>
      </c>
      <c r="N72" s="90">
        <f t="shared" si="29"/>
        <v>0</v>
      </c>
      <c r="O72" s="90">
        <f t="shared" si="29"/>
        <v>0</v>
      </c>
      <c r="P72" s="90">
        <f t="shared" si="29"/>
        <v>0</v>
      </c>
      <c r="Q72" s="90">
        <f t="shared" si="29"/>
        <v>0</v>
      </c>
      <c r="R72" s="90">
        <f t="shared" si="29"/>
        <v>0</v>
      </c>
      <c r="S72" s="90">
        <f t="shared" si="29"/>
        <v>0</v>
      </c>
      <c r="T72" s="90">
        <f t="shared" si="29"/>
        <v>0</v>
      </c>
      <c r="U72" s="90">
        <f t="shared" si="29"/>
        <v>0</v>
      </c>
      <c r="V72" s="90">
        <f t="shared" si="29"/>
        <v>0</v>
      </c>
      <c r="W72" s="90">
        <f t="shared" si="29"/>
        <v>0</v>
      </c>
      <c r="X72" s="90">
        <f t="shared" si="29"/>
        <v>0</v>
      </c>
      <c r="Y72" s="90">
        <f t="shared" si="29"/>
        <v>0</v>
      </c>
      <c r="Z72" s="90">
        <f t="shared" si="29"/>
        <v>0</v>
      </c>
      <c r="AA72" s="90">
        <f t="shared" si="29"/>
        <v>0</v>
      </c>
      <c r="AB72" s="90">
        <f t="shared" si="29"/>
        <v>10542.503063224418</v>
      </c>
      <c r="AC72" s="90">
        <f t="shared" si="29"/>
        <v>3308.3324894564162</v>
      </c>
      <c r="AD72" s="90">
        <f t="shared" si="29"/>
        <v>3154.4075703665144</v>
      </c>
      <c r="AE72" s="90">
        <f t="shared" si="29"/>
        <v>3117.1367851036553</v>
      </c>
      <c r="AF72" s="90">
        <f t="shared" si="29"/>
        <v>3045.5718992152447</v>
      </c>
      <c r="AG72" s="90">
        <f t="shared" si="29"/>
        <v>2992.8541550421014</v>
      </c>
      <c r="AH72" s="90">
        <f t="shared" si="29"/>
        <v>2952.4901423672036</v>
      </c>
      <c r="AI72" s="90">
        <f t="shared" si="29"/>
        <v>2920.6620747617922</v>
      </c>
      <c r="AJ72" s="90">
        <f t="shared" si="29"/>
        <v>2894.978374854807</v>
      </c>
      <c r="AK72" s="90">
        <f t="shared" si="29"/>
        <v>2873.8645741778128</v>
      </c>
      <c r="AL72" s="90">
        <f t="shared" si="29"/>
        <v>2856.2418068296743</v>
      </c>
      <c r="AM72" s="90">
        <f t="shared" si="29"/>
        <v>2841.3460317062595</v>
      </c>
      <c r="AN72" s="90">
        <f t="shared" si="29"/>
        <v>2828.6210039050079</v>
      </c>
      <c r="AO72" s="90">
        <f t="shared" si="29"/>
        <v>2829.7151807097312</v>
      </c>
      <c r="AP72" s="90">
        <f t="shared" si="29"/>
        <v>2830.8093575144539</v>
      </c>
      <c r="AQ72" s="90">
        <f t="shared" si="29"/>
        <v>2887.2911159150876</v>
      </c>
      <c r="AR72" s="90">
        <f t="shared" si="29"/>
        <v>2888.3893589582899</v>
      </c>
      <c r="AS72" s="90">
        <f t="shared" si="29"/>
        <v>2889.4876020014926</v>
      </c>
      <c r="AT72" s="90">
        <f t="shared" si="29"/>
        <v>2890.5858450446945</v>
      </c>
      <c r="AU72" s="90">
        <f t="shared" si="29"/>
        <v>2891.6840880878967</v>
      </c>
      <c r="AV72" s="90">
        <f t="shared" si="29"/>
        <v>2892.7823311310995</v>
      </c>
      <c r="AW72" s="90">
        <f t="shared" si="29"/>
        <v>2893.8805741743017</v>
      </c>
      <c r="AX72" s="90">
        <f t="shared" si="29"/>
        <v>2894.978817217504</v>
      </c>
      <c r="AY72" s="90">
        <f t="shared" si="29"/>
        <v>2896.0770602607063</v>
      </c>
      <c r="AZ72" s="90">
        <f t="shared" si="29"/>
        <v>2897.1753033039085</v>
      </c>
      <c r="BA72" s="90">
        <f t="shared" si="29"/>
        <v>2898.2735463471113</v>
      </c>
      <c r="BB72" s="90">
        <f t="shared" si="29"/>
        <v>2899.3717893903136</v>
      </c>
      <c r="BC72" s="90">
        <f t="shared" si="29"/>
        <v>2957.4965152329078</v>
      </c>
      <c r="BD72" s="90">
        <f t="shared" si="29"/>
        <v>2958.5988752480771</v>
      </c>
      <c r="BE72" s="90">
        <f t="shared" si="29"/>
        <v>2959.7012352632464</v>
      </c>
      <c r="BF72" s="90">
        <f t="shared" si="29"/>
        <v>2960.8035952784157</v>
      </c>
      <c r="BG72" s="90">
        <f t="shared" si="29"/>
        <v>2961.9059552935846</v>
      </c>
      <c r="BH72" s="90">
        <f t="shared" si="29"/>
        <v>2963.0083153087539</v>
      </c>
      <c r="BI72" s="90">
        <f t="shared" si="29"/>
        <v>3037.3120511789202</v>
      </c>
      <c r="BJ72" s="90">
        <f t="shared" si="29"/>
        <v>3111.0837330922482</v>
      </c>
      <c r="BK72" s="90">
        <f t="shared" si="29"/>
        <v>3175.5118935963919</v>
      </c>
      <c r="BL72" s="90">
        <f t="shared" si="29"/>
        <v>3249.3232646173578</v>
      </c>
      <c r="BM72" s="90">
        <f t="shared" si="29"/>
        <v>3328.856837141323</v>
      </c>
      <c r="BN72" s="90">
        <f t="shared" si="29"/>
        <v>3412.9506138541169</v>
      </c>
      <c r="BO72" s="90">
        <f t="shared" si="29"/>
        <v>3518.2922158148767</v>
      </c>
    </row>
    <row r="73" spans="1:67">
      <c r="A73" s="11"/>
      <c r="B73" s="11" t="s">
        <v>849</v>
      </c>
      <c r="C73" s="11"/>
      <c r="D73" s="33"/>
      <c r="E73" s="33"/>
      <c r="F73" s="33"/>
      <c r="G73" s="90">
        <f>IF(G39=0,0,G55/G39)</f>
        <v>0</v>
      </c>
      <c r="H73" s="90">
        <f t="shared" ref="H73:BO73" si="30">IF(H39=0,0,H55/H39)</f>
        <v>0</v>
      </c>
      <c r="I73" s="90">
        <f t="shared" si="30"/>
        <v>0</v>
      </c>
      <c r="J73" s="90">
        <f t="shared" si="30"/>
        <v>0</v>
      </c>
      <c r="K73" s="90">
        <f t="shared" si="30"/>
        <v>0</v>
      </c>
      <c r="L73" s="90">
        <f t="shared" si="30"/>
        <v>0</v>
      </c>
      <c r="M73" s="90">
        <f t="shared" si="30"/>
        <v>0</v>
      </c>
      <c r="N73" s="90">
        <f t="shared" si="30"/>
        <v>0</v>
      </c>
      <c r="O73" s="90">
        <f t="shared" si="30"/>
        <v>0</v>
      </c>
      <c r="P73" s="90">
        <f t="shared" si="30"/>
        <v>0</v>
      </c>
      <c r="Q73" s="90">
        <f t="shared" si="30"/>
        <v>0</v>
      </c>
      <c r="R73" s="90">
        <f t="shared" si="30"/>
        <v>0</v>
      </c>
      <c r="S73" s="90">
        <f t="shared" si="30"/>
        <v>0</v>
      </c>
      <c r="T73" s="90">
        <f t="shared" si="30"/>
        <v>0</v>
      </c>
      <c r="U73" s="90">
        <f t="shared" si="30"/>
        <v>0</v>
      </c>
      <c r="V73" s="90">
        <f t="shared" si="30"/>
        <v>0</v>
      </c>
      <c r="W73" s="90">
        <f t="shared" si="30"/>
        <v>0</v>
      </c>
      <c r="X73" s="90">
        <f t="shared" si="30"/>
        <v>0</v>
      </c>
      <c r="Y73" s="90">
        <f t="shared" si="30"/>
        <v>0</v>
      </c>
      <c r="Z73" s="90">
        <f t="shared" si="30"/>
        <v>0</v>
      </c>
      <c r="AA73" s="90">
        <f t="shared" si="30"/>
        <v>0</v>
      </c>
      <c r="AB73" s="90">
        <f t="shared" si="30"/>
        <v>34382.132310067063</v>
      </c>
      <c r="AC73" s="90">
        <f t="shared" si="30"/>
        <v>8489.1759631724108</v>
      </c>
      <c r="AD73" s="90">
        <f t="shared" si="30"/>
        <v>7998.3221049394742</v>
      </c>
      <c r="AE73" s="90">
        <f t="shared" si="30"/>
        <v>7849.1143500334356</v>
      </c>
      <c r="AF73" s="90">
        <f t="shared" si="30"/>
        <v>7618.697318997296</v>
      </c>
      <c r="AG73" s="90">
        <f t="shared" si="30"/>
        <v>7448.0705635848799</v>
      </c>
      <c r="AH73" s="90">
        <f t="shared" si="30"/>
        <v>7316.6345259173786</v>
      </c>
      <c r="AI73" s="90">
        <f t="shared" si="30"/>
        <v>7212.2777406969562</v>
      </c>
      <c r="AJ73" s="90">
        <f t="shared" si="30"/>
        <v>7127.4132182170833</v>
      </c>
      <c r="AK73" s="90">
        <f t="shared" si="30"/>
        <v>7057.0461478528487</v>
      </c>
      <c r="AL73" s="90">
        <f t="shared" si="30"/>
        <v>6997.7539581308511</v>
      </c>
      <c r="AM73" s="90">
        <f t="shared" si="30"/>
        <v>6947.1128211362766</v>
      </c>
      <c r="AN73" s="90">
        <f t="shared" si="30"/>
        <v>6903.3581172498298</v>
      </c>
      <c r="AO73" s="90">
        <f t="shared" si="30"/>
        <v>6903.3581172498325</v>
      </c>
      <c r="AP73" s="90">
        <f t="shared" si="30"/>
        <v>6903.3581172498325</v>
      </c>
      <c r="AQ73" s="90">
        <f t="shared" si="30"/>
        <v>7047.6517778202833</v>
      </c>
      <c r="AR73" s="90">
        <f t="shared" si="30"/>
        <v>7047.6517778202833</v>
      </c>
      <c r="AS73" s="90">
        <f t="shared" si="30"/>
        <v>7047.6517778202833</v>
      </c>
      <c r="AT73" s="90">
        <f t="shared" si="30"/>
        <v>7047.6517778202833</v>
      </c>
      <c r="AU73" s="90">
        <f t="shared" si="30"/>
        <v>7047.6517778202833</v>
      </c>
      <c r="AV73" s="90">
        <f t="shared" si="30"/>
        <v>7047.6517778202833</v>
      </c>
      <c r="AW73" s="90">
        <f t="shared" si="30"/>
        <v>7047.6517778202833</v>
      </c>
      <c r="AX73" s="90">
        <f t="shared" si="30"/>
        <v>7047.6517778202833</v>
      </c>
      <c r="AY73" s="90">
        <f t="shared" si="30"/>
        <v>7047.6517778202833</v>
      </c>
      <c r="AZ73" s="90">
        <f t="shared" si="30"/>
        <v>7047.6517778202833</v>
      </c>
      <c r="BA73" s="90">
        <f t="shared" si="30"/>
        <v>7047.6517778202833</v>
      </c>
      <c r="BB73" s="90">
        <f t="shared" si="30"/>
        <v>7047.6517778202833</v>
      </c>
      <c r="BC73" s="90">
        <f t="shared" si="30"/>
        <v>7195.3384493201302</v>
      </c>
      <c r="BD73" s="90">
        <f t="shared" si="30"/>
        <v>7195.3384493201302</v>
      </c>
      <c r="BE73" s="90">
        <f t="shared" si="30"/>
        <v>7195.3384493201302</v>
      </c>
      <c r="BF73" s="90">
        <f t="shared" si="30"/>
        <v>7195.3384493201302</v>
      </c>
      <c r="BG73" s="90">
        <f t="shared" si="30"/>
        <v>7195.3384493201302</v>
      </c>
      <c r="BH73" s="90">
        <f t="shared" si="30"/>
        <v>7195.3384493201302</v>
      </c>
      <c r="BI73" s="90">
        <f t="shared" si="30"/>
        <v>7346.5101861381063</v>
      </c>
      <c r="BJ73" s="90">
        <f t="shared" si="30"/>
        <v>7501.2620600966957</v>
      </c>
      <c r="BK73" s="90">
        <f t="shared" si="30"/>
        <v>7659.6922777112077</v>
      </c>
      <c r="BL73" s="90">
        <f t="shared" si="30"/>
        <v>7821.9023025849056</v>
      </c>
      <c r="BM73" s="90">
        <f t="shared" si="30"/>
        <v>7987.9969831813132</v>
      </c>
      <c r="BN73" s="90">
        <f t="shared" si="30"/>
        <v>8158.0846862267972</v>
      </c>
      <c r="BO73" s="90">
        <f t="shared" si="30"/>
        <v>8217.5228636641677</v>
      </c>
    </row>
    <row r="74" spans="1:67">
      <c r="A74" s="11"/>
      <c r="B74" s="11" t="s">
        <v>850</v>
      </c>
      <c r="C74" s="11"/>
      <c r="D74" s="33"/>
      <c r="E74" s="33"/>
      <c r="F74" s="33"/>
      <c r="G74" s="90">
        <f>IF(G40=0,0,G56/G40)</f>
        <v>0</v>
      </c>
      <c r="H74" s="90">
        <f t="shared" ref="H74:BO74" si="31">IF(H40=0,0,H56/H40)</f>
        <v>0</v>
      </c>
      <c r="I74" s="90">
        <f t="shared" si="31"/>
        <v>0</v>
      </c>
      <c r="J74" s="90">
        <f t="shared" si="31"/>
        <v>0</v>
      </c>
      <c r="K74" s="90">
        <f t="shared" si="31"/>
        <v>0</v>
      </c>
      <c r="L74" s="90">
        <f t="shared" si="31"/>
        <v>0</v>
      </c>
      <c r="M74" s="90">
        <f t="shared" si="31"/>
        <v>0</v>
      </c>
      <c r="N74" s="90">
        <f t="shared" si="31"/>
        <v>0</v>
      </c>
      <c r="O74" s="90">
        <f t="shared" si="31"/>
        <v>0</v>
      </c>
      <c r="P74" s="90">
        <f t="shared" si="31"/>
        <v>0</v>
      </c>
      <c r="Q74" s="90">
        <f t="shared" si="31"/>
        <v>0</v>
      </c>
      <c r="R74" s="90">
        <f t="shared" si="31"/>
        <v>0</v>
      </c>
      <c r="S74" s="90">
        <f t="shared" si="31"/>
        <v>0</v>
      </c>
      <c r="T74" s="90">
        <f t="shared" si="31"/>
        <v>0</v>
      </c>
      <c r="U74" s="90">
        <f t="shared" si="31"/>
        <v>0</v>
      </c>
      <c r="V74" s="90">
        <f t="shared" si="31"/>
        <v>0</v>
      </c>
      <c r="W74" s="90">
        <f t="shared" si="31"/>
        <v>0</v>
      </c>
      <c r="X74" s="90">
        <f t="shared" si="31"/>
        <v>0</v>
      </c>
      <c r="Y74" s="90">
        <f t="shared" si="31"/>
        <v>0</v>
      </c>
      <c r="Z74" s="90">
        <f t="shared" si="31"/>
        <v>0</v>
      </c>
      <c r="AA74" s="90">
        <f t="shared" si="31"/>
        <v>0</v>
      </c>
      <c r="AB74" s="90">
        <f t="shared" si="31"/>
        <v>66056.286776277528</v>
      </c>
      <c r="AC74" s="90">
        <f t="shared" si="31"/>
        <v>17260.609401389735</v>
      </c>
      <c r="AD74" s="90">
        <f t="shared" si="31"/>
        <v>16805.547559913313</v>
      </c>
      <c r="AE74" s="90">
        <f t="shared" si="31"/>
        <v>16929.591378816251</v>
      </c>
      <c r="AF74" s="90">
        <f t="shared" si="31"/>
        <v>16678.288253389539</v>
      </c>
      <c r="AG74" s="90">
        <f t="shared" si="31"/>
        <v>16485.468943736843</v>
      </c>
      <c r="AH74" s="90">
        <f t="shared" si="31"/>
        <v>16332.951749341773</v>
      </c>
      <c r="AI74" s="90">
        <f t="shared" si="31"/>
        <v>16209.346152601282</v>
      </c>
      <c r="AJ74" s="90">
        <f t="shared" si="31"/>
        <v>16107.168313341874</v>
      </c>
      <c r="AK74" s="90">
        <f t="shared" si="31"/>
        <v>16021.304568877747</v>
      </c>
      <c r="AL74" s="90">
        <f t="shared" si="31"/>
        <v>15948.144633294334</v>
      </c>
      <c r="AM74" s="90">
        <f t="shared" si="31"/>
        <v>15885.068214144068</v>
      </c>
      <c r="AN74" s="90">
        <f t="shared" si="31"/>
        <v>15830.128087136462</v>
      </c>
      <c r="AO74" s="90">
        <f t="shared" si="31"/>
        <v>15830.128087136465</v>
      </c>
      <c r="AP74" s="90">
        <f t="shared" si="31"/>
        <v>15830.128087136465</v>
      </c>
      <c r="AQ74" s="90">
        <f t="shared" si="31"/>
        <v>16220.095879747058</v>
      </c>
      <c r="AR74" s="90">
        <f t="shared" si="31"/>
        <v>16220.095879747058</v>
      </c>
      <c r="AS74" s="90">
        <f t="shared" si="31"/>
        <v>16220.095879747058</v>
      </c>
      <c r="AT74" s="90">
        <f t="shared" si="31"/>
        <v>16220.095879747058</v>
      </c>
      <c r="AU74" s="90">
        <f t="shared" si="31"/>
        <v>16220.095879747058</v>
      </c>
      <c r="AV74" s="90">
        <f t="shared" si="31"/>
        <v>16220.095879747058</v>
      </c>
      <c r="AW74" s="90">
        <f t="shared" si="31"/>
        <v>16220.095879747058</v>
      </c>
      <c r="AX74" s="90">
        <f t="shared" si="31"/>
        <v>16220.095879747058</v>
      </c>
      <c r="AY74" s="90">
        <f t="shared" si="31"/>
        <v>16220.095879747058</v>
      </c>
      <c r="AZ74" s="90">
        <f t="shared" si="31"/>
        <v>16220.095879747058</v>
      </c>
      <c r="BA74" s="90">
        <f t="shared" si="31"/>
        <v>16220.095879747058</v>
      </c>
      <c r="BB74" s="90">
        <f t="shared" si="31"/>
        <v>16220.095879747058</v>
      </c>
      <c r="BC74" s="90">
        <f t="shared" si="31"/>
        <v>16620.174203551796</v>
      </c>
      <c r="BD74" s="90">
        <f t="shared" si="31"/>
        <v>16620.174203551796</v>
      </c>
      <c r="BE74" s="90">
        <f t="shared" si="31"/>
        <v>16620.174203551796</v>
      </c>
      <c r="BF74" s="90">
        <f t="shared" si="31"/>
        <v>16620.174203551796</v>
      </c>
      <c r="BG74" s="90">
        <f t="shared" si="31"/>
        <v>16620.174203551796</v>
      </c>
      <c r="BH74" s="90">
        <f t="shared" si="31"/>
        <v>16620.174203551796</v>
      </c>
      <c r="BI74" s="90">
        <f t="shared" si="31"/>
        <v>17030.655006834499</v>
      </c>
      <c r="BJ74" s="90">
        <f t="shared" si="31"/>
        <v>17451.839954442672</v>
      </c>
      <c r="BK74" s="90">
        <f t="shared" si="31"/>
        <v>17884.040803092921</v>
      </c>
      <c r="BL74" s="90">
        <f t="shared" si="31"/>
        <v>18327.579792935365</v>
      </c>
      <c r="BM74" s="90">
        <f t="shared" si="31"/>
        <v>18782.790056132282</v>
      </c>
      <c r="BN74" s="90">
        <f t="shared" si="31"/>
        <v>19250.016043242038</v>
      </c>
      <c r="BO74" s="90">
        <f t="shared" si="31"/>
        <v>19847.049767941477</v>
      </c>
    </row>
    <row r="75" spans="1:67">
      <c r="A75" s="11"/>
      <c r="B75" s="11" t="s">
        <v>851</v>
      </c>
      <c r="C75" s="11"/>
      <c r="D75" s="33"/>
      <c r="E75" s="33"/>
      <c r="F75" s="33"/>
      <c r="G75" s="90">
        <f>IF(G41=0,0,G57/G41)</f>
        <v>0</v>
      </c>
      <c r="H75" s="90">
        <f t="shared" ref="H75:BO75" si="32">IF(H41=0,0,H57/H41)</f>
        <v>0</v>
      </c>
      <c r="I75" s="90">
        <f t="shared" si="32"/>
        <v>0</v>
      </c>
      <c r="J75" s="90">
        <f t="shared" si="32"/>
        <v>0</v>
      </c>
      <c r="K75" s="90">
        <f t="shared" si="32"/>
        <v>0</v>
      </c>
      <c r="L75" s="90">
        <f t="shared" si="32"/>
        <v>0</v>
      </c>
      <c r="M75" s="90">
        <f t="shared" si="32"/>
        <v>0</v>
      </c>
      <c r="N75" s="90">
        <f t="shared" si="32"/>
        <v>0</v>
      </c>
      <c r="O75" s="90">
        <f t="shared" si="32"/>
        <v>0</v>
      </c>
      <c r="P75" s="90">
        <f t="shared" si="32"/>
        <v>0</v>
      </c>
      <c r="Q75" s="90">
        <f t="shared" si="32"/>
        <v>0</v>
      </c>
      <c r="R75" s="90">
        <f t="shared" si="32"/>
        <v>0</v>
      </c>
      <c r="S75" s="90">
        <f t="shared" si="32"/>
        <v>0</v>
      </c>
      <c r="T75" s="90">
        <f t="shared" si="32"/>
        <v>0</v>
      </c>
      <c r="U75" s="90">
        <f t="shared" si="32"/>
        <v>0</v>
      </c>
      <c r="V75" s="90">
        <f t="shared" si="32"/>
        <v>0</v>
      </c>
      <c r="W75" s="90">
        <f t="shared" si="32"/>
        <v>0</v>
      </c>
      <c r="X75" s="90">
        <f t="shared" si="32"/>
        <v>0</v>
      </c>
      <c r="Y75" s="90">
        <f t="shared" si="32"/>
        <v>0</v>
      </c>
      <c r="Z75" s="90">
        <f t="shared" si="32"/>
        <v>0</v>
      </c>
      <c r="AA75" s="90">
        <f t="shared" si="32"/>
        <v>0</v>
      </c>
      <c r="AB75" s="90">
        <f t="shared" si="32"/>
        <v>9564.7475621415961</v>
      </c>
      <c r="AC75" s="90">
        <f t="shared" si="32"/>
        <v>2361.5994600361064</v>
      </c>
      <c r="AD75" s="90">
        <f t="shared" si="32"/>
        <v>2225.0490796943204</v>
      </c>
      <c r="AE75" s="90">
        <f t="shared" si="32"/>
        <v>2189.9632312766735</v>
      </c>
      <c r="AF75" s="90">
        <f t="shared" si="32"/>
        <v>2125.6751086521217</v>
      </c>
      <c r="AG75" s="90">
        <f t="shared" si="32"/>
        <v>2078.0689324695009</v>
      </c>
      <c r="AH75" s="90">
        <f t="shared" si="32"/>
        <v>2041.3972677541947</v>
      </c>
      <c r="AI75" s="90">
        <f t="shared" si="32"/>
        <v>2012.2809226004272</v>
      </c>
      <c r="AJ75" s="90">
        <f t="shared" si="32"/>
        <v>1988.6030685671269</v>
      </c>
      <c r="AK75" s="90">
        <f t="shared" si="32"/>
        <v>1968.9701151002589</v>
      </c>
      <c r="AL75" s="90">
        <f t="shared" si="32"/>
        <v>1952.4271384531548</v>
      </c>
      <c r="AM75" s="90">
        <f t="shared" si="32"/>
        <v>1938.2978720082479</v>
      </c>
      <c r="AN75" s="90">
        <f t="shared" si="32"/>
        <v>1926.0899733290407</v>
      </c>
      <c r="AO75" s="90">
        <f t="shared" si="32"/>
        <v>1926.0899733290414</v>
      </c>
      <c r="AP75" s="90">
        <f t="shared" si="32"/>
        <v>1926.0899733290414</v>
      </c>
      <c r="AQ75" s="90">
        <f t="shared" si="32"/>
        <v>1972.1323931087854</v>
      </c>
      <c r="AR75" s="90">
        <f t="shared" si="32"/>
        <v>1972.1323931087854</v>
      </c>
      <c r="AS75" s="90">
        <f t="shared" si="32"/>
        <v>1972.1323931087854</v>
      </c>
      <c r="AT75" s="90">
        <f t="shared" si="32"/>
        <v>1972.1323931087854</v>
      </c>
      <c r="AU75" s="90">
        <f t="shared" si="32"/>
        <v>1972.1323931087854</v>
      </c>
      <c r="AV75" s="90">
        <f t="shared" si="32"/>
        <v>1972.1323931087854</v>
      </c>
      <c r="AW75" s="90">
        <f t="shared" si="32"/>
        <v>1972.1323931087854</v>
      </c>
      <c r="AX75" s="90">
        <f t="shared" si="32"/>
        <v>1972.1323931087854</v>
      </c>
      <c r="AY75" s="90">
        <f t="shared" si="32"/>
        <v>1972.1323931087854</v>
      </c>
      <c r="AZ75" s="90">
        <f t="shared" si="32"/>
        <v>1972.1323931087854</v>
      </c>
      <c r="BA75" s="90">
        <f t="shared" si="32"/>
        <v>1972.1323931087854</v>
      </c>
      <c r="BB75" s="90">
        <f t="shared" si="32"/>
        <v>1972.1323931087854</v>
      </c>
      <c r="BC75" s="90">
        <f t="shared" si="32"/>
        <v>2019.3812419740041</v>
      </c>
      <c r="BD75" s="90">
        <f t="shared" si="32"/>
        <v>2019.3812419740041</v>
      </c>
      <c r="BE75" s="90">
        <f t="shared" si="32"/>
        <v>2019.3812419740041</v>
      </c>
      <c r="BF75" s="90">
        <f t="shared" si="32"/>
        <v>2019.3812419740041</v>
      </c>
      <c r="BG75" s="90">
        <f t="shared" si="32"/>
        <v>2019.3812419740041</v>
      </c>
      <c r="BH75" s="90">
        <f t="shared" si="32"/>
        <v>2019.3812419740041</v>
      </c>
      <c r="BI75" s="90">
        <f t="shared" si="32"/>
        <v>2067.8719301913247</v>
      </c>
      <c r="BJ75" s="90">
        <f t="shared" si="32"/>
        <v>2117.6410783785054</v>
      </c>
      <c r="BK75" s="90">
        <f t="shared" si="32"/>
        <v>2168.7265657308353</v>
      </c>
      <c r="BL75" s="90">
        <f t="shared" si="32"/>
        <v>2221.1675804167289</v>
      </c>
      <c r="BM75" s="90">
        <f t="shared" si="32"/>
        <v>2275.0046722480829</v>
      </c>
      <c r="BN75" s="90">
        <f t="shared" si="32"/>
        <v>2330.2798077363973</v>
      </c>
      <c r="BO75" s="90">
        <f t="shared" si="32"/>
        <v>2401.2446900256164</v>
      </c>
    </row>
    <row r="76" spans="1:67">
      <c r="A76" s="11"/>
      <c r="B76" s="11" t="s">
        <v>852</v>
      </c>
      <c r="C76" s="11"/>
      <c r="D76" s="33"/>
      <c r="E76" s="33"/>
      <c r="F76" s="33"/>
      <c r="G76" s="90">
        <f>IF(G39=0,0,G59/G39)</f>
        <v>0</v>
      </c>
      <c r="H76" s="90">
        <f t="shared" ref="H76:BO76" si="33">IF(H39=0,0,H59/H39)</f>
        <v>0</v>
      </c>
      <c r="I76" s="90">
        <f t="shared" si="33"/>
        <v>0</v>
      </c>
      <c r="J76" s="90">
        <f t="shared" si="33"/>
        <v>0</v>
      </c>
      <c r="K76" s="90">
        <f t="shared" si="33"/>
        <v>0</v>
      </c>
      <c r="L76" s="90">
        <f t="shared" si="33"/>
        <v>0</v>
      </c>
      <c r="M76" s="90">
        <f t="shared" si="33"/>
        <v>0</v>
      </c>
      <c r="N76" s="90">
        <f t="shared" si="33"/>
        <v>0</v>
      </c>
      <c r="O76" s="90">
        <f t="shared" si="33"/>
        <v>0</v>
      </c>
      <c r="P76" s="90">
        <f t="shared" si="33"/>
        <v>0</v>
      </c>
      <c r="Q76" s="90">
        <f t="shared" si="33"/>
        <v>0</v>
      </c>
      <c r="R76" s="90">
        <f t="shared" si="33"/>
        <v>0</v>
      </c>
      <c r="S76" s="90">
        <f t="shared" si="33"/>
        <v>0</v>
      </c>
      <c r="T76" s="90">
        <f t="shared" si="33"/>
        <v>0</v>
      </c>
      <c r="U76" s="90">
        <f t="shared" si="33"/>
        <v>0</v>
      </c>
      <c r="V76" s="90">
        <f t="shared" si="33"/>
        <v>0</v>
      </c>
      <c r="W76" s="90">
        <f t="shared" si="33"/>
        <v>0</v>
      </c>
      <c r="X76" s="90">
        <f t="shared" si="33"/>
        <v>0</v>
      </c>
      <c r="Y76" s="90">
        <f t="shared" si="33"/>
        <v>0</v>
      </c>
      <c r="Z76" s="90">
        <f t="shared" si="33"/>
        <v>0</v>
      </c>
      <c r="AA76" s="90">
        <f t="shared" si="33"/>
        <v>0</v>
      </c>
      <c r="AB76" s="90">
        <f t="shared" si="33"/>
        <v>3514.7105333115974</v>
      </c>
      <c r="AC76" s="90">
        <f t="shared" si="33"/>
        <v>3403.1949163696941</v>
      </c>
      <c r="AD76" s="90">
        <f t="shared" si="33"/>
        <v>3340.7391446744136</v>
      </c>
      <c r="AE76" s="90">
        <f t="shared" si="33"/>
        <v>3323.1111565614415</v>
      </c>
      <c r="AF76" s="90">
        <f t="shared" si="33"/>
        <v>3297.0302862799558</v>
      </c>
      <c r="AG76" s="90">
        <f t="shared" si="33"/>
        <v>3278.7097587511948</v>
      </c>
      <c r="AH76" s="90">
        <f t="shared" si="33"/>
        <v>3265.475901241151</v>
      </c>
      <c r="AI76" s="90">
        <f t="shared" si="33"/>
        <v>3255.7567336749935</v>
      </c>
      <c r="AJ76" s="90">
        <f t="shared" si="33"/>
        <v>3248.5675199903799</v>
      </c>
      <c r="AK76" s="90">
        <f t="shared" si="33"/>
        <v>3243.259970109536</v>
      </c>
      <c r="AL76" s="90">
        <f t="shared" si="33"/>
        <v>3239.3898591572265</v>
      </c>
      <c r="AM76" s="90">
        <f t="shared" si="33"/>
        <v>3236.6425919054413</v>
      </c>
      <c r="AN76" s="90">
        <f t="shared" si="33"/>
        <v>3234.7891335666504</v>
      </c>
      <c r="AO76" s="90">
        <f t="shared" si="33"/>
        <v>3238.7108061941926</v>
      </c>
      <c r="AP76" s="90">
        <f t="shared" si="33"/>
        <v>3242.6324788217344</v>
      </c>
      <c r="AQ76" s="90">
        <f t="shared" si="33"/>
        <v>3270.4295220294589</v>
      </c>
      <c r="AR76" s="90">
        <f t="shared" si="33"/>
        <v>3274.3542253419491</v>
      </c>
      <c r="AS76" s="90">
        <f t="shared" si="33"/>
        <v>3278.2789286544394</v>
      </c>
      <c r="AT76" s="90">
        <f t="shared" si="33"/>
        <v>3282.2036319669296</v>
      </c>
      <c r="AU76" s="90">
        <f t="shared" si="33"/>
        <v>3286.1283352794203</v>
      </c>
      <c r="AV76" s="90">
        <f t="shared" si="33"/>
        <v>3290.0530385919114</v>
      </c>
      <c r="AW76" s="90">
        <f t="shared" si="33"/>
        <v>3293.9777419044012</v>
      </c>
      <c r="AX76" s="90">
        <f t="shared" si="33"/>
        <v>3297.9024452168919</v>
      </c>
      <c r="AY76" s="90">
        <f t="shared" si="33"/>
        <v>3301.8271485293831</v>
      </c>
      <c r="AZ76" s="90">
        <f t="shared" si="33"/>
        <v>3305.7518518418733</v>
      </c>
      <c r="BA76" s="90">
        <f t="shared" si="33"/>
        <v>3309.676555154364</v>
      </c>
      <c r="BB76" s="90">
        <f t="shared" si="33"/>
        <v>3313.6012584668538</v>
      </c>
      <c r="BC76" s="90">
        <f t="shared" si="33"/>
        <v>3342.6362270137133</v>
      </c>
      <c r="BD76" s="90">
        <f t="shared" si="33"/>
        <v>3346.5640902805758</v>
      </c>
      <c r="BE76" s="90">
        <f t="shared" si="33"/>
        <v>3350.4919535474373</v>
      </c>
      <c r="BF76" s="90">
        <f t="shared" si="33"/>
        <v>3354.4198168142998</v>
      </c>
      <c r="BG76" s="90">
        <f t="shared" si="33"/>
        <v>3358.3476800811613</v>
      </c>
      <c r="BH76" s="90">
        <f t="shared" si="33"/>
        <v>3362.2755433480238</v>
      </c>
      <c r="BI76" s="90">
        <f t="shared" si="33"/>
        <v>3444.1212822243697</v>
      </c>
      <c r="BJ76" s="90">
        <f t="shared" si="33"/>
        <v>3519.0447383992268</v>
      </c>
      <c r="BK76" s="90">
        <f t="shared" si="33"/>
        <v>3555.8497428955548</v>
      </c>
      <c r="BL76" s="90">
        <f t="shared" si="33"/>
        <v>3620.6783245754987</v>
      </c>
      <c r="BM76" s="90">
        <f t="shared" si="33"/>
        <v>3700.2859891130465</v>
      </c>
      <c r="BN76" s="90">
        <f t="shared" si="33"/>
        <v>3790.3259918788799</v>
      </c>
      <c r="BO76" s="90">
        <f t="shared" si="33"/>
        <v>3822.7522672313794</v>
      </c>
    </row>
    <row r="77" spans="1:67">
      <c r="A77" s="11"/>
      <c r="B77" s="11" t="s">
        <v>853</v>
      </c>
      <c r="C77" s="11"/>
      <c r="D77" s="33"/>
      <c r="E77" s="33"/>
      <c r="F77" s="33"/>
      <c r="G77" s="90">
        <f>IF(G40=0,0,G60/G40)</f>
        <v>0</v>
      </c>
      <c r="H77" s="90">
        <f t="shared" ref="H77:BO77" si="34">IF(H40=0,0,H60/H40)</f>
        <v>0</v>
      </c>
      <c r="I77" s="90">
        <f t="shared" si="34"/>
        <v>0</v>
      </c>
      <c r="J77" s="90">
        <f t="shared" si="34"/>
        <v>0</v>
      </c>
      <c r="K77" s="90">
        <f t="shared" si="34"/>
        <v>0</v>
      </c>
      <c r="L77" s="90">
        <f t="shared" si="34"/>
        <v>0</v>
      </c>
      <c r="M77" s="90">
        <f t="shared" si="34"/>
        <v>0</v>
      </c>
      <c r="N77" s="90">
        <f t="shared" si="34"/>
        <v>0</v>
      </c>
      <c r="O77" s="90">
        <f t="shared" si="34"/>
        <v>0</v>
      </c>
      <c r="P77" s="90">
        <f t="shared" si="34"/>
        <v>0</v>
      </c>
      <c r="Q77" s="90">
        <f t="shared" si="34"/>
        <v>0</v>
      </c>
      <c r="R77" s="90">
        <f t="shared" si="34"/>
        <v>0</v>
      </c>
      <c r="S77" s="90">
        <f t="shared" si="34"/>
        <v>0</v>
      </c>
      <c r="T77" s="90">
        <f t="shared" si="34"/>
        <v>0</v>
      </c>
      <c r="U77" s="90">
        <f t="shared" si="34"/>
        <v>0</v>
      </c>
      <c r="V77" s="90">
        <f t="shared" si="34"/>
        <v>0</v>
      </c>
      <c r="W77" s="90">
        <f t="shared" si="34"/>
        <v>0</v>
      </c>
      <c r="X77" s="90">
        <f t="shared" si="34"/>
        <v>0</v>
      </c>
      <c r="Y77" s="90">
        <f t="shared" si="34"/>
        <v>0</v>
      </c>
      <c r="Z77" s="90">
        <f t="shared" si="34"/>
        <v>0</v>
      </c>
      <c r="AA77" s="90">
        <f t="shared" si="34"/>
        <v>0</v>
      </c>
      <c r="AB77" s="90">
        <f t="shared" si="34"/>
        <v>6752.5982632570858</v>
      </c>
      <c r="AC77" s="90">
        <f t="shared" si="34"/>
        <v>6919.5430066572508</v>
      </c>
      <c r="AD77" s="90">
        <f t="shared" si="34"/>
        <v>7019.3410373430861</v>
      </c>
      <c r="AE77" s="90">
        <f t="shared" si="34"/>
        <v>7167.5492900330901</v>
      </c>
      <c r="AF77" s="90">
        <f t="shared" si="34"/>
        <v>7217.6146645985482</v>
      </c>
      <c r="AG77" s="90">
        <f t="shared" si="34"/>
        <v>7257.0563667436681</v>
      </c>
      <c r="AH77" s="90">
        <f t="shared" si="34"/>
        <v>7289.5345728537395</v>
      </c>
      <c r="AI77" s="90">
        <f t="shared" si="34"/>
        <v>7317.2012756819731</v>
      </c>
      <c r="AJ77" s="90">
        <f t="shared" si="34"/>
        <v>7341.4045488483343</v>
      </c>
      <c r="AK77" s="90">
        <f t="shared" si="34"/>
        <v>7363.031881686612</v>
      </c>
      <c r="AL77" s="90">
        <f t="shared" si="34"/>
        <v>7382.6914044954156</v>
      </c>
      <c r="AM77" s="90">
        <f t="shared" si="34"/>
        <v>7400.8137885419619</v>
      </c>
      <c r="AN77" s="90">
        <f t="shared" si="34"/>
        <v>7417.7125754613462</v>
      </c>
      <c r="AO77" s="90">
        <f t="shared" si="34"/>
        <v>7426.7053843168924</v>
      </c>
      <c r="AP77" s="90">
        <f t="shared" si="34"/>
        <v>7435.6981931724386</v>
      </c>
      <c r="AQ77" s="90">
        <f t="shared" si="34"/>
        <v>7526.8588868446577</v>
      </c>
      <c r="AR77" s="90">
        <f t="shared" si="34"/>
        <v>7535.8915499266359</v>
      </c>
      <c r="AS77" s="90">
        <f t="shared" si="34"/>
        <v>7544.9242130086132</v>
      </c>
      <c r="AT77" s="90">
        <f t="shared" si="34"/>
        <v>7553.9568760905913</v>
      </c>
      <c r="AU77" s="90">
        <f t="shared" si="34"/>
        <v>7562.9895391725695</v>
      </c>
      <c r="AV77" s="90">
        <f t="shared" si="34"/>
        <v>7572.0222022545486</v>
      </c>
      <c r="AW77" s="90">
        <f t="shared" si="34"/>
        <v>7581.0548653365258</v>
      </c>
      <c r="AX77" s="90">
        <f t="shared" si="34"/>
        <v>7590.0875284185058</v>
      </c>
      <c r="AY77" s="90">
        <f t="shared" si="34"/>
        <v>7599.120191500484</v>
      </c>
      <c r="AZ77" s="90">
        <f t="shared" si="34"/>
        <v>7608.1528545824622</v>
      </c>
      <c r="BA77" s="90">
        <f t="shared" si="34"/>
        <v>7617.1855176644422</v>
      </c>
      <c r="BB77" s="90">
        <f t="shared" si="34"/>
        <v>7626.2181807464194</v>
      </c>
      <c r="BC77" s="90">
        <f t="shared" si="34"/>
        <v>7720.9983635057897</v>
      </c>
      <c r="BD77" s="90">
        <f t="shared" si="34"/>
        <v>7730.0711503111352</v>
      </c>
      <c r="BE77" s="90">
        <f t="shared" si="34"/>
        <v>7739.1439371164806</v>
      </c>
      <c r="BF77" s="90">
        <f t="shared" si="34"/>
        <v>7748.2167239218243</v>
      </c>
      <c r="BG77" s="90">
        <f t="shared" si="34"/>
        <v>7757.289510727167</v>
      </c>
      <c r="BH77" s="90">
        <f t="shared" si="34"/>
        <v>7766.3622975325115</v>
      </c>
      <c r="BI77" s="90">
        <f t="shared" si="34"/>
        <v>7984.1502799431437</v>
      </c>
      <c r="BJ77" s="90">
        <f t="shared" si="34"/>
        <v>8187.1297223117208</v>
      </c>
      <c r="BK77" s="90">
        <f t="shared" si="34"/>
        <v>8302.2867741905902</v>
      </c>
      <c r="BL77" s="90">
        <f t="shared" si="34"/>
        <v>8483.6486485237165</v>
      </c>
      <c r="BM77" s="90">
        <f t="shared" si="34"/>
        <v>8700.766290660049</v>
      </c>
      <c r="BN77" s="90">
        <f t="shared" si="34"/>
        <v>8943.7458618160399</v>
      </c>
      <c r="BO77" s="90">
        <f t="shared" si="34"/>
        <v>9232.7524677457295</v>
      </c>
    </row>
    <row r="78" spans="1:67">
      <c r="A78" s="11"/>
      <c r="B78" s="11" t="s">
        <v>854</v>
      </c>
      <c r="C78" s="11"/>
      <c r="D78" s="33"/>
      <c r="E78" s="33"/>
      <c r="F78" s="33"/>
      <c r="G78" s="90">
        <f>IF(G41=0,0,G61/G41)</f>
        <v>0</v>
      </c>
      <c r="H78" s="90">
        <f t="shared" ref="H78:BO78" si="35">IF(H41=0,0,H61/H41)</f>
        <v>0</v>
      </c>
      <c r="I78" s="90">
        <f t="shared" si="35"/>
        <v>0</v>
      </c>
      <c r="J78" s="90">
        <f t="shared" si="35"/>
        <v>0</v>
      </c>
      <c r="K78" s="90">
        <f t="shared" si="35"/>
        <v>0</v>
      </c>
      <c r="L78" s="90">
        <f t="shared" si="35"/>
        <v>0</v>
      </c>
      <c r="M78" s="90">
        <f t="shared" si="35"/>
        <v>0</v>
      </c>
      <c r="N78" s="90">
        <f t="shared" si="35"/>
        <v>0</v>
      </c>
      <c r="O78" s="90">
        <f t="shared" si="35"/>
        <v>0</v>
      </c>
      <c r="P78" s="90">
        <f t="shared" si="35"/>
        <v>0</v>
      </c>
      <c r="Q78" s="90">
        <f t="shared" si="35"/>
        <v>0</v>
      </c>
      <c r="R78" s="90">
        <f t="shared" si="35"/>
        <v>0</v>
      </c>
      <c r="S78" s="90">
        <f t="shared" si="35"/>
        <v>0</v>
      </c>
      <c r="T78" s="90">
        <f t="shared" si="35"/>
        <v>0</v>
      </c>
      <c r="U78" s="90">
        <f t="shared" si="35"/>
        <v>0</v>
      </c>
      <c r="V78" s="90">
        <f t="shared" si="35"/>
        <v>0</v>
      </c>
      <c r="W78" s="90">
        <f t="shared" si="35"/>
        <v>0</v>
      </c>
      <c r="X78" s="90">
        <f t="shared" si="35"/>
        <v>0</v>
      </c>
      <c r="Y78" s="90">
        <f t="shared" si="35"/>
        <v>0</v>
      </c>
      <c r="Z78" s="90">
        <f t="shared" si="35"/>
        <v>0</v>
      </c>
      <c r="AA78" s="90">
        <f t="shared" si="35"/>
        <v>0</v>
      </c>
      <c r="AB78" s="90">
        <f t="shared" si="35"/>
        <v>977.75550108282152</v>
      </c>
      <c r="AC78" s="90">
        <f t="shared" si="35"/>
        <v>946.73302942030966</v>
      </c>
      <c r="AD78" s="90">
        <f t="shared" si="35"/>
        <v>929.35849067219408</v>
      </c>
      <c r="AE78" s="90">
        <f t="shared" si="35"/>
        <v>927.17355382698156</v>
      </c>
      <c r="AF78" s="90">
        <f t="shared" si="35"/>
        <v>919.89679056312264</v>
      </c>
      <c r="AG78" s="90">
        <f t="shared" si="35"/>
        <v>914.78522257260079</v>
      </c>
      <c r="AH78" s="90">
        <f t="shared" si="35"/>
        <v>911.09287461300869</v>
      </c>
      <c r="AI78" s="90">
        <f t="shared" si="35"/>
        <v>908.38115216136509</v>
      </c>
      <c r="AJ78" s="90">
        <f t="shared" si="35"/>
        <v>906.37530628768036</v>
      </c>
      <c r="AK78" s="90">
        <f t="shared" si="35"/>
        <v>904.89445907755351</v>
      </c>
      <c r="AL78" s="90">
        <f t="shared" si="35"/>
        <v>903.81466837651931</v>
      </c>
      <c r="AM78" s="90">
        <f t="shared" si="35"/>
        <v>903.04815969801166</v>
      </c>
      <c r="AN78" s="90">
        <f t="shared" si="35"/>
        <v>902.53103057596741</v>
      </c>
      <c r="AO78" s="90">
        <f t="shared" si="35"/>
        <v>903.62520738068986</v>
      </c>
      <c r="AP78" s="90">
        <f t="shared" si="35"/>
        <v>904.71938418541254</v>
      </c>
      <c r="AQ78" s="90">
        <f t="shared" si="35"/>
        <v>915.15872280630231</v>
      </c>
      <c r="AR78" s="90">
        <f t="shared" si="35"/>
        <v>916.25696584950447</v>
      </c>
      <c r="AS78" s="90">
        <f t="shared" si="35"/>
        <v>917.35520889270674</v>
      </c>
      <c r="AT78" s="90">
        <f t="shared" si="35"/>
        <v>918.45345193590913</v>
      </c>
      <c r="AU78" s="90">
        <f t="shared" si="35"/>
        <v>919.55169497911152</v>
      </c>
      <c r="AV78" s="90">
        <f t="shared" si="35"/>
        <v>920.64993802231402</v>
      </c>
      <c r="AW78" s="90">
        <f t="shared" si="35"/>
        <v>921.74818106551629</v>
      </c>
      <c r="AX78" s="90">
        <f t="shared" si="35"/>
        <v>922.84642410871879</v>
      </c>
      <c r="AY78" s="90">
        <f t="shared" si="35"/>
        <v>923.94466715192095</v>
      </c>
      <c r="AZ78" s="90">
        <f t="shared" si="35"/>
        <v>925.04291019512357</v>
      </c>
      <c r="BA78" s="90">
        <f t="shared" si="35"/>
        <v>926.14115323832596</v>
      </c>
      <c r="BB78" s="90">
        <f t="shared" si="35"/>
        <v>927.23939628152812</v>
      </c>
      <c r="BC78" s="90">
        <f t="shared" si="35"/>
        <v>938.11527325890381</v>
      </c>
      <c r="BD78" s="90">
        <f t="shared" si="35"/>
        <v>939.21763327407291</v>
      </c>
      <c r="BE78" s="90">
        <f t="shared" si="35"/>
        <v>940.31999328924223</v>
      </c>
      <c r="BF78" s="90">
        <f t="shared" si="35"/>
        <v>941.42235330441144</v>
      </c>
      <c r="BG78" s="90">
        <f t="shared" si="35"/>
        <v>942.52471331958043</v>
      </c>
      <c r="BH78" s="90">
        <f t="shared" si="35"/>
        <v>943.62707333474975</v>
      </c>
      <c r="BI78" s="90">
        <f t="shared" si="35"/>
        <v>969.44012098759549</v>
      </c>
      <c r="BJ78" s="90">
        <f t="shared" si="35"/>
        <v>993.4426547137432</v>
      </c>
      <c r="BK78" s="90">
        <f t="shared" si="35"/>
        <v>1006.7853278655565</v>
      </c>
      <c r="BL78" s="90">
        <f t="shared" si="35"/>
        <v>1028.1556842006287</v>
      </c>
      <c r="BM78" s="90">
        <f t="shared" si="35"/>
        <v>1053.8521648932403</v>
      </c>
      <c r="BN78" s="90">
        <f t="shared" si="35"/>
        <v>1082.6708061177192</v>
      </c>
      <c r="BO78" s="90">
        <f t="shared" si="35"/>
        <v>1117.0475257892604</v>
      </c>
    </row>
    <row r="79" spans="1:67">
      <c r="A79" s="11"/>
      <c r="B79" s="11" t="s">
        <v>855</v>
      </c>
      <c r="C79" s="11"/>
      <c r="D79" s="33"/>
      <c r="E79" s="33"/>
      <c r="F79" s="33"/>
      <c r="G79" s="90">
        <f>IF(G39=0,0,(G62-G18*G46*G50)/G39)</f>
        <v>0</v>
      </c>
      <c r="H79" s="90">
        <f t="shared" ref="H79:BO79" si="36">IF(H39=0,0,(H62-H18*H46*H50)/H39)</f>
        <v>0</v>
      </c>
      <c r="I79" s="90">
        <f t="shared" si="36"/>
        <v>0</v>
      </c>
      <c r="J79" s="90">
        <f t="shared" si="36"/>
        <v>0</v>
      </c>
      <c r="K79" s="90">
        <f t="shared" si="36"/>
        <v>0</v>
      </c>
      <c r="L79" s="90">
        <f t="shared" si="36"/>
        <v>0</v>
      </c>
      <c r="M79" s="90">
        <f t="shared" si="36"/>
        <v>0</v>
      </c>
      <c r="N79" s="90">
        <f t="shared" si="36"/>
        <v>0</v>
      </c>
      <c r="O79" s="90">
        <f t="shared" si="36"/>
        <v>0</v>
      </c>
      <c r="P79" s="90">
        <f t="shared" si="36"/>
        <v>0</v>
      </c>
      <c r="Q79" s="90">
        <f t="shared" si="36"/>
        <v>0</v>
      </c>
      <c r="R79" s="90">
        <f t="shared" si="36"/>
        <v>0</v>
      </c>
      <c r="S79" s="90">
        <f t="shared" si="36"/>
        <v>0</v>
      </c>
      <c r="T79" s="90">
        <f t="shared" si="36"/>
        <v>0</v>
      </c>
      <c r="U79" s="90">
        <f t="shared" si="36"/>
        <v>0</v>
      </c>
      <c r="V79" s="90">
        <f t="shared" si="36"/>
        <v>0</v>
      </c>
      <c r="W79" s="90">
        <f t="shared" si="36"/>
        <v>0</v>
      </c>
      <c r="X79" s="90">
        <f t="shared" si="36"/>
        <v>0</v>
      </c>
      <c r="Y79" s="90">
        <f t="shared" si="36"/>
        <v>0</v>
      </c>
      <c r="Z79" s="90">
        <f t="shared" si="36"/>
        <v>0</v>
      </c>
      <c r="AA79" s="90">
        <f t="shared" si="36"/>
        <v>0</v>
      </c>
      <c r="AB79" s="90">
        <f t="shared" si="36"/>
        <v>35795.357697059218</v>
      </c>
      <c r="AC79" s="90">
        <f t="shared" si="36"/>
        <v>9857.1850629662458</v>
      </c>
      <c r="AD79" s="90">
        <f t="shared" si="36"/>
        <v>9340.8560831568211</v>
      </c>
      <c r="AE79" s="90">
        <f t="shared" si="36"/>
        <v>9202.9910912575833</v>
      </c>
      <c r="AF79" s="90">
        <f t="shared" si="36"/>
        <v>8961.5738547099063</v>
      </c>
      <c r="AG79" s="90">
        <f t="shared" si="36"/>
        <v>8783.1136269211856</v>
      </c>
      <c r="AH79" s="90">
        <f t="shared" si="36"/>
        <v>8645.9198146924864</v>
      </c>
      <c r="AI79" s="90">
        <f t="shared" si="36"/>
        <v>8537.2394808800054</v>
      </c>
      <c r="AJ79" s="90">
        <f t="shared" si="36"/>
        <v>8449.0837983304082</v>
      </c>
      <c r="AK79" s="90">
        <f t="shared" si="36"/>
        <v>8376.1934111872215</v>
      </c>
      <c r="AL79" s="90">
        <f t="shared" si="36"/>
        <v>8314.9644748455976</v>
      </c>
      <c r="AM79" s="90">
        <f t="shared" si="36"/>
        <v>8262.844785729425</v>
      </c>
      <c r="AN79" s="90">
        <f t="shared" si="36"/>
        <v>8217.9762628770623</v>
      </c>
      <c r="AO79" s="90">
        <f t="shared" si="36"/>
        <v>8219.210100223625</v>
      </c>
      <c r="AP79" s="90">
        <f t="shared" si="36"/>
        <v>8220.4439375701841</v>
      </c>
      <c r="AQ79" s="90">
        <f t="shared" si="36"/>
        <v>8394.4089199129794</v>
      </c>
      <c r="AR79" s="90">
        <f t="shared" si="36"/>
        <v>8395.6521472387467</v>
      </c>
      <c r="AS79" s="90">
        <f t="shared" si="36"/>
        <v>8396.8953745645158</v>
      </c>
      <c r="AT79" s="90">
        <f t="shared" si="36"/>
        <v>8398.1386018902831</v>
      </c>
      <c r="AU79" s="90">
        <f t="shared" si="36"/>
        <v>8399.3818292160522</v>
      </c>
      <c r="AV79" s="90">
        <f t="shared" si="36"/>
        <v>8400.6250565418213</v>
      </c>
      <c r="AW79" s="90">
        <f t="shared" si="36"/>
        <v>8401.8682838675886</v>
      </c>
      <c r="AX79" s="90">
        <f t="shared" si="36"/>
        <v>8403.1115111933577</v>
      </c>
      <c r="AY79" s="90">
        <f t="shared" si="36"/>
        <v>8404.354738519125</v>
      </c>
      <c r="AZ79" s="90">
        <f t="shared" si="36"/>
        <v>8405.5979658448941</v>
      </c>
      <c r="BA79" s="90">
        <f t="shared" si="36"/>
        <v>8406.8411931706632</v>
      </c>
      <c r="BB79" s="90">
        <f t="shared" si="36"/>
        <v>8408.0844204964287</v>
      </c>
      <c r="BC79" s="90">
        <f t="shared" si="36"/>
        <v>8586.7307926357771</v>
      </c>
      <c r="BD79" s="90">
        <f t="shared" si="36"/>
        <v>8587.9834950401746</v>
      </c>
      <c r="BE79" s="90">
        <f t="shared" si="36"/>
        <v>8589.2361974445685</v>
      </c>
      <c r="BF79" s="90">
        <f t="shared" si="36"/>
        <v>8590.4888998489623</v>
      </c>
      <c r="BG79" s="90">
        <f t="shared" si="36"/>
        <v>8591.7416022533598</v>
      </c>
      <c r="BH79" s="90">
        <f t="shared" si="36"/>
        <v>8592.9943046577537</v>
      </c>
      <c r="BI79" s="90">
        <f t="shared" si="36"/>
        <v>8798.5909340197923</v>
      </c>
      <c r="BJ79" s="90">
        <f t="shared" si="36"/>
        <v>9000.9634089095089</v>
      </c>
      <c r="BK79" s="90">
        <f t="shared" si="36"/>
        <v>9208.5849913923848</v>
      </c>
      <c r="BL79" s="90">
        <f t="shared" si="36"/>
        <v>9421.622217828648</v>
      </c>
      <c r="BM79" s="90">
        <f t="shared" si="36"/>
        <v>9640.2480144506808</v>
      </c>
      <c r="BN79" s="90">
        <f t="shared" si="36"/>
        <v>9873.4137086580631</v>
      </c>
      <c r="BO79" s="90">
        <f t="shared" si="36"/>
        <v>9965.864931167338</v>
      </c>
    </row>
    <row r="80" spans="1:67">
      <c r="A80" s="11"/>
      <c r="B80" s="11" t="s">
        <v>856</v>
      </c>
      <c r="C80" s="11"/>
      <c r="D80" s="33"/>
      <c r="E80" s="33"/>
      <c r="F80" s="33"/>
      <c r="G80" s="90">
        <f>IF(G40=0,0,(G63-G18*G47*G51)/G40)</f>
        <v>0</v>
      </c>
      <c r="H80" s="90">
        <f t="shared" ref="H80:BO80" si="37">IF(H40=0,0,(H63-H18*H47*H51)/H40)</f>
        <v>0</v>
      </c>
      <c r="I80" s="90">
        <f t="shared" si="37"/>
        <v>0</v>
      </c>
      <c r="J80" s="90">
        <f t="shared" si="37"/>
        <v>0</v>
      </c>
      <c r="K80" s="90">
        <f t="shared" si="37"/>
        <v>0</v>
      </c>
      <c r="L80" s="90">
        <f t="shared" si="37"/>
        <v>0</v>
      </c>
      <c r="M80" s="90">
        <f t="shared" si="37"/>
        <v>0</v>
      </c>
      <c r="N80" s="90">
        <f t="shared" si="37"/>
        <v>0</v>
      </c>
      <c r="O80" s="90">
        <f t="shared" si="37"/>
        <v>0</v>
      </c>
      <c r="P80" s="90">
        <f t="shared" si="37"/>
        <v>0</v>
      </c>
      <c r="Q80" s="90">
        <f t="shared" si="37"/>
        <v>0</v>
      </c>
      <c r="R80" s="90">
        <f t="shared" si="37"/>
        <v>0</v>
      </c>
      <c r="S80" s="90">
        <f t="shared" si="37"/>
        <v>0</v>
      </c>
      <c r="T80" s="90">
        <f t="shared" si="37"/>
        <v>0</v>
      </c>
      <c r="U80" s="90">
        <f t="shared" si="37"/>
        <v>0</v>
      </c>
      <c r="V80" s="90">
        <f t="shared" si="37"/>
        <v>0</v>
      </c>
      <c r="W80" s="90">
        <f t="shared" si="37"/>
        <v>0</v>
      </c>
      <c r="X80" s="90">
        <f t="shared" si="37"/>
        <v>0</v>
      </c>
      <c r="Y80" s="90">
        <f t="shared" si="37"/>
        <v>0</v>
      </c>
      <c r="Z80" s="90">
        <f t="shared" si="37"/>
        <v>0</v>
      </c>
      <c r="AA80" s="90">
        <f t="shared" si="37"/>
        <v>0</v>
      </c>
      <c r="AB80" s="90">
        <f t="shared" si="37"/>
        <v>68771.430229301128</v>
      </c>
      <c r="AC80" s="90">
        <f t="shared" si="37"/>
        <v>20042.112674678479</v>
      </c>
      <c r="AD80" s="90">
        <f t="shared" si="37"/>
        <v>19626.391522648668</v>
      </c>
      <c r="AE80" s="90">
        <f t="shared" si="37"/>
        <v>19849.739943871948</v>
      </c>
      <c r="AF80" s="90">
        <f t="shared" si="37"/>
        <v>19618.014168931717</v>
      </c>
      <c r="AG80" s="90">
        <f t="shared" si="37"/>
        <v>19440.437048736745</v>
      </c>
      <c r="AH80" s="90">
        <f t="shared" si="37"/>
        <v>19300.320476830795</v>
      </c>
      <c r="AI80" s="90">
        <f t="shared" si="37"/>
        <v>19187.152090993302</v>
      </c>
      <c r="AJ80" s="90">
        <f t="shared" si="37"/>
        <v>19093.998154253331</v>
      </c>
      <c r="AK80" s="90">
        <f t="shared" si="37"/>
        <v>19016.107158274423</v>
      </c>
      <c r="AL80" s="90">
        <f t="shared" si="37"/>
        <v>18950.116974527413</v>
      </c>
      <c r="AM80" s="90">
        <f t="shared" si="37"/>
        <v>18893.583052927625</v>
      </c>
      <c r="AN80" s="90">
        <f t="shared" si="37"/>
        <v>18844.686114910259</v>
      </c>
      <c r="AO80" s="90">
        <f t="shared" si="37"/>
        <v>18847.515434047844</v>
      </c>
      <c r="AP80" s="90">
        <f t="shared" si="37"/>
        <v>18850.344753185429</v>
      </c>
      <c r="AQ80" s="90">
        <f t="shared" si="37"/>
        <v>19319.643170126063</v>
      </c>
      <c r="AR80" s="90">
        <f t="shared" si="37"/>
        <v>19322.504444641323</v>
      </c>
      <c r="AS80" s="90">
        <f t="shared" si="37"/>
        <v>19325.365719156576</v>
      </c>
      <c r="AT80" s="90">
        <f t="shared" si="37"/>
        <v>19328.226993671833</v>
      </c>
      <c r="AU80" s="90">
        <f t="shared" si="37"/>
        <v>19331.088268187093</v>
      </c>
      <c r="AV80" s="90">
        <f t="shared" si="37"/>
        <v>19333.949542702347</v>
      </c>
      <c r="AW80" s="90">
        <f t="shared" si="37"/>
        <v>19336.810817217607</v>
      </c>
      <c r="AX80" s="90">
        <f t="shared" si="37"/>
        <v>19339.67209173286</v>
      </c>
      <c r="AY80" s="90">
        <f t="shared" si="37"/>
        <v>19342.533366248121</v>
      </c>
      <c r="AZ80" s="90">
        <f t="shared" si="37"/>
        <v>19345.39464076337</v>
      </c>
      <c r="BA80" s="90">
        <f t="shared" si="37"/>
        <v>19348.255915278634</v>
      </c>
      <c r="BB80" s="90">
        <f t="shared" si="37"/>
        <v>19351.117189793891</v>
      </c>
      <c r="BC80" s="90">
        <f t="shared" si="37"/>
        <v>19834.086001346273</v>
      </c>
      <c r="BD80" s="90">
        <f t="shared" si="37"/>
        <v>19836.979559770654</v>
      </c>
      <c r="BE80" s="90">
        <f t="shared" si="37"/>
        <v>19839.873118195028</v>
      </c>
      <c r="BF80" s="90">
        <f t="shared" si="37"/>
        <v>19842.766676619402</v>
      </c>
      <c r="BG80" s="90">
        <f t="shared" si="37"/>
        <v>19845.660235043775</v>
      </c>
      <c r="BH80" s="90">
        <f t="shared" si="37"/>
        <v>19848.553793468145</v>
      </c>
      <c r="BI80" s="90">
        <f t="shared" si="37"/>
        <v>20396.86367362451</v>
      </c>
      <c r="BJ80" s="90">
        <f t="shared" si="37"/>
        <v>20940.925885484739</v>
      </c>
      <c r="BK80" s="90">
        <f t="shared" si="37"/>
        <v>21500.434188985524</v>
      </c>
      <c r="BL80" s="90">
        <f t="shared" si="37"/>
        <v>22075.899991627757</v>
      </c>
      <c r="BM80" s="90">
        <f t="shared" si="37"/>
        <v>22667.854648132281</v>
      </c>
      <c r="BN80" s="90">
        <f t="shared" si="37"/>
        <v>23297.548334367675</v>
      </c>
      <c r="BO80" s="90">
        <f t="shared" si="37"/>
        <v>24069.664368571714</v>
      </c>
    </row>
    <row r="81" spans="1:67">
      <c r="A81" s="11"/>
      <c r="B81" s="11" t="s">
        <v>857</v>
      </c>
      <c r="C81" s="11"/>
      <c r="D81" s="33"/>
      <c r="E81" s="33"/>
      <c r="F81" s="33"/>
      <c r="G81" s="90">
        <f>IF(G41=0,0,(G64-G18*G48*G52)/G41)</f>
        <v>0</v>
      </c>
      <c r="H81" s="90">
        <f t="shared" ref="H81:BO81" si="38">IF(H41=0,0,(H64-H18*H48*H52)/H41)</f>
        <v>0</v>
      </c>
      <c r="I81" s="90">
        <f t="shared" si="38"/>
        <v>0</v>
      </c>
      <c r="J81" s="90">
        <f t="shared" si="38"/>
        <v>0</v>
      </c>
      <c r="K81" s="90">
        <f t="shared" si="38"/>
        <v>0</v>
      </c>
      <c r="L81" s="90">
        <f t="shared" si="38"/>
        <v>0</v>
      </c>
      <c r="M81" s="90">
        <f t="shared" si="38"/>
        <v>0</v>
      </c>
      <c r="N81" s="90">
        <f t="shared" si="38"/>
        <v>0</v>
      </c>
      <c r="O81" s="90">
        <f t="shared" si="38"/>
        <v>0</v>
      </c>
      <c r="P81" s="90">
        <f t="shared" si="38"/>
        <v>0</v>
      </c>
      <c r="Q81" s="90">
        <f t="shared" si="38"/>
        <v>0</v>
      </c>
      <c r="R81" s="90">
        <f t="shared" si="38"/>
        <v>0</v>
      </c>
      <c r="S81" s="90">
        <f t="shared" si="38"/>
        <v>0</v>
      </c>
      <c r="T81" s="90">
        <f t="shared" si="38"/>
        <v>0</v>
      </c>
      <c r="U81" s="90">
        <f t="shared" si="38"/>
        <v>0</v>
      </c>
      <c r="V81" s="90">
        <f t="shared" si="38"/>
        <v>0</v>
      </c>
      <c r="W81" s="90">
        <f t="shared" si="38"/>
        <v>0</v>
      </c>
      <c r="X81" s="90">
        <f t="shared" si="38"/>
        <v>0</v>
      </c>
      <c r="Y81" s="90">
        <f t="shared" si="38"/>
        <v>0</v>
      </c>
      <c r="Z81" s="90">
        <f t="shared" si="38"/>
        <v>0</v>
      </c>
      <c r="AA81" s="90">
        <f t="shared" si="38"/>
        <v>0</v>
      </c>
      <c r="AB81" s="90">
        <f t="shared" si="38"/>
        <v>9957.8919998713081</v>
      </c>
      <c r="AC81" s="90">
        <f t="shared" si="38"/>
        <v>2742.1652022722105</v>
      </c>
      <c r="AD81" s="90">
        <f t="shared" si="38"/>
        <v>2598.5279110664742</v>
      </c>
      <c r="AE81" s="90">
        <f t="shared" si="38"/>
        <v>2567.70524785832</v>
      </c>
      <c r="AF81" s="90">
        <f t="shared" si="38"/>
        <v>2500.3479833494157</v>
      </c>
      <c r="AG81" s="90">
        <f t="shared" si="38"/>
        <v>2450.556208166412</v>
      </c>
      <c r="AH81" s="90">
        <f t="shared" si="38"/>
        <v>2412.2780800947721</v>
      </c>
      <c r="AI81" s="90">
        <f t="shared" si="38"/>
        <v>2381.9554316533977</v>
      </c>
      <c r="AJ81" s="90">
        <f t="shared" si="38"/>
        <v>2357.359318665071</v>
      </c>
      <c r="AK81" s="90">
        <f t="shared" si="38"/>
        <v>2337.0223404228805</v>
      </c>
      <c r="AL81" s="90">
        <f t="shared" si="38"/>
        <v>2319.938996583232</v>
      </c>
      <c r="AM81" s="90">
        <f t="shared" si="38"/>
        <v>2305.3972027323753</v>
      </c>
      <c r="AN81" s="90">
        <f t="shared" si="38"/>
        <v>2292.8785400009606</v>
      </c>
      <c r="AO81" s="90">
        <f t="shared" si="38"/>
        <v>2293.2227901038186</v>
      </c>
      <c r="AP81" s="90">
        <f t="shared" si="38"/>
        <v>2293.5670402066762</v>
      </c>
      <c r="AQ81" s="90">
        <f t="shared" si="38"/>
        <v>2348.9931503230227</v>
      </c>
      <c r="AR81" s="90">
        <f t="shared" si="38"/>
        <v>2349.3410405080713</v>
      </c>
      <c r="AS81" s="90">
        <f t="shared" si="38"/>
        <v>2349.6889306931203</v>
      </c>
      <c r="AT81" s="90">
        <f t="shared" si="38"/>
        <v>2350.0368208781688</v>
      </c>
      <c r="AU81" s="90">
        <f t="shared" si="38"/>
        <v>2350.3847110632173</v>
      </c>
      <c r="AV81" s="90">
        <f t="shared" si="38"/>
        <v>2350.7326012482663</v>
      </c>
      <c r="AW81" s="90">
        <f t="shared" si="38"/>
        <v>2351.0804914333157</v>
      </c>
      <c r="AX81" s="90">
        <f t="shared" si="38"/>
        <v>2351.4283816183643</v>
      </c>
      <c r="AY81" s="90">
        <f t="shared" si="38"/>
        <v>2351.7762718034128</v>
      </c>
      <c r="AZ81" s="90">
        <f t="shared" si="38"/>
        <v>2352.1241619884618</v>
      </c>
      <c r="BA81" s="90">
        <f t="shared" si="38"/>
        <v>2352.4720521735107</v>
      </c>
      <c r="BB81" s="90">
        <f t="shared" si="38"/>
        <v>2352.8199423585593</v>
      </c>
      <c r="BC81" s="90">
        <f t="shared" si="38"/>
        <v>2409.8773413733811</v>
      </c>
      <c r="BD81" s="90">
        <f t="shared" si="38"/>
        <v>2410.2289139581912</v>
      </c>
      <c r="BE81" s="90">
        <f t="shared" si="38"/>
        <v>2410.5804865430014</v>
      </c>
      <c r="BF81" s="90">
        <f t="shared" si="38"/>
        <v>2410.9320591278115</v>
      </c>
      <c r="BG81" s="90">
        <f t="shared" si="38"/>
        <v>2411.2836317126216</v>
      </c>
      <c r="BH81" s="90">
        <f t="shared" si="38"/>
        <v>2411.6352042974318</v>
      </c>
      <c r="BI81" s="90">
        <f t="shared" si="38"/>
        <v>2476.5989233943687</v>
      </c>
      <c r="BJ81" s="90">
        <f t="shared" si="38"/>
        <v>2541.0137263545885</v>
      </c>
      <c r="BK81" s="90">
        <f t="shared" si="38"/>
        <v>2607.2722218535941</v>
      </c>
      <c r="BL81" s="90">
        <f t="shared" si="38"/>
        <v>2675.4363600602901</v>
      </c>
      <c r="BM81" s="90">
        <f t="shared" si="38"/>
        <v>2745.5705505000178</v>
      </c>
      <c r="BN81" s="90">
        <f t="shared" si="38"/>
        <v>2820.2473354508643</v>
      </c>
      <c r="BO81" s="90">
        <f t="shared" si="38"/>
        <v>2912.1282221547176</v>
      </c>
    </row>
    <row r="82" spans="1:67">
      <c r="A82" s="11"/>
      <c r="B82" s="11"/>
      <c r="C82" s="11"/>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3"/>
      <c r="AP82" s="33"/>
      <c r="AQ82" s="33"/>
      <c r="AR82" s="33"/>
      <c r="AS82" s="33"/>
      <c r="AT82" s="33"/>
      <c r="AU82" s="33"/>
      <c r="AV82" s="33"/>
      <c r="AW82" s="33"/>
      <c r="AX82" s="33"/>
      <c r="AY82" s="33"/>
      <c r="AZ82" s="33"/>
      <c r="BA82" s="33"/>
      <c r="BB82" s="33"/>
      <c r="BC82" s="33"/>
      <c r="BD82" s="33"/>
      <c r="BE82" s="33"/>
      <c r="BF82" s="33"/>
      <c r="BG82" s="33"/>
      <c r="BH82" s="33"/>
      <c r="BI82" s="33"/>
      <c r="BJ82" s="33"/>
      <c r="BK82" s="33"/>
      <c r="BL82" s="33"/>
      <c r="BM82" s="33"/>
      <c r="BN82" s="33"/>
      <c r="BO82" s="33"/>
    </row>
    <row r="83" spans="1:67">
      <c r="A83" s="18" t="s">
        <v>858</v>
      </c>
      <c r="B83" s="18"/>
      <c r="C83" s="18"/>
      <c r="D83" s="39"/>
      <c r="E83" s="39"/>
      <c r="F83" s="39"/>
      <c r="G83" s="39"/>
      <c r="H83" s="39"/>
      <c r="I83" s="39"/>
      <c r="J83" s="39"/>
      <c r="K83" s="39"/>
      <c r="L83" s="39"/>
      <c r="M83" s="39"/>
      <c r="N83" s="39"/>
      <c r="O83" s="39"/>
      <c r="P83" s="39"/>
      <c r="Q83" s="39"/>
      <c r="R83" s="39"/>
      <c r="S83" s="39"/>
      <c r="T83" s="39"/>
      <c r="U83" s="39"/>
      <c r="V83" s="39"/>
      <c r="W83" s="39"/>
      <c r="X83" s="39"/>
      <c r="Y83" s="39"/>
      <c r="Z83" s="39"/>
      <c r="AA83" s="39"/>
      <c r="AB83" s="39"/>
      <c r="AC83" s="39"/>
      <c r="AD83" s="39"/>
      <c r="AE83" s="39"/>
      <c r="AF83" s="39"/>
      <c r="AG83" s="39"/>
      <c r="AH83" s="39"/>
      <c r="AI83" s="39"/>
      <c r="AJ83" s="39"/>
      <c r="AK83" s="39"/>
      <c r="AL83" s="39"/>
      <c r="AM83" s="39"/>
      <c r="AN83" s="39"/>
      <c r="AO83" s="39"/>
      <c r="AP83" s="39"/>
      <c r="AQ83" s="39"/>
      <c r="AR83" s="39"/>
      <c r="AS83" s="39"/>
      <c r="AT83" s="39"/>
      <c r="AU83" s="39"/>
      <c r="AV83" s="39"/>
      <c r="AW83" s="39"/>
      <c r="AX83" s="39"/>
      <c r="AY83" s="39"/>
      <c r="AZ83" s="39"/>
      <c r="BA83" s="39"/>
      <c r="BB83" s="39"/>
      <c r="BC83" s="39"/>
      <c r="BD83" s="39"/>
      <c r="BE83" s="39"/>
      <c r="BF83" s="39"/>
      <c r="BG83" s="39"/>
      <c r="BH83" s="39"/>
      <c r="BI83" s="39"/>
      <c r="BJ83" s="39"/>
      <c r="BK83" s="39"/>
      <c r="BL83" s="39"/>
      <c r="BM83" s="39"/>
      <c r="BN83" s="39"/>
      <c r="BO83" s="39"/>
    </row>
    <row r="84" spans="1:67">
      <c r="A84" s="11"/>
      <c r="B84" s="11" t="s">
        <v>859</v>
      </c>
      <c r="C84" s="11"/>
      <c r="D84" s="33"/>
      <c r="E84" s="33"/>
      <c r="F84" s="33"/>
      <c r="G84" s="90">
        <f>'04 Operating Model'!G$73</f>
        <v>0</v>
      </c>
      <c r="H84" s="90">
        <f>'04 Operating Model'!H$73</f>
        <v>0</v>
      </c>
      <c r="I84" s="90">
        <f>'04 Operating Model'!I$73</f>
        <v>0</v>
      </c>
      <c r="J84" s="90">
        <f>'04 Operating Model'!J$73</f>
        <v>0</v>
      </c>
      <c r="K84" s="90">
        <f>'04 Operating Model'!K$73</f>
        <v>0</v>
      </c>
      <c r="L84" s="90">
        <f>'04 Operating Model'!L$73</f>
        <v>0</v>
      </c>
      <c r="M84" s="90">
        <f>'04 Operating Model'!M$73</f>
        <v>0</v>
      </c>
      <c r="N84" s="90">
        <f>'04 Operating Model'!N$73</f>
        <v>0</v>
      </c>
      <c r="O84" s="90">
        <f>'04 Operating Model'!O$73</f>
        <v>0</v>
      </c>
      <c r="P84" s="90">
        <f>'04 Operating Model'!P$73</f>
        <v>0</v>
      </c>
      <c r="Q84" s="90">
        <f>'04 Operating Model'!Q$73</f>
        <v>0</v>
      </c>
      <c r="R84" s="90">
        <f>'04 Operating Model'!R$73</f>
        <v>0</v>
      </c>
      <c r="S84" s="90">
        <f>'04 Operating Model'!S$73</f>
        <v>0</v>
      </c>
      <c r="T84" s="90">
        <f>'04 Operating Model'!T$73</f>
        <v>0</v>
      </c>
      <c r="U84" s="90">
        <f>'04 Operating Model'!U$73</f>
        <v>0</v>
      </c>
      <c r="V84" s="90">
        <f>'04 Operating Model'!V$73</f>
        <v>0</v>
      </c>
      <c r="W84" s="90">
        <f>'04 Operating Model'!W$73</f>
        <v>0</v>
      </c>
      <c r="X84" s="90">
        <f>'04 Operating Model'!X$73</f>
        <v>0</v>
      </c>
      <c r="Y84" s="63">
        <f>'04 Operating Model'!Y$73</f>
        <v>0</v>
      </c>
      <c r="Z84" s="63">
        <f>'04 Operating Model'!Z$73</f>
        <v>0</v>
      </c>
      <c r="AA84" s="63">
        <f>'04 Operating Model'!AA$73</f>
        <v>0</v>
      </c>
      <c r="AB84" s="63">
        <f>'04 Operating Model'!AB$73</f>
        <v>202.554</v>
      </c>
      <c r="AC84" s="63">
        <f>'04 Operating Model'!AC$73</f>
        <v>268.38404999999995</v>
      </c>
      <c r="AD84" s="63">
        <f>'04 Operating Model'!AD$73</f>
        <v>334.21410000000003</v>
      </c>
      <c r="AE84" s="63">
        <f>'04 Operating Model'!AE$73</f>
        <v>400.04415000000017</v>
      </c>
      <c r="AF84" s="63">
        <f>'04 Operating Model'!AF$73</f>
        <v>465.87420000000003</v>
      </c>
      <c r="AG84" s="63">
        <f>'04 Operating Model'!AG$73</f>
        <v>531.70425</v>
      </c>
      <c r="AH84" s="63">
        <f>'04 Operating Model'!AH$73</f>
        <v>597.53429999999992</v>
      </c>
      <c r="AI84" s="63">
        <f>'04 Operating Model'!AI$73</f>
        <v>663.36434999999994</v>
      </c>
      <c r="AJ84" s="63">
        <f>'04 Operating Model'!AJ$73</f>
        <v>729.19440000000009</v>
      </c>
      <c r="AK84" s="63">
        <f>'04 Operating Model'!AK$73</f>
        <v>795.02445</v>
      </c>
      <c r="AL84" s="63">
        <f>'04 Operating Model'!AL$73</f>
        <v>860.85449999999992</v>
      </c>
      <c r="AM84" s="63">
        <f>'04 Operating Model'!AM$73</f>
        <v>926.68455000000006</v>
      </c>
      <c r="AN84" s="63">
        <f>'04 Operating Model'!AN$73</f>
        <v>992.51459999999986</v>
      </c>
      <c r="AO84" s="63">
        <f>'04 Operating Model'!AO$73</f>
        <v>992.51459999999986</v>
      </c>
      <c r="AP84" s="63">
        <f>'04 Operating Model'!AP$73</f>
        <v>992.51459999999986</v>
      </c>
      <c r="AQ84" s="63">
        <f>'04 Operating Model'!AQ$73</f>
        <v>992.51459999999986</v>
      </c>
      <c r="AR84" s="63">
        <f>'04 Operating Model'!AR$73</f>
        <v>992.51459999999986</v>
      </c>
      <c r="AS84" s="63">
        <f>'04 Operating Model'!AS$73</f>
        <v>992.51459999999986</v>
      </c>
      <c r="AT84" s="63">
        <f>'04 Operating Model'!AT$73</f>
        <v>992.51459999999986</v>
      </c>
      <c r="AU84" s="63">
        <f>'04 Operating Model'!AU$73</f>
        <v>992.51459999999986</v>
      </c>
      <c r="AV84" s="63">
        <f>'04 Operating Model'!AV$73</f>
        <v>992.51459999999986</v>
      </c>
      <c r="AW84" s="63">
        <f>'04 Operating Model'!AW$73</f>
        <v>992.51459999999986</v>
      </c>
      <c r="AX84" s="63">
        <f>'04 Operating Model'!AX$73</f>
        <v>992.51459999999986</v>
      </c>
      <c r="AY84" s="63">
        <f>'04 Operating Model'!AY$73</f>
        <v>992.51459999999986</v>
      </c>
      <c r="AZ84" s="63">
        <f>'04 Operating Model'!AZ$73</f>
        <v>992.51459999999986</v>
      </c>
      <c r="BA84" s="63">
        <f>'04 Operating Model'!BA$73</f>
        <v>992.51459999999986</v>
      </c>
      <c r="BB84" s="63">
        <f>'04 Operating Model'!BB$73</f>
        <v>992.51459999999986</v>
      </c>
      <c r="BC84" s="63">
        <f>'04 Operating Model'!BC$73</f>
        <v>992.51459999999986</v>
      </c>
      <c r="BD84" s="63">
        <f>'04 Operating Model'!BD$73</f>
        <v>992.51459999999986</v>
      </c>
      <c r="BE84" s="63">
        <f>'04 Operating Model'!BE$73</f>
        <v>992.51459999999986</v>
      </c>
      <c r="BF84" s="63">
        <f>'04 Operating Model'!BF$73</f>
        <v>992.51459999999986</v>
      </c>
      <c r="BG84" s="63">
        <f>'04 Operating Model'!BG$73</f>
        <v>992.51459999999986</v>
      </c>
      <c r="BH84" s="63">
        <f>'04 Operating Model'!BH$73</f>
        <v>992.51459999999986</v>
      </c>
      <c r="BI84" s="90">
        <f>'04 Operating Model'!BI$73</f>
        <v>11910.1752</v>
      </c>
      <c r="BJ84" s="90">
        <f>'04 Operating Model'!BJ$73</f>
        <v>11910.1752</v>
      </c>
      <c r="BK84" s="90">
        <f>'04 Operating Model'!BK$73</f>
        <v>11910.1752</v>
      </c>
      <c r="BL84" s="90">
        <f>'04 Operating Model'!BL$73</f>
        <v>11910.1752</v>
      </c>
      <c r="BM84" s="90">
        <f>'04 Operating Model'!BM$73</f>
        <v>11910.1752</v>
      </c>
      <c r="BN84" s="90">
        <f>'04 Operating Model'!BN$73</f>
        <v>11910.1752</v>
      </c>
      <c r="BO84" s="90">
        <f>'04 Operating Model'!BO$73</f>
        <v>11910.1752</v>
      </c>
    </row>
    <row r="85" spans="1:67">
      <c r="A85" s="11"/>
      <c r="B85" s="11" t="s">
        <v>860</v>
      </c>
      <c r="C85" s="11"/>
      <c r="D85" s="33"/>
      <c r="E85" s="33"/>
      <c r="F85" s="33"/>
      <c r="G85" s="63">
        <f>'04 Operating Model'!G$76</f>
        <v>1012.77</v>
      </c>
      <c r="H85" s="63">
        <f>'04 Operating Model'!H$76</f>
        <v>1012.77</v>
      </c>
      <c r="I85" s="63">
        <f>'04 Operating Model'!I$76</f>
        <v>1012.77</v>
      </c>
      <c r="J85" s="63">
        <f>'04 Operating Model'!J$76</f>
        <v>1012.77</v>
      </c>
      <c r="K85" s="63">
        <f>'04 Operating Model'!K$76</f>
        <v>1012.77</v>
      </c>
      <c r="L85" s="63">
        <f>'04 Operating Model'!L$76</f>
        <v>1012.77</v>
      </c>
      <c r="M85" s="63">
        <f>'04 Operating Model'!M$76</f>
        <v>1012.77</v>
      </c>
      <c r="N85" s="63">
        <f>'04 Operating Model'!N$76</f>
        <v>1012.77</v>
      </c>
      <c r="O85" s="63">
        <f>'04 Operating Model'!O$76</f>
        <v>1012.77</v>
      </c>
      <c r="P85" s="63">
        <f>'04 Operating Model'!P$76</f>
        <v>1012.77</v>
      </c>
      <c r="Q85" s="63">
        <f>'04 Operating Model'!Q$76</f>
        <v>1012.77</v>
      </c>
      <c r="R85" s="63">
        <f>'04 Operating Model'!R$76</f>
        <v>1012.77</v>
      </c>
      <c r="S85" s="63">
        <f>'04 Operating Model'!S$76</f>
        <v>1012.77</v>
      </c>
      <c r="T85" s="63">
        <f>'04 Operating Model'!T$76</f>
        <v>1012.77</v>
      </c>
      <c r="U85" s="63">
        <f>'04 Operating Model'!U$76</f>
        <v>1012.77</v>
      </c>
      <c r="V85" s="63">
        <f>'04 Operating Model'!V$76</f>
        <v>1012.77</v>
      </c>
      <c r="W85" s="63">
        <f>'04 Operating Model'!W$76</f>
        <v>1012.77</v>
      </c>
      <c r="X85" s="63">
        <f>'04 Operating Model'!X$76</f>
        <v>1012.77</v>
      </c>
      <c r="Y85" s="63">
        <f>'04 Operating Model'!Y$76</f>
        <v>1012.77</v>
      </c>
      <c r="Z85" s="63">
        <f>'04 Operating Model'!Z$76</f>
        <v>1012.77</v>
      </c>
      <c r="AA85" s="63">
        <f>'04 Operating Model'!AA$76</f>
        <v>1012.77</v>
      </c>
      <c r="AB85" s="63">
        <f>'04 Operating Model'!AB$76</f>
        <v>1012.77</v>
      </c>
      <c r="AC85" s="63">
        <f>'04 Operating Model'!AC$76</f>
        <v>1012.77</v>
      </c>
      <c r="AD85" s="63">
        <f>'04 Operating Model'!AD$76</f>
        <v>1012.77</v>
      </c>
      <c r="AE85" s="63">
        <f>'04 Operating Model'!AE$76</f>
        <v>1012.77</v>
      </c>
      <c r="AF85" s="63">
        <f>'04 Operating Model'!AF$76</f>
        <v>1012.77</v>
      </c>
      <c r="AG85" s="63">
        <f>'04 Operating Model'!AG$76</f>
        <v>1012.77</v>
      </c>
      <c r="AH85" s="63">
        <f>'04 Operating Model'!AH$76</f>
        <v>1012.77</v>
      </c>
      <c r="AI85" s="63">
        <f>'04 Operating Model'!AI$76</f>
        <v>1012.77</v>
      </c>
      <c r="AJ85" s="63">
        <f>'04 Operating Model'!AJ$76</f>
        <v>1012.77</v>
      </c>
      <c r="AK85" s="63">
        <f>'04 Operating Model'!AK$76</f>
        <v>1012.77</v>
      </c>
      <c r="AL85" s="63">
        <f>'04 Operating Model'!AL$76</f>
        <v>1012.77</v>
      </c>
      <c r="AM85" s="63">
        <f>'04 Operating Model'!AM$76</f>
        <v>1012.77</v>
      </c>
      <c r="AN85" s="63">
        <f>'04 Operating Model'!AN$76</f>
        <v>1012.77</v>
      </c>
      <c r="AO85" s="63">
        <f>'04 Operating Model'!AO$76</f>
        <v>1012.77</v>
      </c>
      <c r="AP85" s="63">
        <f>'04 Operating Model'!AP$76</f>
        <v>1012.77</v>
      </c>
      <c r="AQ85" s="63">
        <f>'04 Operating Model'!AQ$76</f>
        <v>1012.77</v>
      </c>
      <c r="AR85" s="63">
        <f>'04 Operating Model'!AR$76</f>
        <v>1012.77</v>
      </c>
      <c r="AS85" s="63">
        <f>'04 Operating Model'!AS$76</f>
        <v>1012.77</v>
      </c>
      <c r="AT85" s="63">
        <f>'04 Operating Model'!AT$76</f>
        <v>1012.77</v>
      </c>
      <c r="AU85" s="63">
        <f>'04 Operating Model'!AU$76</f>
        <v>1012.77</v>
      </c>
      <c r="AV85" s="63">
        <f>'04 Operating Model'!AV$76</f>
        <v>1012.77</v>
      </c>
      <c r="AW85" s="63">
        <f>'04 Operating Model'!AW$76</f>
        <v>1012.77</v>
      </c>
      <c r="AX85" s="63">
        <f>'04 Operating Model'!AX$76</f>
        <v>1012.77</v>
      </c>
      <c r="AY85" s="63">
        <f>'04 Operating Model'!AY$76</f>
        <v>1012.77</v>
      </c>
      <c r="AZ85" s="63">
        <f>'04 Operating Model'!AZ$76</f>
        <v>1012.77</v>
      </c>
      <c r="BA85" s="63">
        <f>'04 Operating Model'!BA$76</f>
        <v>1012.77</v>
      </c>
      <c r="BB85" s="63">
        <f>'04 Operating Model'!BB$76</f>
        <v>1012.77</v>
      </c>
      <c r="BC85" s="63">
        <f>'04 Operating Model'!BC$76</f>
        <v>1012.77</v>
      </c>
      <c r="BD85" s="63">
        <f>'04 Operating Model'!BD$76</f>
        <v>1012.77</v>
      </c>
      <c r="BE85" s="63">
        <f>'04 Operating Model'!BE$76</f>
        <v>1012.77</v>
      </c>
      <c r="BF85" s="63">
        <f>'04 Operating Model'!BF$76</f>
        <v>1012.77</v>
      </c>
      <c r="BG85" s="63">
        <f>'04 Operating Model'!BG$76</f>
        <v>1012.77</v>
      </c>
      <c r="BH85" s="63">
        <f>'04 Operating Model'!BH$76</f>
        <v>1012.77</v>
      </c>
      <c r="BI85" s="90">
        <f>'04 Operating Model'!BI$76</f>
        <v>12153.24</v>
      </c>
      <c r="BJ85" s="90">
        <f>'04 Operating Model'!BJ$76</f>
        <v>12153.24</v>
      </c>
      <c r="BK85" s="90">
        <f>'04 Operating Model'!BK$76</f>
        <v>12153.24</v>
      </c>
      <c r="BL85" s="90">
        <f>'04 Operating Model'!BL$76</f>
        <v>12153.24</v>
      </c>
      <c r="BM85" s="90">
        <f>'04 Operating Model'!BM$76</f>
        <v>12153.24</v>
      </c>
      <c r="BN85" s="90">
        <f>'04 Operating Model'!BN$76</f>
        <v>12153.24</v>
      </c>
      <c r="BO85" s="90">
        <f>'04 Operating Model'!BO$76</f>
        <v>12153.24</v>
      </c>
    </row>
    <row r="86" spans="1:67">
      <c r="A86" s="11"/>
      <c r="B86" s="11" t="s">
        <v>861</v>
      </c>
      <c r="C86" s="11"/>
      <c r="D86" s="33"/>
      <c r="E86" s="33"/>
      <c r="F86" s="33"/>
      <c r="G86" s="6">
        <f>IF(G85=0,0,G84/G85)</f>
        <v>0</v>
      </c>
      <c r="H86" s="6">
        <f t="shared" ref="H86:BO86" si="39">IF(H85=0,0,H84/H85)</f>
        <v>0</v>
      </c>
      <c r="I86" s="6">
        <f t="shared" si="39"/>
        <v>0</v>
      </c>
      <c r="J86" s="6">
        <f t="shared" si="39"/>
        <v>0</v>
      </c>
      <c r="K86" s="6">
        <f t="shared" si="39"/>
        <v>0</v>
      </c>
      <c r="L86" s="6">
        <f t="shared" si="39"/>
        <v>0</v>
      </c>
      <c r="M86" s="6">
        <f t="shared" si="39"/>
        <v>0</v>
      </c>
      <c r="N86" s="6">
        <f t="shared" si="39"/>
        <v>0</v>
      </c>
      <c r="O86" s="6">
        <f t="shared" si="39"/>
        <v>0</v>
      </c>
      <c r="P86" s="6">
        <f t="shared" si="39"/>
        <v>0</v>
      </c>
      <c r="Q86" s="6">
        <f t="shared" si="39"/>
        <v>0</v>
      </c>
      <c r="R86" s="6">
        <f t="shared" si="39"/>
        <v>0</v>
      </c>
      <c r="S86" s="6">
        <f t="shared" si="39"/>
        <v>0</v>
      </c>
      <c r="T86" s="6">
        <f t="shared" si="39"/>
        <v>0</v>
      </c>
      <c r="U86" s="6">
        <f t="shared" si="39"/>
        <v>0</v>
      </c>
      <c r="V86" s="6">
        <f t="shared" si="39"/>
        <v>0</v>
      </c>
      <c r="W86" s="6">
        <f t="shared" si="39"/>
        <v>0</v>
      </c>
      <c r="X86" s="6">
        <f t="shared" si="39"/>
        <v>0</v>
      </c>
      <c r="Y86" s="6">
        <f t="shared" si="39"/>
        <v>0</v>
      </c>
      <c r="Z86" s="6">
        <f t="shared" si="39"/>
        <v>0</v>
      </c>
      <c r="AA86" s="6">
        <f t="shared" si="39"/>
        <v>0</v>
      </c>
      <c r="AB86" s="6">
        <f t="shared" si="39"/>
        <v>0.2</v>
      </c>
      <c r="AC86" s="6">
        <f t="shared" si="39"/>
        <v>0.26499999999999996</v>
      </c>
      <c r="AD86" s="6">
        <f t="shared" si="39"/>
        <v>0.33</v>
      </c>
      <c r="AE86" s="6">
        <f t="shared" si="39"/>
        <v>0.39500000000000018</v>
      </c>
      <c r="AF86" s="6">
        <f t="shared" si="39"/>
        <v>0.46</v>
      </c>
      <c r="AG86" s="6">
        <f t="shared" si="39"/>
        <v>0.52500000000000002</v>
      </c>
      <c r="AH86" s="6">
        <f t="shared" si="39"/>
        <v>0.59</v>
      </c>
      <c r="AI86" s="6">
        <f t="shared" si="39"/>
        <v>0.65499999999999992</v>
      </c>
      <c r="AJ86" s="6">
        <f t="shared" si="39"/>
        <v>0.72000000000000008</v>
      </c>
      <c r="AK86" s="6">
        <f t="shared" si="39"/>
        <v>0.78500000000000003</v>
      </c>
      <c r="AL86" s="6">
        <f t="shared" si="39"/>
        <v>0.85</v>
      </c>
      <c r="AM86" s="6">
        <f t="shared" si="39"/>
        <v>0.91500000000000004</v>
      </c>
      <c r="AN86" s="6">
        <f t="shared" si="39"/>
        <v>0.97999999999999987</v>
      </c>
      <c r="AO86" s="6">
        <f t="shared" si="39"/>
        <v>0.97999999999999987</v>
      </c>
      <c r="AP86" s="6">
        <f t="shared" si="39"/>
        <v>0.97999999999999987</v>
      </c>
      <c r="AQ86" s="6">
        <f t="shared" si="39"/>
        <v>0.97999999999999987</v>
      </c>
      <c r="AR86" s="6">
        <f t="shared" si="39"/>
        <v>0.97999999999999987</v>
      </c>
      <c r="AS86" s="6">
        <f t="shared" si="39"/>
        <v>0.97999999999999987</v>
      </c>
      <c r="AT86" s="6">
        <f t="shared" si="39"/>
        <v>0.97999999999999987</v>
      </c>
      <c r="AU86" s="6">
        <f t="shared" si="39"/>
        <v>0.97999999999999987</v>
      </c>
      <c r="AV86" s="6">
        <f t="shared" si="39"/>
        <v>0.97999999999999987</v>
      </c>
      <c r="AW86" s="6">
        <f t="shared" si="39"/>
        <v>0.97999999999999987</v>
      </c>
      <c r="AX86" s="6">
        <f t="shared" si="39"/>
        <v>0.97999999999999987</v>
      </c>
      <c r="AY86" s="6">
        <f t="shared" si="39"/>
        <v>0.97999999999999987</v>
      </c>
      <c r="AZ86" s="6">
        <f t="shared" si="39"/>
        <v>0.97999999999999987</v>
      </c>
      <c r="BA86" s="6">
        <f t="shared" si="39"/>
        <v>0.97999999999999987</v>
      </c>
      <c r="BB86" s="6">
        <f t="shared" si="39"/>
        <v>0.97999999999999987</v>
      </c>
      <c r="BC86" s="6">
        <f t="shared" si="39"/>
        <v>0.97999999999999987</v>
      </c>
      <c r="BD86" s="6">
        <f t="shared" si="39"/>
        <v>0.97999999999999987</v>
      </c>
      <c r="BE86" s="6">
        <f t="shared" si="39"/>
        <v>0.97999999999999987</v>
      </c>
      <c r="BF86" s="6">
        <f t="shared" si="39"/>
        <v>0.97999999999999987</v>
      </c>
      <c r="BG86" s="6">
        <f t="shared" si="39"/>
        <v>0.97999999999999987</v>
      </c>
      <c r="BH86" s="6">
        <f t="shared" si="39"/>
        <v>0.97999999999999987</v>
      </c>
      <c r="BI86" s="6">
        <f t="shared" si="39"/>
        <v>0.98</v>
      </c>
      <c r="BJ86" s="6">
        <f t="shared" si="39"/>
        <v>0.98</v>
      </c>
      <c r="BK86" s="6">
        <f t="shared" si="39"/>
        <v>0.98</v>
      </c>
      <c r="BL86" s="6">
        <f t="shared" si="39"/>
        <v>0.98</v>
      </c>
      <c r="BM86" s="6">
        <f t="shared" si="39"/>
        <v>0.98</v>
      </c>
      <c r="BN86" s="6">
        <f t="shared" si="39"/>
        <v>0.98</v>
      </c>
      <c r="BO86" s="6">
        <f t="shared" si="39"/>
        <v>0.98</v>
      </c>
    </row>
    <row r="87" spans="1:67">
      <c r="A87" s="11"/>
      <c r="B87" s="11" t="s">
        <v>862</v>
      </c>
      <c r="C87" s="11"/>
      <c r="D87" s="33"/>
      <c r="E87" s="33"/>
      <c r="F87" s="33"/>
      <c r="G87" s="90">
        <f>G31+G32*G86</f>
        <v>0</v>
      </c>
      <c r="H87" s="90">
        <f t="shared" ref="H87:BO87" si="40">H31+H32*H86</f>
        <v>0</v>
      </c>
      <c r="I87" s="90">
        <f t="shared" si="40"/>
        <v>0</v>
      </c>
      <c r="J87" s="90">
        <f t="shared" si="40"/>
        <v>0</v>
      </c>
      <c r="K87" s="90">
        <f t="shared" si="40"/>
        <v>0</v>
      </c>
      <c r="L87" s="90">
        <f t="shared" si="40"/>
        <v>0</v>
      </c>
      <c r="M87" s="90">
        <f t="shared" si="40"/>
        <v>0</v>
      </c>
      <c r="N87" s="90">
        <f t="shared" si="40"/>
        <v>0</v>
      </c>
      <c r="O87" s="90">
        <f t="shared" si="40"/>
        <v>0</v>
      </c>
      <c r="P87" s="90">
        <f t="shared" si="40"/>
        <v>0</v>
      </c>
      <c r="Q87" s="90">
        <f t="shared" si="40"/>
        <v>0</v>
      </c>
      <c r="R87" s="90">
        <f t="shared" si="40"/>
        <v>0</v>
      </c>
      <c r="S87" s="90">
        <f t="shared" si="40"/>
        <v>0</v>
      </c>
      <c r="T87" s="90">
        <f t="shared" si="40"/>
        <v>0</v>
      </c>
      <c r="U87" s="90">
        <f t="shared" si="40"/>
        <v>0</v>
      </c>
      <c r="V87" s="90">
        <f t="shared" si="40"/>
        <v>0</v>
      </c>
      <c r="W87" s="90">
        <f t="shared" si="40"/>
        <v>0</v>
      </c>
      <c r="X87" s="90">
        <f t="shared" si="40"/>
        <v>0</v>
      </c>
      <c r="Y87" s="90">
        <f t="shared" si="40"/>
        <v>0</v>
      </c>
      <c r="Z87" s="90">
        <f t="shared" si="40"/>
        <v>0</v>
      </c>
      <c r="AA87" s="90">
        <f t="shared" si="40"/>
        <v>0</v>
      </c>
      <c r="AB87" s="90">
        <f t="shared" si="40"/>
        <v>840553.84504998464</v>
      </c>
      <c r="AC87" s="90">
        <f t="shared" si="40"/>
        <v>1046894.3446912295</v>
      </c>
      <c r="AD87" s="90">
        <f t="shared" si="40"/>
        <v>1253234.8443324747</v>
      </c>
      <c r="AE87" s="90">
        <f t="shared" si="40"/>
        <v>1485328.5657006395</v>
      </c>
      <c r="AF87" s="90">
        <f t="shared" si="40"/>
        <v>1694214.7980311238</v>
      </c>
      <c r="AG87" s="90">
        <f t="shared" si="40"/>
        <v>1903101.0303616086</v>
      </c>
      <c r="AH87" s="90">
        <f t="shared" si="40"/>
        <v>2111987.2626920934</v>
      </c>
      <c r="AI87" s="90">
        <f t="shared" si="40"/>
        <v>2320873.4950225782</v>
      </c>
      <c r="AJ87" s="90">
        <f t="shared" si="40"/>
        <v>2529759.7273530634</v>
      </c>
      <c r="AK87" s="90">
        <f t="shared" si="40"/>
        <v>2738645.9596835487</v>
      </c>
      <c r="AL87" s="90">
        <f t="shared" si="40"/>
        <v>2947532.192014033</v>
      </c>
      <c r="AM87" s="90">
        <f t="shared" si="40"/>
        <v>3156418.4243445182</v>
      </c>
      <c r="AN87" s="90">
        <f t="shared" si="40"/>
        <v>3365304.6566750025</v>
      </c>
      <c r="AO87" s="90">
        <f t="shared" si="40"/>
        <v>3365304.6566750025</v>
      </c>
      <c r="AP87" s="90">
        <f t="shared" si="40"/>
        <v>3365304.6566750025</v>
      </c>
      <c r="AQ87" s="90">
        <f t="shared" si="40"/>
        <v>3415300.2999633318</v>
      </c>
      <c r="AR87" s="90">
        <f t="shared" si="40"/>
        <v>3415300.2999633318</v>
      </c>
      <c r="AS87" s="90">
        <f t="shared" si="40"/>
        <v>3415300.2999633318</v>
      </c>
      <c r="AT87" s="90">
        <f t="shared" si="40"/>
        <v>3415300.2999633318</v>
      </c>
      <c r="AU87" s="90">
        <f t="shared" si="40"/>
        <v>3415300.2999633318</v>
      </c>
      <c r="AV87" s="90">
        <f t="shared" si="40"/>
        <v>3415300.2999633318</v>
      </c>
      <c r="AW87" s="90">
        <f t="shared" si="40"/>
        <v>3415300.2999633318</v>
      </c>
      <c r="AX87" s="90">
        <f t="shared" si="40"/>
        <v>3415300.2999633318</v>
      </c>
      <c r="AY87" s="90">
        <f t="shared" si="40"/>
        <v>3415300.2999633318</v>
      </c>
      <c r="AZ87" s="90">
        <f t="shared" si="40"/>
        <v>3415300.2999633318</v>
      </c>
      <c r="BA87" s="90">
        <f t="shared" si="40"/>
        <v>3415300.2999633318</v>
      </c>
      <c r="BB87" s="90">
        <f t="shared" si="40"/>
        <v>3415300.2999633318</v>
      </c>
      <c r="BC87" s="90">
        <f t="shared" si="40"/>
        <v>3466669.9396009883</v>
      </c>
      <c r="BD87" s="90">
        <f t="shared" si="40"/>
        <v>3466669.9396009883</v>
      </c>
      <c r="BE87" s="90">
        <f t="shared" si="40"/>
        <v>3466669.9396009883</v>
      </c>
      <c r="BF87" s="90">
        <f t="shared" si="40"/>
        <v>3466669.9396009883</v>
      </c>
      <c r="BG87" s="90">
        <f t="shared" si="40"/>
        <v>3466669.9396009883</v>
      </c>
      <c r="BH87" s="90">
        <f t="shared" si="40"/>
        <v>3466669.9396009883</v>
      </c>
      <c r="BI87" s="90">
        <f t="shared" si="40"/>
        <v>42233500.861518979</v>
      </c>
      <c r="BJ87" s="90">
        <f t="shared" si="40"/>
        <v>42884547.107941605</v>
      </c>
      <c r="BK87" s="90">
        <f t="shared" si="40"/>
        <v>43553758.468033545</v>
      </c>
      <c r="BL87" s="90">
        <f t="shared" si="40"/>
        <v>44241738.051182702</v>
      </c>
      <c r="BM87" s="90">
        <f t="shared" si="40"/>
        <v>44949112.619067051</v>
      </c>
      <c r="BN87" s="90">
        <f t="shared" si="40"/>
        <v>45676533.628999688</v>
      </c>
      <c r="BO87" s="90">
        <f t="shared" si="40"/>
        <v>46424678.326444112</v>
      </c>
    </row>
    <row r="88" spans="1:67">
      <c r="A88" s="11"/>
      <c r="B88" s="11" t="s">
        <v>863</v>
      </c>
      <c r="C88" s="11"/>
      <c r="D88" s="33"/>
      <c r="E88" s="33"/>
      <c r="F88" s="33"/>
      <c r="G88" s="90">
        <f>G26-G87</f>
        <v>0</v>
      </c>
      <c r="H88" s="90">
        <f t="shared" ref="H88:BO88" si="41">H26-H87</f>
        <v>0</v>
      </c>
      <c r="I88" s="90">
        <f t="shared" si="41"/>
        <v>0</v>
      </c>
      <c r="J88" s="90">
        <f t="shared" si="41"/>
        <v>0</v>
      </c>
      <c r="K88" s="90">
        <f t="shared" si="41"/>
        <v>0</v>
      </c>
      <c r="L88" s="90">
        <f t="shared" si="41"/>
        <v>0</v>
      </c>
      <c r="M88" s="90">
        <f t="shared" si="41"/>
        <v>0</v>
      </c>
      <c r="N88" s="90">
        <f t="shared" si="41"/>
        <v>0</v>
      </c>
      <c r="O88" s="90">
        <f t="shared" si="41"/>
        <v>0</v>
      </c>
      <c r="P88" s="90">
        <f t="shared" si="41"/>
        <v>0</v>
      </c>
      <c r="Q88" s="90">
        <f t="shared" si="41"/>
        <v>0</v>
      </c>
      <c r="R88" s="90">
        <f t="shared" si="41"/>
        <v>0</v>
      </c>
      <c r="S88" s="90">
        <f t="shared" si="41"/>
        <v>0</v>
      </c>
      <c r="T88" s="90">
        <f t="shared" si="41"/>
        <v>0</v>
      </c>
      <c r="U88" s="90">
        <f t="shared" si="41"/>
        <v>0</v>
      </c>
      <c r="V88" s="90">
        <f t="shared" si="41"/>
        <v>0</v>
      </c>
      <c r="W88" s="90">
        <f t="shared" si="41"/>
        <v>0</v>
      </c>
      <c r="X88" s="90">
        <f t="shared" si="41"/>
        <v>0</v>
      </c>
      <c r="Y88" s="90">
        <f t="shared" si="41"/>
        <v>0</v>
      </c>
      <c r="Z88" s="90">
        <f t="shared" si="41"/>
        <v>0</v>
      </c>
      <c r="AA88" s="90">
        <f t="shared" si="41"/>
        <v>0</v>
      </c>
      <c r="AB88" s="90">
        <f t="shared" si="41"/>
        <v>1060000</v>
      </c>
      <c r="AC88" s="90">
        <f t="shared" si="41"/>
        <v>973875</v>
      </c>
      <c r="AD88" s="90">
        <f t="shared" si="41"/>
        <v>887750</v>
      </c>
      <c r="AE88" s="90">
        <f t="shared" si="41"/>
        <v>801624.99999999953</v>
      </c>
      <c r="AF88" s="90">
        <f t="shared" si="41"/>
        <v>715500</v>
      </c>
      <c r="AG88" s="90">
        <f t="shared" si="41"/>
        <v>629375</v>
      </c>
      <c r="AH88" s="90">
        <f t="shared" si="41"/>
        <v>543250</v>
      </c>
      <c r="AI88" s="90">
        <f t="shared" si="41"/>
        <v>457125</v>
      </c>
      <c r="AJ88" s="90">
        <f t="shared" si="41"/>
        <v>371000</v>
      </c>
      <c r="AK88" s="90">
        <f t="shared" si="41"/>
        <v>284875</v>
      </c>
      <c r="AL88" s="90">
        <f t="shared" si="41"/>
        <v>198750</v>
      </c>
      <c r="AM88" s="90">
        <f t="shared" si="41"/>
        <v>112625</v>
      </c>
      <c r="AN88" s="90">
        <f t="shared" si="41"/>
        <v>26500</v>
      </c>
      <c r="AO88" s="90">
        <f t="shared" si="41"/>
        <v>26500</v>
      </c>
      <c r="AP88" s="90">
        <f t="shared" si="41"/>
        <v>26500</v>
      </c>
      <c r="AQ88" s="90">
        <f t="shared" si="41"/>
        <v>26500</v>
      </c>
      <c r="AR88" s="90">
        <f t="shared" si="41"/>
        <v>26500</v>
      </c>
      <c r="AS88" s="90">
        <f t="shared" si="41"/>
        <v>26500</v>
      </c>
      <c r="AT88" s="90">
        <f t="shared" si="41"/>
        <v>26500</v>
      </c>
      <c r="AU88" s="90">
        <f t="shared" si="41"/>
        <v>26500</v>
      </c>
      <c r="AV88" s="90">
        <f t="shared" si="41"/>
        <v>26500</v>
      </c>
      <c r="AW88" s="90">
        <f t="shared" si="41"/>
        <v>26500</v>
      </c>
      <c r="AX88" s="90">
        <f t="shared" si="41"/>
        <v>26500</v>
      </c>
      <c r="AY88" s="90">
        <f t="shared" si="41"/>
        <v>26500</v>
      </c>
      <c r="AZ88" s="90">
        <f t="shared" si="41"/>
        <v>26500</v>
      </c>
      <c r="BA88" s="90">
        <f t="shared" si="41"/>
        <v>26500</v>
      </c>
      <c r="BB88" s="90">
        <f t="shared" si="41"/>
        <v>26500</v>
      </c>
      <c r="BC88" s="90">
        <f t="shared" si="41"/>
        <v>26500.000000000466</v>
      </c>
      <c r="BD88" s="90">
        <f t="shared" si="41"/>
        <v>26500.000000000466</v>
      </c>
      <c r="BE88" s="90">
        <f t="shared" si="41"/>
        <v>26500.000000000466</v>
      </c>
      <c r="BF88" s="90">
        <f t="shared" si="41"/>
        <v>26500.000000000466</v>
      </c>
      <c r="BG88" s="90">
        <f t="shared" si="41"/>
        <v>26500.000000000466</v>
      </c>
      <c r="BH88" s="90">
        <f t="shared" si="41"/>
        <v>26500.000000000466</v>
      </c>
      <c r="BI88" s="90">
        <f t="shared" si="41"/>
        <v>318000</v>
      </c>
      <c r="BJ88" s="90">
        <f t="shared" si="41"/>
        <v>318000</v>
      </c>
      <c r="BK88" s="90">
        <f t="shared" si="41"/>
        <v>318000</v>
      </c>
      <c r="BL88" s="90">
        <f t="shared" si="41"/>
        <v>318000</v>
      </c>
      <c r="BM88" s="90">
        <f t="shared" si="41"/>
        <v>318000</v>
      </c>
      <c r="BN88" s="90">
        <f t="shared" si="41"/>
        <v>318000</v>
      </c>
      <c r="BO88" s="90">
        <f t="shared" si="41"/>
        <v>318000</v>
      </c>
    </row>
    <row r="89" spans="1:67">
      <c r="A89" s="11"/>
      <c r="B89" s="11" t="s">
        <v>864</v>
      </c>
      <c r="C89" s="11"/>
      <c r="D89" s="33"/>
      <c r="E89" s="33"/>
      <c r="F89" s="33"/>
      <c r="G89" s="90">
        <f>IF(G84=0,0,G87/G84)</f>
        <v>0</v>
      </c>
      <c r="H89" s="90">
        <f t="shared" ref="H89:BO89" si="42">IF(H84=0,0,H87/H84)</f>
        <v>0</v>
      </c>
      <c r="I89" s="90">
        <f t="shared" si="42"/>
        <v>0</v>
      </c>
      <c r="J89" s="90">
        <f t="shared" si="42"/>
        <v>0</v>
      </c>
      <c r="K89" s="90">
        <f t="shared" si="42"/>
        <v>0</v>
      </c>
      <c r="L89" s="90">
        <f t="shared" si="42"/>
        <v>0</v>
      </c>
      <c r="M89" s="90">
        <f t="shared" si="42"/>
        <v>0</v>
      </c>
      <c r="N89" s="90">
        <f t="shared" si="42"/>
        <v>0</v>
      </c>
      <c r="O89" s="90">
        <f t="shared" si="42"/>
        <v>0</v>
      </c>
      <c r="P89" s="90">
        <f t="shared" si="42"/>
        <v>0</v>
      </c>
      <c r="Q89" s="90">
        <f t="shared" si="42"/>
        <v>0</v>
      </c>
      <c r="R89" s="90">
        <f t="shared" si="42"/>
        <v>0</v>
      </c>
      <c r="S89" s="90">
        <f t="shared" si="42"/>
        <v>0</v>
      </c>
      <c r="T89" s="90">
        <f t="shared" si="42"/>
        <v>0</v>
      </c>
      <c r="U89" s="90">
        <f t="shared" si="42"/>
        <v>0</v>
      </c>
      <c r="V89" s="90">
        <f t="shared" si="42"/>
        <v>0</v>
      </c>
      <c r="W89" s="90">
        <f t="shared" si="42"/>
        <v>0</v>
      </c>
      <c r="X89" s="90">
        <f t="shared" si="42"/>
        <v>0</v>
      </c>
      <c r="Y89" s="90">
        <f t="shared" si="42"/>
        <v>0</v>
      </c>
      <c r="Z89" s="90">
        <f t="shared" si="42"/>
        <v>0</v>
      </c>
      <c r="AA89" s="90">
        <f t="shared" si="42"/>
        <v>0</v>
      </c>
      <c r="AB89" s="90">
        <f t="shared" si="42"/>
        <v>4149.7765783444647</v>
      </c>
      <c r="AC89" s="90">
        <f t="shared" si="42"/>
        <v>3900.7323449036176</v>
      </c>
      <c r="AD89" s="90">
        <f t="shared" si="42"/>
        <v>3749.7964458485581</v>
      </c>
      <c r="AE89" s="90">
        <f t="shared" si="42"/>
        <v>3712.911601633567</v>
      </c>
      <c r="AF89" s="90">
        <f t="shared" si="42"/>
        <v>3636.6358086176992</v>
      </c>
      <c r="AG89" s="90">
        <f t="shared" si="42"/>
        <v>3579.2473548248086</v>
      </c>
      <c r="AH89" s="90">
        <f t="shared" si="42"/>
        <v>3534.5038145795038</v>
      </c>
      <c r="AI89" s="90">
        <f t="shared" si="42"/>
        <v>3498.6406716347938</v>
      </c>
      <c r="AJ89" s="90">
        <f t="shared" si="42"/>
        <v>3469.2528183884342</v>
      </c>
      <c r="AK89" s="90">
        <f t="shared" si="42"/>
        <v>3444.7317433866956</v>
      </c>
      <c r="AL89" s="90">
        <f t="shared" si="42"/>
        <v>3423.960950444045</v>
      </c>
      <c r="AM89" s="90">
        <f t="shared" si="42"/>
        <v>3406.1411991216623</v>
      </c>
      <c r="AN89" s="90">
        <f t="shared" si="42"/>
        <v>3390.6852923624529</v>
      </c>
      <c r="AO89" s="90">
        <f t="shared" si="42"/>
        <v>3390.6852923624529</v>
      </c>
      <c r="AP89" s="90">
        <f t="shared" si="42"/>
        <v>3390.6852923624529</v>
      </c>
      <c r="AQ89" s="90">
        <f t="shared" si="42"/>
        <v>3441.0579954827185</v>
      </c>
      <c r="AR89" s="90">
        <f t="shared" si="42"/>
        <v>3441.0579954827185</v>
      </c>
      <c r="AS89" s="90">
        <f t="shared" si="42"/>
        <v>3441.0579954827185</v>
      </c>
      <c r="AT89" s="90">
        <f t="shared" si="42"/>
        <v>3441.0579954827185</v>
      </c>
      <c r="AU89" s="90">
        <f t="shared" si="42"/>
        <v>3441.0579954827185</v>
      </c>
      <c r="AV89" s="90">
        <f t="shared" si="42"/>
        <v>3441.0579954827185</v>
      </c>
      <c r="AW89" s="90">
        <f t="shared" si="42"/>
        <v>3441.0579954827185</v>
      </c>
      <c r="AX89" s="90">
        <f t="shared" si="42"/>
        <v>3441.0579954827185</v>
      </c>
      <c r="AY89" s="90">
        <f t="shared" si="42"/>
        <v>3441.0579954827185</v>
      </c>
      <c r="AZ89" s="90">
        <f t="shared" si="42"/>
        <v>3441.0579954827185</v>
      </c>
      <c r="BA89" s="90">
        <f t="shared" si="42"/>
        <v>3441.0579954827185</v>
      </c>
      <c r="BB89" s="90">
        <f t="shared" si="42"/>
        <v>3441.0579954827185</v>
      </c>
      <c r="BC89" s="90">
        <f t="shared" si="42"/>
        <v>3492.8150574318893</v>
      </c>
      <c r="BD89" s="90">
        <f t="shared" si="42"/>
        <v>3492.8150574318893</v>
      </c>
      <c r="BE89" s="90">
        <f t="shared" si="42"/>
        <v>3492.8150574318893</v>
      </c>
      <c r="BF89" s="90">
        <f t="shared" si="42"/>
        <v>3492.8150574318893</v>
      </c>
      <c r="BG89" s="90">
        <f t="shared" si="42"/>
        <v>3492.8150574318893</v>
      </c>
      <c r="BH89" s="90">
        <f t="shared" si="42"/>
        <v>3492.8150574318893</v>
      </c>
      <c r="BI89" s="90">
        <f t="shared" si="42"/>
        <v>3546.0016458464002</v>
      </c>
      <c r="BJ89" s="90">
        <f t="shared" si="42"/>
        <v>3600.6646743485021</v>
      </c>
      <c r="BK89" s="90">
        <f t="shared" si="42"/>
        <v>3656.8528788756648</v>
      </c>
      <c r="BL89" s="90">
        <f t="shared" si="42"/>
        <v>3714.6168975904488</v>
      </c>
      <c r="BM89" s="90">
        <f t="shared" si="42"/>
        <v>3774.0093545447635</v>
      </c>
      <c r="BN89" s="90">
        <f t="shared" si="42"/>
        <v>3835.0849472810182</v>
      </c>
      <c r="BO89" s="90">
        <f t="shared" si="42"/>
        <v>3897.9005385616924</v>
      </c>
    </row>
    <row r="90" spans="1:67">
      <c r="A90" s="11"/>
      <c r="B90" s="11" t="s">
        <v>865</v>
      </c>
      <c r="C90" s="11"/>
      <c r="D90" s="33"/>
      <c r="E90" s="33"/>
      <c r="F90" s="33"/>
      <c r="G90" s="90">
        <f>G71</f>
        <v>0</v>
      </c>
      <c r="H90" s="90">
        <f t="shared" ref="H90:BO90" si="43">H71</f>
        <v>0</v>
      </c>
      <c r="I90" s="90">
        <f t="shared" si="43"/>
        <v>0</v>
      </c>
      <c r="J90" s="90">
        <f t="shared" si="43"/>
        <v>0</v>
      </c>
      <c r="K90" s="90">
        <f t="shared" si="43"/>
        <v>0</v>
      </c>
      <c r="L90" s="90">
        <f t="shared" si="43"/>
        <v>0</v>
      </c>
      <c r="M90" s="90">
        <f t="shared" si="43"/>
        <v>0</v>
      </c>
      <c r="N90" s="90">
        <f t="shared" si="43"/>
        <v>0</v>
      </c>
      <c r="O90" s="90">
        <f t="shared" si="43"/>
        <v>0</v>
      </c>
      <c r="P90" s="90">
        <f t="shared" si="43"/>
        <v>0</v>
      </c>
      <c r="Q90" s="90">
        <f t="shared" si="43"/>
        <v>0</v>
      </c>
      <c r="R90" s="90">
        <f t="shared" si="43"/>
        <v>0</v>
      </c>
      <c r="S90" s="90">
        <f t="shared" si="43"/>
        <v>0</v>
      </c>
      <c r="T90" s="90">
        <f t="shared" si="43"/>
        <v>0</v>
      </c>
      <c r="U90" s="90">
        <f t="shared" si="43"/>
        <v>0</v>
      </c>
      <c r="V90" s="90">
        <f t="shared" si="43"/>
        <v>0</v>
      </c>
      <c r="W90" s="90">
        <f t="shared" si="43"/>
        <v>0</v>
      </c>
      <c r="X90" s="90">
        <f t="shared" si="43"/>
        <v>0</v>
      </c>
      <c r="Y90" s="90">
        <f t="shared" si="43"/>
        <v>0</v>
      </c>
      <c r="Z90" s="90">
        <f t="shared" si="43"/>
        <v>0</v>
      </c>
      <c r="AA90" s="90">
        <f t="shared" si="43"/>
        <v>0</v>
      </c>
      <c r="AB90" s="90">
        <f t="shared" si="43"/>
        <v>72808.885039534609</v>
      </c>
      <c r="AC90" s="90">
        <f t="shared" si="43"/>
        <v>24180.152408046986</v>
      </c>
      <c r="AD90" s="90">
        <f t="shared" si="43"/>
        <v>23824.888597256398</v>
      </c>
      <c r="AE90" s="90">
        <f t="shared" si="43"/>
        <v>24097.140668849344</v>
      </c>
      <c r="AF90" s="90">
        <f t="shared" si="43"/>
        <v>23895.902917988089</v>
      </c>
      <c r="AG90" s="90">
        <f t="shared" si="43"/>
        <v>23742.525310480509</v>
      </c>
      <c r="AH90" s="90">
        <f t="shared" si="43"/>
        <v>23622.486322195517</v>
      </c>
      <c r="AI90" s="90">
        <f t="shared" si="43"/>
        <v>23526.547428283255</v>
      </c>
      <c r="AJ90" s="90">
        <f t="shared" si="43"/>
        <v>23448.572862190213</v>
      </c>
      <c r="AK90" s="90">
        <f t="shared" si="43"/>
        <v>23384.336450564355</v>
      </c>
      <c r="AL90" s="90">
        <f t="shared" si="43"/>
        <v>23330.836037789752</v>
      </c>
      <c r="AM90" s="90">
        <f t="shared" si="43"/>
        <v>23285.88200268603</v>
      </c>
      <c r="AN90" s="90">
        <f t="shared" si="43"/>
        <v>23247.840662597806</v>
      </c>
      <c r="AO90" s="90">
        <f t="shared" si="43"/>
        <v>23256.833471453356</v>
      </c>
      <c r="AP90" s="90">
        <f t="shared" si="43"/>
        <v>23265.826280308902</v>
      </c>
      <c r="AQ90" s="90">
        <f t="shared" si="43"/>
        <v>23746.954766591713</v>
      </c>
      <c r="AR90" s="90">
        <f t="shared" si="43"/>
        <v>23755.987429673693</v>
      </c>
      <c r="AS90" s="90">
        <f t="shared" si="43"/>
        <v>23765.020092755673</v>
      </c>
      <c r="AT90" s="90">
        <f t="shared" si="43"/>
        <v>23774.052755837645</v>
      </c>
      <c r="AU90" s="90">
        <f t="shared" si="43"/>
        <v>23783.085418919625</v>
      </c>
      <c r="AV90" s="90">
        <f t="shared" si="43"/>
        <v>23792.118082001605</v>
      </c>
      <c r="AW90" s="90">
        <f t="shared" si="43"/>
        <v>23801.150745083585</v>
      </c>
      <c r="AX90" s="90">
        <f t="shared" si="43"/>
        <v>23810.183408165562</v>
      </c>
      <c r="AY90" s="90">
        <f t="shared" si="43"/>
        <v>23819.216071247542</v>
      </c>
      <c r="AZ90" s="90">
        <f t="shared" si="43"/>
        <v>23828.248734329518</v>
      </c>
      <c r="BA90" s="90">
        <f t="shared" si="43"/>
        <v>23837.281397411502</v>
      </c>
      <c r="BB90" s="90">
        <f t="shared" si="43"/>
        <v>23846.314060493474</v>
      </c>
      <c r="BC90" s="90">
        <f t="shared" si="43"/>
        <v>24341.172567057587</v>
      </c>
      <c r="BD90" s="90">
        <f t="shared" si="43"/>
        <v>24350.245353862934</v>
      </c>
      <c r="BE90" s="90">
        <f t="shared" si="43"/>
        <v>24359.318140668278</v>
      </c>
      <c r="BF90" s="90">
        <f t="shared" si="43"/>
        <v>24368.390927473622</v>
      </c>
      <c r="BG90" s="90">
        <f t="shared" si="43"/>
        <v>24377.463714278965</v>
      </c>
      <c r="BH90" s="90">
        <f t="shared" si="43"/>
        <v>24386.536501084309</v>
      </c>
      <c r="BI90" s="90">
        <f t="shared" si="43"/>
        <v>25014.805286777639</v>
      </c>
      <c r="BJ90" s="90">
        <f t="shared" si="43"/>
        <v>25638.96967675439</v>
      </c>
      <c r="BK90" s="90">
        <f t="shared" si="43"/>
        <v>26186.327577283511</v>
      </c>
      <c r="BL90" s="90">
        <f t="shared" si="43"/>
        <v>26811.228441459079</v>
      </c>
      <c r="BM90" s="90">
        <f t="shared" si="43"/>
        <v>27483.556346792328</v>
      </c>
      <c r="BN90" s="90">
        <f t="shared" si="43"/>
        <v>28193.761905058076</v>
      </c>
      <c r="BO90" s="90">
        <f t="shared" si="43"/>
        <v>29079.802235687206</v>
      </c>
    </row>
    <row r="91" spans="1:67">
      <c r="A91" s="11"/>
      <c r="B91" s="11" t="s">
        <v>866</v>
      </c>
      <c r="C91" s="11"/>
      <c r="D91" s="33"/>
      <c r="E91" s="33"/>
      <c r="F91" s="33"/>
      <c r="G91" s="90">
        <f>G89+G90*IF(G84=0,0,G40/G84)</f>
        <v>0</v>
      </c>
      <c r="H91" s="90">
        <f t="shared" ref="H91:BO91" si="44">H89+H90*IF(H84=0,0,H40/H84)</f>
        <v>0</v>
      </c>
      <c r="I91" s="90">
        <f t="shared" si="44"/>
        <v>0</v>
      </c>
      <c r="J91" s="90">
        <f t="shared" si="44"/>
        <v>0</v>
      </c>
      <c r="K91" s="90">
        <f t="shared" si="44"/>
        <v>0</v>
      </c>
      <c r="L91" s="90">
        <f t="shared" si="44"/>
        <v>0</v>
      </c>
      <c r="M91" s="90">
        <f t="shared" si="44"/>
        <v>0</v>
      </c>
      <c r="N91" s="90">
        <f t="shared" si="44"/>
        <v>0</v>
      </c>
      <c r="O91" s="90">
        <f t="shared" si="44"/>
        <v>0</v>
      </c>
      <c r="P91" s="90">
        <f t="shared" si="44"/>
        <v>0</v>
      </c>
      <c r="Q91" s="90">
        <f t="shared" si="44"/>
        <v>0</v>
      </c>
      <c r="R91" s="90">
        <f t="shared" si="44"/>
        <v>0</v>
      </c>
      <c r="S91" s="90">
        <f t="shared" si="44"/>
        <v>0</v>
      </c>
      <c r="T91" s="90">
        <f t="shared" si="44"/>
        <v>0</v>
      </c>
      <c r="U91" s="90">
        <f t="shared" si="44"/>
        <v>0</v>
      </c>
      <c r="V91" s="90">
        <f t="shared" si="44"/>
        <v>0</v>
      </c>
      <c r="W91" s="90">
        <f t="shared" si="44"/>
        <v>0</v>
      </c>
      <c r="X91" s="90">
        <f t="shared" si="44"/>
        <v>0</v>
      </c>
      <c r="Y91" s="90">
        <f t="shared" si="44"/>
        <v>0</v>
      </c>
      <c r="Z91" s="90">
        <f t="shared" si="44"/>
        <v>0</v>
      </c>
      <c r="AA91" s="90">
        <f t="shared" si="44"/>
        <v>0</v>
      </c>
      <c r="AB91" s="90">
        <f t="shared" si="44"/>
        <v>77694.104901106693</v>
      </c>
      <c r="AC91" s="90">
        <f t="shared" si="44"/>
        <v>28325.128716668252</v>
      </c>
      <c r="AD91" s="90">
        <f t="shared" si="44"/>
        <v>27815.340483481286</v>
      </c>
      <c r="AE91" s="90">
        <f t="shared" si="44"/>
        <v>28053.457731784416</v>
      </c>
      <c r="AF91" s="90">
        <f t="shared" si="44"/>
        <v>27773.911483353142</v>
      </c>
      <c r="AG91" s="90">
        <f t="shared" si="44"/>
        <v>27561.596153289971</v>
      </c>
      <c r="AH91" s="90">
        <f t="shared" si="44"/>
        <v>27395.601109726493</v>
      </c>
      <c r="AI91" s="90">
        <f t="shared" si="44"/>
        <v>27262.829993133033</v>
      </c>
      <c r="AJ91" s="90">
        <f t="shared" si="44"/>
        <v>27154.679951913902</v>
      </c>
      <c r="AK91" s="90">
        <f t="shared" si="44"/>
        <v>27065.273612643621</v>
      </c>
      <c r="AL91" s="90">
        <f t="shared" si="44"/>
        <v>26990.461998716524</v>
      </c>
      <c r="AM91" s="90">
        <f t="shared" si="44"/>
        <v>26927.234131127756</v>
      </c>
      <c r="AN91" s="90">
        <f t="shared" si="44"/>
        <v>26873.352628319833</v>
      </c>
      <c r="AO91" s="90">
        <f t="shared" si="44"/>
        <v>26882.436273628471</v>
      </c>
      <c r="AP91" s="90">
        <f t="shared" si="44"/>
        <v>26891.519918937105</v>
      </c>
      <c r="AQ91" s="90">
        <f t="shared" si="44"/>
        <v>27427.880992040005</v>
      </c>
      <c r="AR91" s="90">
        <f t="shared" si="44"/>
        <v>27437.004894143018</v>
      </c>
      <c r="AS91" s="90">
        <f t="shared" si="44"/>
        <v>27446.128796246026</v>
      </c>
      <c r="AT91" s="90">
        <f t="shared" si="44"/>
        <v>27455.252698349028</v>
      </c>
      <c r="AU91" s="90">
        <f t="shared" si="44"/>
        <v>27464.37660045204</v>
      </c>
      <c r="AV91" s="90">
        <f t="shared" si="44"/>
        <v>27473.500502555049</v>
      </c>
      <c r="AW91" s="90">
        <f t="shared" si="44"/>
        <v>27482.624404658058</v>
      </c>
      <c r="AX91" s="90">
        <f t="shared" si="44"/>
        <v>27491.748306761066</v>
      </c>
      <c r="AY91" s="90">
        <f t="shared" si="44"/>
        <v>27500.872208864075</v>
      </c>
      <c r="AZ91" s="90">
        <f t="shared" si="44"/>
        <v>27509.99611096708</v>
      </c>
      <c r="BA91" s="90">
        <f t="shared" si="44"/>
        <v>27519.120013070096</v>
      </c>
      <c r="BB91" s="90">
        <f t="shared" si="44"/>
        <v>27528.243915173098</v>
      </c>
      <c r="BC91" s="90">
        <f t="shared" si="44"/>
        <v>28079.858054459757</v>
      </c>
      <c r="BD91" s="90">
        <f t="shared" si="44"/>
        <v>28089.022485576268</v>
      </c>
      <c r="BE91" s="90">
        <f t="shared" si="44"/>
        <v>28098.186916692779</v>
      </c>
      <c r="BF91" s="90">
        <f t="shared" si="44"/>
        <v>28107.351347809286</v>
      </c>
      <c r="BG91" s="90">
        <f t="shared" si="44"/>
        <v>28116.515778925797</v>
      </c>
      <c r="BH91" s="90">
        <f t="shared" si="44"/>
        <v>28125.680210042305</v>
      </c>
      <c r="BI91" s="90">
        <f t="shared" si="44"/>
        <v>28813.481733500583</v>
      </c>
      <c r="BJ91" s="90">
        <f t="shared" si="44"/>
        <v>29498.613842787283</v>
      </c>
      <c r="BK91" s="90">
        <f t="shared" si="44"/>
        <v>30107.688815525675</v>
      </c>
      <c r="BL91" s="90">
        <f t="shared" si="44"/>
        <v>30796.665828357196</v>
      </c>
      <c r="BM91" s="90">
        <f t="shared" si="44"/>
        <v>31535.177381607722</v>
      </c>
      <c r="BN91" s="90">
        <f t="shared" si="44"/>
        <v>32313.632326127561</v>
      </c>
      <c r="BO91" s="90">
        <f t="shared" si="44"/>
        <v>33271.43815036695</v>
      </c>
    </row>
    <row r="92" spans="1:67">
      <c r="A92" s="11"/>
      <c r="B92" s="11"/>
      <c r="C92" s="11"/>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3"/>
      <c r="AP92" s="33"/>
      <c r="AQ92" s="33"/>
      <c r="AR92" s="33"/>
      <c r="AS92" s="33"/>
      <c r="AT92" s="33"/>
      <c r="AU92" s="33"/>
      <c r="AV92" s="33"/>
      <c r="AW92" s="33"/>
      <c r="AX92" s="33"/>
      <c r="AY92" s="33"/>
      <c r="AZ92" s="33"/>
      <c r="BA92" s="33"/>
      <c r="BB92" s="33"/>
      <c r="BC92" s="33"/>
      <c r="BD92" s="33"/>
      <c r="BE92" s="33"/>
      <c r="BF92" s="33"/>
      <c r="BG92" s="33"/>
      <c r="BH92" s="33"/>
      <c r="BI92" s="33"/>
      <c r="BJ92" s="33"/>
      <c r="BK92" s="33"/>
      <c r="BL92" s="33"/>
      <c r="BM92" s="33"/>
      <c r="BN92" s="33"/>
      <c r="BO92" s="33"/>
    </row>
    <row r="93" spans="1:67">
      <c r="A93" s="18" t="s">
        <v>867</v>
      </c>
      <c r="B93" s="18"/>
      <c r="C93" s="18"/>
      <c r="D93" s="39"/>
      <c r="E93" s="39"/>
      <c r="F93" s="39"/>
      <c r="G93" s="39"/>
      <c r="H93" s="39"/>
      <c r="I93" s="39"/>
      <c r="J93" s="39"/>
      <c r="K93" s="39"/>
      <c r="L93" s="39"/>
      <c r="M93" s="39"/>
      <c r="N93" s="39"/>
      <c r="O93" s="39"/>
      <c r="P93" s="39"/>
      <c r="Q93" s="39"/>
      <c r="R93" s="39"/>
      <c r="S93" s="39"/>
      <c r="T93" s="39"/>
      <c r="U93" s="39"/>
      <c r="V93" s="39"/>
      <c r="W93" s="39"/>
      <c r="X93" s="39"/>
      <c r="Y93" s="39"/>
      <c r="Z93" s="39"/>
      <c r="AA93" s="39"/>
      <c r="AB93" s="39"/>
      <c r="AC93" s="39"/>
      <c r="AD93" s="39"/>
      <c r="AE93" s="39"/>
      <c r="AF93" s="39"/>
      <c r="AG93" s="39"/>
      <c r="AH93" s="39"/>
      <c r="AI93" s="39"/>
      <c r="AJ93" s="39"/>
      <c r="AK93" s="39"/>
      <c r="AL93" s="39"/>
      <c r="AM93" s="39"/>
      <c r="AN93" s="39"/>
      <c r="AO93" s="39"/>
      <c r="AP93" s="39"/>
      <c r="AQ93" s="39"/>
      <c r="AR93" s="39"/>
      <c r="AS93" s="39"/>
      <c r="AT93" s="39"/>
      <c r="AU93" s="39"/>
      <c r="AV93" s="39"/>
      <c r="AW93" s="39"/>
      <c r="AX93" s="39"/>
      <c r="AY93" s="39"/>
      <c r="AZ93" s="39"/>
      <c r="BA93" s="39"/>
      <c r="BB93" s="39"/>
      <c r="BC93" s="39"/>
      <c r="BD93" s="39"/>
      <c r="BE93" s="39"/>
      <c r="BF93" s="39"/>
      <c r="BG93" s="39"/>
      <c r="BH93" s="39"/>
      <c r="BI93" s="39"/>
      <c r="BJ93" s="39"/>
      <c r="BK93" s="39"/>
      <c r="BL93" s="39"/>
      <c r="BM93" s="39"/>
      <c r="BN93" s="39"/>
      <c r="BO93" s="39"/>
    </row>
    <row r="94" spans="1:67">
      <c r="A94" s="11"/>
      <c r="B94" s="22" t="s">
        <v>868</v>
      </c>
      <c r="C94" s="11"/>
      <c r="D94" s="33"/>
      <c r="E94" s="33"/>
      <c r="F94" s="33"/>
      <c r="G94" s="89">
        <f>G33</f>
        <v>29800</v>
      </c>
      <c r="H94" s="89">
        <f t="shared" ref="H94:BO94" si="45">H33</f>
        <v>29800</v>
      </c>
      <c r="I94" s="89">
        <f t="shared" si="45"/>
        <v>29800</v>
      </c>
      <c r="J94" s="89">
        <f t="shared" si="45"/>
        <v>29800</v>
      </c>
      <c r="K94" s="89">
        <f t="shared" si="45"/>
        <v>29800</v>
      </c>
      <c r="L94" s="89">
        <f t="shared" si="45"/>
        <v>29800</v>
      </c>
      <c r="M94" s="89">
        <f t="shared" si="45"/>
        <v>29800</v>
      </c>
      <c r="N94" s="89">
        <f t="shared" si="45"/>
        <v>29800</v>
      </c>
      <c r="O94" s="89">
        <f t="shared" si="45"/>
        <v>29800</v>
      </c>
      <c r="P94" s="89">
        <f t="shared" si="45"/>
        <v>29800</v>
      </c>
      <c r="Q94" s="89">
        <f t="shared" si="45"/>
        <v>29800</v>
      </c>
      <c r="R94" s="89">
        <f t="shared" si="45"/>
        <v>29800</v>
      </c>
      <c r="S94" s="89">
        <f t="shared" si="45"/>
        <v>30396</v>
      </c>
      <c r="T94" s="89">
        <f t="shared" si="45"/>
        <v>30396</v>
      </c>
      <c r="U94" s="89">
        <f t="shared" si="45"/>
        <v>30396</v>
      </c>
      <c r="V94" s="89">
        <f t="shared" si="45"/>
        <v>30396</v>
      </c>
      <c r="W94" s="89">
        <f t="shared" si="45"/>
        <v>30396</v>
      </c>
      <c r="X94" s="89">
        <f t="shared" si="45"/>
        <v>30396</v>
      </c>
      <c r="Y94" s="89">
        <f t="shared" si="45"/>
        <v>30396</v>
      </c>
      <c r="Z94" s="89">
        <f t="shared" si="45"/>
        <v>30396</v>
      </c>
      <c r="AA94" s="89">
        <f t="shared" si="45"/>
        <v>30396</v>
      </c>
      <c r="AB94" s="89">
        <f t="shared" si="45"/>
        <v>36872716.911898546</v>
      </c>
      <c r="AC94" s="89">
        <f t="shared" si="45"/>
        <v>21693525.473331418</v>
      </c>
      <c r="AD94" s="89">
        <f t="shared" si="45"/>
        <v>23368305.438619222</v>
      </c>
      <c r="AE94" s="89">
        <f t="shared" si="45"/>
        <v>25456194.003642228</v>
      </c>
      <c r="AF94" s="89">
        <f t="shared" si="45"/>
        <v>27167187.028134856</v>
      </c>
      <c r="AG94" s="89">
        <f t="shared" si="45"/>
        <v>28878180.052627493</v>
      </c>
      <c r="AH94" s="89">
        <f t="shared" si="45"/>
        <v>30589173.077120129</v>
      </c>
      <c r="AI94" s="89">
        <f t="shared" si="45"/>
        <v>32300166.101612762</v>
      </c>
      <c r="AJ94" s="89">
        <f t="shared" si="45"/>
        <v>34011159.126105413</v>
      </c>
      <c r="AK94" s="89">
        <f t="shared" si="45"/>
        <v>35722152.150598034</v>
      </c>
      <c r="AL94" s="89">
        <f t="shared" si="45"/>
        <v>37433145.175090671</v>
      </c>
      <c r="AM94" s="89">
        <f t="shared" si="45"/>
        <v>39144138.199583322</v>
      </c>
      <c r="AN94" s="89">
        <f t="shared" si="45"/>
        <v>40855131.224075943</v>
      </c>
      <c r="AO94" s="89">
        <f t="shared" si="45"/>
        <v>40869822.996645398</v>
      </c>
      <c r="AP94" s="89">
        <f t="shared" si="45"/>
        <v>40884514.769214839</v>
      </c>
      <c r="AQ94" s="89">
        <f t="shared" si="45"/>
        <v>41658822.629724987</v>
      </c>
      <c r="AR94" s="89">
        <f t="shared" si="45"/>
        <v>41673560.625575677</v>
      </c>
      <c r="AS94" s="89">
        <f t="shared" si="45"/>
        <v>41688298.621426366</v>
      </c>
      <c r="AT94" s="89">
        <f t="shared" si="45"/>
        <v>41703036.617277063</v>
      </c>
      <c r="AU94" s="89">
        <f t="shared" si="45"/>
        <v>41717774.613127761</v>
      </c>
      <c r="AV94" s="89">
        <f t="shared" si="45"/>
        <v>41732512.608978458</v>
      </c>
      <c r="AW94" s="89">
        <f t="shared" si="45"/>
        <v>41747250.604829147</v>
      </c>
      <c r="AX94" s="89">
        <f t="shared" si="45"/>
        <v>41761988.600679845</v>
      </c>
      <c r="AY94" s="89">
        <f t="shared" si="45"/>
        <v>41776726.596530534</v>
      </c>
      <c r="AZ94" s="89">
        <f t="shared" si="45"/>
        <v>41791464.592381231</v>
      </c>
      <c r="BA94" s="89">
        <f t="shared" si="45"/>
        <v>41806202.588231929</v>
      </c>
      <c r="BB94" s="89">
        <f t="shared" si="45"/>
        <v>41820940.584082618</v>
      </c>
      <c r="BC94" s="89">
        <f t="shared" si="45"/>
        <v>42616981.450623617</v>
      </c>
      <c r="BD94" s="89">
        <f t="shared" si="45"/>
        <v>42631766.131988376</v>
      </c>
      <c r="BE94" s="89">
        <f t="shared" si="45"/>
        <v>42646550.813353129</v>
      </c>
      <c r="BF94" s="89">
        <f t="shared" si="45"/>
        <v>42661335.494717889</v>
      </c>
      <c r="BG94" s="89">
        <f t="shared" si="45"/>
        <v>42676120.176082641</v>
      </c>
      <c r="BH94" s="89">
        <f t="shared" si="45"/>
        <v>42690904.857447401</v>
      </c>
      <c r="BI94" s="89">
        <f t="shared" si="45"/>
        <v>524442572.23148799</v>
      </c>
      <c r="BJ94" s="89">
        <f t="shared" si="45"/>
        <v>536503264.7964173</v>
      </c>
      <c r="BK94" s="89">
        <f t="shared" si="45"/>
        <v>547057691.98669016</v>
      </c>
      <c r="BL94" s="89">
        <f t="shared" si="45"/>
        <v>559115489.17541707</v>
      </c>
      <c r="BM94" s="89">
        <f t="shared" si="45"/>
        <v>572086666.84062898</v>
      </c>
      <c r="BN94" s="89">
        <f t="shared" si="45"/>
        <v>585783390.6377573</v>
      </c>
      <c r="BO94" s="89">
        <f t="shared" si="45"/>
        <v>599139728.48752308</v>
      </c>
    </row>
    <row r="95" spans="1:67">
      <c r="A95" s="11"/>
      <c r="B95" s="22" t="s">
        <v>869</v>
      </c>
      <c r="C95" s="11"/>
      <c r="D95" s="33"/>
      <c r="E95" s="33"/>
      <c r="F95" s="33"/>
      <c r="G95" s="89">
        <f>'05 Opex'!G$86</f>
        <v>29800</v>
      </c>
      <c r="H95" s="89">
        <f>'05 Opex'!H$86</f>
        <v>29800</v>
      </c>
      <c r="I95" s="89">
        <f>'05 Opex'!I$86</f>
        <v>29800</v>
      </c>
      <c r="J95" s="89">
        <f>'05 Opex'!J$86</f>
        <v>29800</v>
      </c>
      <c r="K95" s="89">
        <f>'05 Opex'!K$86</f>
        <v>29800</v>
      </c>
      <c r="L95" s="89">
        <f>'05 Opex'!L$86</f>
        <v>29800</v>
      </c>
      <c r="M95" s="89">
        <f>'05 Opex'!M$86</f>
        <v>29800</v>
      </c>
      <c r="N95" s="89">
        <f>'05 Opex'!N$86</f>
        <v>29800</v>
      </c>
      <c r="O95" s="89">
        <f>'05 Opex'!O$86</f>
        <v>29800</v>
      </c>
      <c r="P95" s="89">
        <f>'05 Opex'!P$86</f>
        <v>29800</v>
      </c>
      <c r="Q95" s="89">
        <f>'05 Opex'!Q$86</f>
        <v>29800</v>
      </c>
      <c r="R95" s="89">
        <f>'05 Opex'!R$86</f>
        <v>29800</v>
      </c>
      <c r="S95" s="89">
        <f>'05 Opex'!S$86</f>
        <v>30396</v>
      </c>
      <c r="T95" s="89">
        <f>'05 Opex'!T$86</f>
        <v>30396</v>
      </c>
      <c r="U95" s="89">
        <f>'05 Opex'!U$86</f>
        <v>30396</v>
      </c>
      <c r="V95" s="89">
        <f>'05 Opex'!V$86</f>
        <v>30396</v>
      </c>
      <c r="W95" s="89">
        <f>'05 Opex'!W$86</f>
        <v>30396</v>
      </c>
      <c r="X95" s="89">
        <f>'05 Opex'!X$86</f>
        <v>30396</v>
      </c>
      <c r="Y95" s="89">
        <f>'05 Opex'!Y$86</f>
        <v>30396</v>
      </c>
      <c r="Z95" s="89">
        <f>'05 Opex'!Z$86</f>
        <v>30396</v>
      </c>
      <c r="AA95" s="89">
        <f>'05 Opex'!AA$86</f>
        <v>30396</v>
      </c>
      <c r="AB95" s="89">
        <f>'05 Opex'!AB$86</f>
        <v>36872716.911898538</v>
      </c>
      <c r="AC95" s="89">
        <f>'05 Opex'!AC$86</f>
        <v>21693525.473331418</v>
      </c>
      <c r="AD95" s="89">
        <f>'05 Opex'!AD$86</f>
        <v>23368305.438619226</v>
      </c>
      <c r="AE95" s="89">
        <f>'05 Opex'!AE$86</f>
        <v>25456194.003642224</v>
      </c>
      <c r="AF95" s="89">
        <f>'05 Opex'!AF$86</f>
        <v>27167187.028134853</v>
      </c>
      <c r="AG95" s="89">
        <f>'05 Opex'!AG$86</f>
        <v>28878180.052627496</v>
      </c>
      <c r="AH95" s="89">
        <f>'05 Opex'!AH$86</f>
        <v>30589173.077120129</v>
      </c>
      <c r="AI95" s="89">
        <f>'05 Opex'!AI$86</f>
        <v>32300166.101612765</v>
      </c>
      <c r="AJ95" s="89">
        <f>'05 Opex'!AJ$86</f>
        <v>34011159.126105413</v>
      </c>
      <c r="AK95" s="89">
        <f>'05 Opex'!AK$86</f>
        <v>35722152.150598034</v>
      </c>
      <c r="AL95" s="89">
        <f>'05 Opex'!AL$86</f>
        <v>37433145.175090678</v>
      </c>
      <c r="AM95" s="89">
        <f>'05 Opex'!AM$86</f>
        <v>39144138.199583322</v>
      </c>
      <c r="AN95" s="89">
        <f>'05 Opex'!AN$86</f>
        <v>40855131.224075943</v>
      </c>
      <c r="AO95" s="89">
        <f>'05 Opex'!AO$86</f>
        <v>40869822.996645391</v>
      </c>
      <c r="AP95" s="89">
        <f>'05 Opex'!AP$86</f>
        <v>40884514.769214839</v>
      </c>
      <c r="AQ95" s="89">
        <f>'05 Opex'!AQ$86</f>
        <v>41658822.629724979</v>
      </c>
      <c r="AR95" s="89">
        <f>'05 Opex'!AR$86</f>
        <v>41673560.625575677</v>
      </c>
      <c r="AS95" s="89">
        <f>'05 Opex'!AS$86</f>
        <v>41688298.621426366</v>
      </c>
      <c r="AT95" s="89">
        <f>'05 Opex'!AT$86</f>
        <v>41703036.617277056</v>
      </c>
      <c r="AU95" s="89">
        <f>'05 Opex'!AU$86</f>
        <v>41717774.613127753</v>
      </c>
      <c r="AV95" s="89">
        <f>'05 Opex'!AV$86</f>
        <v>41732512.60897845</v>
      </c>
      <c r="AW95" s="89">
        <f>'05 Opex'!AW$86</f>
        <v>41747250.604829147</v>
      </c>
      <c r="AX95" s="89">
        <f>'05 Opex'!AX$86</f>
        <v>41761988.600679837</v>
      </c>
      <c r="AY95" s="89">
        <f>'05 Opex'!AY$86</f>
        <v>41776726.596530534</v>
      </c>
      <c r="AZ95" s="89">
        <f>'05 Opex'!AZ$86</f>
        <v>41791464.592381224</v>
      </c>
      <c r="BA95" s="89">
        <f>'05 Opex'!BA$86</f>
        <v>41806202.588231921</v>
      </c>
      <c r="BB95" s="89">
        <f>'05 Opex'!BB$86</f>
        <v>41820940.584082618</v>
      </c>
      <c r="BC95" s="89">
        <f>'05 Opex'!BC$86</f>
        <v>42616981.450623617</v>
      </c>
      <c r="BD95" s="89">
        <f>'05 Opex'!BD$86</f>
        <v>42631766.131988376</v>
      </c>
      <c r="BE95" s="89">
        <f>'05 Opex'!BE$86</f>
        <v>42646550.813353136</v>
      </c>
      <c r="BF95" s="89">
        <f>'05 Opex'!BF$86</f>
        <v>42661335.494717889</v>
      </c>
      <c r="BG95" s="89">
        <f>'05 Opex'!BG$86</f>
        <v>42676120.176082648</v>
      </c>
      <c r="BH95" s="89">
        <f>'05 Opex'!BH$86</f>
        <v>42690904.857447401</v>
      </c>
      <c r="BI95" s="89">
        <f>'05 Opex'!BI$86</f>
        <v>524442572.23148799</v>
      </c>
      <c r="BJ95" s="89">
        <f>'05 Opex'!BJ$86</f>
        <v>536503264.79641724</v>
      </c>
      <c r="BK95" s="89">
        <f>'05 Opex'!BK$86</f>
        <v>547057691.98669016</v>
      </c>
      <c r="BL95" s="89">
        <f>'05 Opex'!BL$86</f>
        <v>559115489.17541707</v>
      </c>
      <c r="BM95" s="89">
        <f>'05 Opex'!BM$86</f>
        <v>572086666.84062898</v>
      </c>
      <c r="BN95" s="89">
        <f>'05 Opex'!BN$86</f>
        <v>585783390.63775742</v>
      </c>
      <c r="BO95" s="89">
        <f>'05 Opex'!BO$86</f>
        <v>599139728.48752308</v>
      </c>
    </row>
    <row r="96" spans="1:67">
      <c r="A96" s="11"/>
      <c r="B96" s="57" t="s">
        <v>870</v>
      </c>
      <c r="C96" s="25"/>
      <c r="D96" s="41"/>
      <c r="E96" s="41"/>
      <c r="F96" s="41"/>
      <c r="G96" s="103">
        <f>G94-G95</f>
        <v>0</v>
      </c>
      <c r="H96" s="103">
        <f t="shared" ref="H96:BO96" si="46">H94-H95</f>
        <v>0</v>
      </c>
      <c r="I96" s="103">
        <f t="shared" si="46"/>
        <v>0</v>
      </c>
      <c r="J96" s="103">
        <f t="shared" si="46"/>
        <v>0</v>
      </c>
      <c r="K96" s="103">
        <f t="shared" si="46"/>
        <v>0</v>
      </c>
      <c r="L96" s="103">
        <f t="shared" si="46"/>
        <v>0</v>
      </c>
      <c r="M96" s="103">
        <f t="shared" si="46"/>
        <v>0</v>
      </c>
      <c r="N96" s="103">
        <f t="shared" si="46"/>
        <v>0</v>
      </c>
      <c r="O96" s="103">
        <f t="shared" si="46"/>
        <v>0</v>
      </c>
      <c r="P96" s="103">
        <f t="shared" si="46"/>
        <v>0</v>
      </c>
      <c r="Q96" s="103">
        <f t="shared" si="46"/>
        <v>0</v>
      </c>
      <c r="R96" s="103">
        <f t="shared" si="46"/>
        <v>0</v>
      </c>
      <c r="S96" s="103">
        <f t="shared" si="46"/>
        <v>0</v>
      </c>
      <c r="T96" s="103">
        <f t="shared" si="46"/>
        <v>0</v>
      </c>
      <c r="U96" s="103">
        <f t="shared" si="46"/>
        <v>0</v>
      </c>
      <c r="V96" s="103">
        <f t="shared" si="46"/>
        <v>0</v>
      </c>
      <c r="W96" s="103">
        <f t="shared" si="46"/>
        <v>0</v>
      </c>
      <c r="X96" s="103">
        <f t="shared" si="46"/>
        <v>0</v>
      </c>
      <c r="Y96" s="103">
        <f t="shared" si="46"/>
        <v>0</v>
      </c>
      <c r="Z96" s="103">
        <f t="shared" si="46"/>
        <v>0</v>
      </c>
      <c r="AA96" s="103">
        <f t="shared" si="46"/>
        <v>0</v>
      </c>
      <c r="AB96" s="103">
        <f t="shared" si="46"/>
        <v>0</v>
      </c>
      <c r="AC96" s="103">
        <f t="shared" si="46"/>
        <v>0</v>
      </c>
      <c r="AD96" s="103">
        <f t="shared" si="46"/>
        <v>0</v>
      </c>
      <c r="AE96" s="103">
        <f t="shared" si="46"/>
        <v>0</v>
      </c>
      <c r="AF96" s="103">
        <f t="shared" si="46"/>
        <v>0</v>
      </c>
      <c r="AG96" s="103">
        <f t="shared" si="46"/>
        <v>0</v>
      </c>
      <c r="AH96" s="103">
        <f t="shared" si="46"/>
        <v>0</v>
      </c>
      <c r="AI96" s="103">
        <f t="shared" si="46"/>
        <v>0</v>
      </c>
      <c r="AJ96" s="103">
        <f t="shared" si="46"/>
        <v>0</v>
      </c>
      <c r="AK96" s="103">
        <f t="shared" si="46"/>
        <v>0</v>
      </c>
      <c r="AL96" s="103">
        <f t="shared" si="46"/>
        <v>0</v>
      </c>
      <c r="AM96" s="103">
        <f t="shared" si="46"/>
        <v>0</v>
      </c>
      <c r="AN96" s="103">
        <f t="shared" si="46"/>
        <v>0</v>
      </c>
      <c r="AO96" s="103">
        <f t="shared" si="46"/>
        <v>0</v>
      </c>
      <c r="AP96" s="103">
        <f t="shared" si="46"/>
        <v>0</v>
      </c>
      <c r="AQ96" s="103">
        <f t="shared" si="46"/>
        <v>0</v>
      </c>
      <c r="AR96" s="103">
        <f t="shared" si="46"/>
        <v>0</v>
      </c>
      <c r="AS96" s="103">
        <f t="shared" si="46"/>
        <v>0</v>
      </c>
      <c r="AT96" s="103">
        <f t="shared" si="46"/>
        <v>0</v>
      </c>
      <c r="AU96" s="103">
        <f t="shared" si="46"/>
        <v>0</v>
      </c>
      <c r="AV96" s="103">
        <f t="shared" si="46"/>
        <v>0</v>
      </c>
      <c r="AW96" s="103">
        <f t="shared" si="46"/>
        <v>0</v>
      </c>
      <c r="AX96" s="103">
        <f t="shared" si="46"/>
        <v>0</v>
      </c>
      <c r="AY96" s="103">
        <f t="shared" si="46"/>
        <v>0</v>
      </c>
      <c r="AZ96" s="103">
        <f t="shared" si="46"/>
        <v>0</v>
      </c>
      <c r="BA96" s="103">
        <f t="shared" si="46"/>
        <v>0</v>
      </c>
      <c r="BB96" s="103">
        <f t="shared" si="46"/>
        <v>0</v>
      </c>
      <c r="BC96" s="103">
        <f t="shared" si="46"/>
        <v>0</v>
      </c>
      <c r="BD96" s="103">
        <f t="shared" si="46"/>
        <v>0</v>
      </c>
      <c r="BE96" s="103">
        <f t="shared" si="46"/>
        <v>0</v>
      </c>
      <c r="BF96" s="103">
        <f t="shared" si="46"/>
        <v>0</v>
      </c>
      <c r="BG96" s="103">
        <f t="shared" si="46"/>
        <v>0</v>
      </c>
      <c r="BH96" s="103">
        <f t="shared" si="46"/>
        <v>0</v>
      </c>
      <c r="BI96" s="103">
        <f t="shared" si="46"/>
        <v>0</v>
      </c>
      <c r="BJ96" s="103">
        <f t="shared" si="46"/>
        <v>0</v>
      </c>
      <c r="BK96" s="103">
        <f t="shared" si="46"/>
        <v>0</v>
      </c>
      <c r="BL96" s="103">
        <f t="shared" si="46"/>
        <v>0</v>
      </c>
      <c r="BM96" s="103">
        <f t="shared" si="46"/>
        <v>0</v>
      </c>
      <c r="BN96" s="103">
        <f t="shared" si="46"/>
        <v>0</v>
      </c>
      <c r="BO96" s="103">
        <f t="shared" si="46"/>
        <v>0</v>
      </c>
    </row>
    <row r="97" spans="1:67">
      <c r="A97" s="11"/>
      <c r="B97" s="22" t="s">
        <v>871</v>
      </c>
      <c r="C97" s="11"/>
      <c r="D97" s="33"/>
      <c r="E97" s="33"/>
      <c r="F97" s="33"/>
      <c r="G97" s="89">
        <f>G66+G88</f>
        <v>29800</v>
      </c>
      <c r="H97" s="89">
        <f t="shared" ref="H97:BO97" si="47">H66+H88</f>
        <v>29800</v>
      </c>
      <c r="I97" s="89">
        <f t="shared" si="47"/>
        <v>29800</v>
      </c>
      <c r="J97" s="89">
        <f t="shared" si="47"/>
        <v>29800</v>
      </c>
      <c r="K97" s="89">
        <f t="shared" si="47"/>
        <v>29800</v>
      </c>
      <c r="L97" s="89">
        <f t="shared" si="47"/>
        <v>29800</v>
      </c>
      <c r="M97" s="89">
        <f t="shared" si="47"/>
        <v>29800</v>
      </c>
      <c r="N97" s="89">
        <f t="shared" si="47"/>
        <v>29800</v>
      </c>
      <c r="O97" s="89">
        <f t="shared" si="47"/>
        <v>29800</v>
      </c>
      <c r="P97" s="89">
        <f t="shared" si="47"/>
        <v>29800</v>
      </c>
      <c r="Q97" s="89">
        <f t="shared" si="47"/>
        <v>29800</v>
      </c>
      <c r="R97" s="89">
        <f t="shared" si="47"/>
        <v>29800</v>
      </c>
      <c r="S97" s="89">
        <f t="shared" si="47"/>
        <v>30396</v>
      </c>
      <c r="T97" s="89">
        <f t="shared" si="47"/>
        <v>30396</v>
      </c>
      <c r="U97" s="89">
        <f t="shared" si="47"/>
        <v>30396</v>
      </c>
      <c r="V97" s="89">
        <f t="shared" si="47"/>
        <v>30396</v>
      </c>
      <c r="W97" s="89">
        <f t="shared" si="47"/>
        <v>30396</v>
      </c>
      <c r="X97" s="89">
        <f t="shared" si="47"/>
        <v>30396</v>
      </c>
      <c r="Y97" s="89">
        <f t="shared" si="47"/>
        <v>30396</v>
      </c>
      <c r="Z97" s="89">
        <f t="shared" si="47"/>
        <v>30396</v>
      </c>
      <c r="AA97" s="89">
        <f t="shared" si="47"/>
        <v>30396</v>
      </c>
      <c r="AB97" s="89">
        <f t="shared" si="47"/>
        <v>10523220.81666667</v>
      </c>
      <c r="AC97" s="89">
        <f t="shared" si="47"/>
        <v>9678973.9404166657</v>
      </c>
      <c r="AD97" s="89">
        <f t="shared" si="47"/>
        <v>8832823.0832638871</v>
      </c>
      <c r="AE97" s="89">
        <f t="shared" si="47"/>
        <v>8053320.2620520778</v>
      </c>
      <c r="AF97" s="89">
        <f t="shared" si="47"/>
        <v>7196021.063812498</v>
      </c>
      <c r="AG97" s="89">
        <f t="shared" si="47"/>
        <v>6336811.9351388887</v>
      </c>
      <c r="AH97" s="89">
        <f t="shared" si="47"/>
        <v>5475692.8760312535</v>
      </c>
      <c r="AI97" s="89">
        <f t="shared" si="47"/>
        <v>4612663.886489585</v>
      </c>
      <c r="AJ97" s="89">
        <f t="shared" si="47"/>
        <v>3747724.966513887</v>
      </c>
      <c r="AK97" s="89">
        <f t="shared" si="47"/>
        <v>2880876.1161041744</v>
      </c>
      <c r="AL97" s="89">
        <f t="shared" si="47"/>
        <v>2012117.335260421</v>
      </c>
      <c r="AM97" s="89">
        <f t="shared" si="47"/>
        <v>1141448.6239826456</v>
      </c>
      <c r="AN97" s="89">
        <f t="shared" si="47"/>
        <v>268869.98227082938</v>
      </c>
      <c r="AO97" s="89">
        <f t="shared" si="47"/>
        <v>269163.81772221625</v>
      </c>
      <c r="AP97" s="89">
        <f t="shared" si="47"/>
        <v>269457.65317361057</v>
      </c>
      <c r="AQ97" s="89">
        <f t="shared" si="47"/>
        <v>272121.50505625457</v>
      </c>
      <c r="AR97" s="89">
        <f t="shared" si="47"/>
        <v>272416.26497326791</v>
      </c>
      <c r="AS97" s="89">
        <f t="shared" si="47"/>
        <v>272711.02489027381</v>
      </c>
      <c r="AT97" s="89">
        <f t="shared" si="47"/>
        <v>273005.78480729461</v>
      </c>
      <c r="AU97" s="89">
        <f t="shared" si="47"/>
        <v>273300.54472430795</v>
      </c>
      <c r="AV97" s="89">
        <f t="shared" si="47"/>
        <v>273595.30464131385</v>
      </c>
      <c r="AW97" s="89">
        <f t="shared" si="47"/>
        <v>273890.06455833465</v>
      </c>
      <c r="AX97" s="89">
        <f t="shared" si="47"/>
        <v>274184.82447535545</v>
      </c>
      <c r="AY97" s="89">
        <f t="shared" si="47"/>
        <v>274479.58439236134</v>
      </c>
      <c r="AZ97" s="89">
        <f t="shared" si="47"/>
        <v>274774.34430938214</v>
      </c>
      <c r="BA97" s="89">
        <f t="shared" si="47"/>
        <v>275069.10422638804</v>
      </c>
      <c r="BB97" s="89">
        <f t="shared" si="47"/>
        <v>275363.86414340883</v>
      </c>
      <c r="BC97" s="89">
        <f t="shared" si="47"/>
        <v>278137.12775661098</v>
      </c>
      <c r="BD97" s="89">
        <f t="shared" si="47"/>
        <v>278432.82138390141</v>
      </c>
      <c r="BE97" s="89">
        <f t="shared" si="47"/>
        <v>278728.51501119183</v>
      </c>
      <c r="BF97" s="89">
        <f t="shared" si="47"/>
        <v>279024.20863848971</v>
      </c>
      <c r="BG97" s="89">
        <f t="shared" si="47"/>
        <v>279319.90226578014</v>
      </c>
      <c r="BH97" s="89">
        <f t="shared" si="47"/>
        <v>279615.59589307802</v>
      </c>
      <c r="BI97" s="89">
        <f t="shared" si="47"/>
        <v>3436635.6199849844</v>
      </c>
      <c r="BJ97" s="89">
        <f t="shared" si="47"/>
        <v>3511932.5322543383</v>
      </c>
      <c r="BK97" s="89">
        <f t="shared" si="47"/>
        <v>3552853.1143975258</v>
      </c>
      <c r="BL97" s="89">
        <f t="shared" si="47"/>
        <v>3619466.0970164537</v>
      </c>
      <c r="BM97" s="89">
        <f t="shared" si="47"/>
        <v>3699843.4673015475</v>
      </c>
      <c r="BN97" s="89">
        <f t="shared" si="47"/>
        <v>3790095.9015094638</v>
      </c>
      <c r="BO97" s="89">
        <f t="shared" si="47"/>
        <v>3874231.8454333544</v>
      </c>
    </row>
    <row r="98" spans="1:67">
      <c r="A98" s="11"/>
      <c r="B98" s="11" t="s">
        <v>872</v>
      </c>
      <c r="C98" s="11"/>
      <c r="D98" s="33"/>
      <c r="E98" s="33"/>
      <c r="F98" s="33"/>
      <c r="G98" s="6">
        <f>IF(G33=0,0,G97/G33)</f>
        <v>1</v>
      </c>
      <c r="H98" s="6">
        <f t="shared" ref="H98:BO98" si="48">IF(H33=0,0,H97/H33)</f>
        <v>1</v>
      </c>
      <c r="I98" s="6">
        <f t="shared" si="48"/>
        <v>1</v>
      </c>
      <c r="J98" s="6">
        <f t="shared" si="48"/>
        <v>1</v>
      </c>
      <c r="K98" s="6">
        <f t="shared" si="48"/>
        <v>1</v>
      </c>
      <c r="L98" s="6">
        <f t="shared" si="48"/>
        <v>1</v>
      </c>
      <c r="M98" s="6">
        <f t="shared" si="48"/>
        <v>1</v>
      </c>
      <c r="N98" s="6">
        <f t="shared" si="48"/>
        <v>1</v>
      </c>
      <c r="O98" s="6">
        <f t="shared" si="48"/>
        <v>1</v>
      </c>
      <c r="P98" s="6">
        <f t="shared" si="48"/>
        <v>1</v>
      </c>
      <c r="Q98" s="6">
        <f t="shared" si="48"/>
        <v>1</v>
      </c>
      <c r="R98" s="6">
        <f t="shared" si="48"/>
        <v>1</v>
      </c>
      <c r="S98" s="6">
        <f t="shared" si="48"/>
        <v>1</v>
      </c>
      <c r="T98" s="6">
        <f t="shared" si="48"/>
        <v>1</v>
      </c>
      <c r="U98" s="6">
        <f t="shared" si="48"/>
        <v>1</v>
      </c>
      <c r="V98" s="6">
        <f t="shared" si="48"/>
        <v>1</v>
      </c>
      <c r="W98" s="6">
        <f t="shared" si="48"/>
        <v>1</v>
      </c>
      <c r="X98" s="6">
        <f t="shared" si="48"/>
        <v>1</v>
      </c>
      <c r="Y98" s="6">
        <f t="shared" si="48"/>
        <v>1</v>
      </c>
      <c r="Z98" s="6">
        <f t="shared" si="48"/>
        <v>1</v>
      </c>
      <c r="AA98" s="6">
        <f t="shared" si="48"/>
        <v>1</v>
      </c>
      <c r="AB98" s="6">
        <f t="shared" si="48"/>
        <v>0.2853931496778559</v>
      </c>
      <c r="AC98" s="6">
        <f t="shared" si="48"/>
        <v>0.44616878673387389</v>
      </c>
      <c r="AD98" s="6">
        <f t="shared" si="48"/>
        <v>0.3779830380283577</v>
      </c>
      <c r="AE98" s="6">
        <f t="shared" si="48"/>
        <v>0.31635994999487443</v>
      </c>
      <c r="AF98" s="6">
        <f t="shared" si="48"/>
        <v>0.26487913733432034</v>
      </c>
      <c r="AG98" s="6">
        <f t="shared" si="48"/>
        <v>0.21943252391912182</v>
      </c>
      <c r="AH98" s="6">
        <f t="shared" si="48"/>
        <v>0.17900754826638066</v>
      </c>
      <c r="AI98" s="6">
        <f t="shared" si="48"/>
        <v>0.14280619709442524</v>
      </c>
      <c r="AJ98" s="6">
        <f t="shared" si="48"/>
        <v>0.11019103914154177</v>
      </c>
      <c r="AK98" s="6">
        <f t="shared" si="48"/>
        <v>8.0646767976322642E-2</v>
      </c>
      <c r="AL98" s="6">
        <f t="shared" si="48"/>
        <v>5.3752291608116183E-2</v>
      </c>
      <c r="AM98" s="6">
        <f t="shared" si="48"/>
        <v>2.9160141887982501E-2</v>
      </c>
      <c r="AN98" s="6">
        <f t="shared" si="48"/>
        <v>6.5810578552831624E-3</v>
      </c>
      <c r="AO98" s="6">
        <f t="shared" si="48"/>
        <v>6.5858816600284581E-3</v>
      </c>
      <c r="AP98" s="6">
        <f t="shared" si="48"/>
        <v>6.5907019979238295E-3</v>
      </c>
      <c r="AQ98" s="6">
        <f t="shared" si="48"/>
        <v>6.532145842789292E-3</v>
      </c>
      <c r="AR98" s="6">
        <f t="shared" si="48"/>
        <v>6.5369087950234335E-3</v>
      </c>
      <c r="AS98" s="6">
        <f t="shared" si="48"/>
        <v>6.5416683795800103E-3</v>
      </c>
      <c r="AT98" s="6">
        <f t="shared" si="48"/>
        <v>6.5464246000300043E-3</v>
      </c>
      <c r="AU98" s="6">
        <f t="shared" si="48"/>
        <v>6.5511774599382793E-3</v>
      </c>
      <c r="AV98" s="6">
        <f t="shared" si="48"/>
        <v>6.5559269628652009E-3</v>
      </c>
      <c r="AW98" s="6">
        <f t="shared" si="48"/>
        <v>6.5606731123666424E-3</v>
      </c>
      <c r="AX98" s="6">
        <f t="shared" si="48"/>
        <v>6.565415911992562E-3</v>
      </c>
      <c r="AY98" s="6">
        <f t="shared" si="48"/>
        <v>6.570155365287913E-3</v>
      </c>
      <c r="AZ98" s="6">
        <f t="shared" si="48"/>
        <v>6.5748914757937128E-3</v>
      </c>
      <c r="BA98" s="6">
        <f t="shared" si="48"/>
        <v>6.5796242470445646E-3</v>
      </c>
      <c r="BB98" s="6">
        <f t="shared" si="48"/>
        <v>6.5843536825715135E-3</v>
      </c>
      <c r="BC98" s="6">
        <f t="shared" si="48"/>
        <v>6.5264389520140681E-3</v>
      </c>
      <c r="BD98" s="6">
        <f t="shared" si="48"/>
        <v>6.5311115782036942E-3</v>
      </c>
      <c r="BE98" s="6">
        <f t="shared" si="48"/>
        <v>6.5357809645866767E-3</v>
      </c>
      <c r="BF98" s="6">
        <f t="shared" si="48"/>
        <v>6.5404471145315427E-3</v>
      </c>
      <c r="BG98" s="6">
        <f t="shared" si="48"/>
        <v>6.5451100314016337E-3</v>
      </c>
      <c r="BH98" s="6">
        <f t="shared" si="48"/>
        <v>6.5497697185563225E-3</v>
      </c>
      <c r="BI98" s="6">
        <f t="shared" si="48"/>
        <v>6.5529302958037888E-3</v>
      </c>
      <c r="BJ98" s="6">
        <f t="shared" si="48"/>
        <v>6.545966749311365E-3</v>
      </c>
      <c r="BK98" s="6">
        <f t="shared" si="48"/>
        <v>6.4944761154806432E-3</v>
      </c>
      <c r="BL98" s="6">
        <f t="shared" si="48"/>
        <v>6.4735571936210146E-3</v>
      </c>
      <c r="BM98" s="6">
        <f t="shared" si="48"/>
        <v>6.4672779174073007E-3</v>
      </c>
      <c r="BN98" s="6">
        <f t="shared" si="48"/>
        <v>6.470132069437971E-3</v>
      </c>
      <c r="BO98" s="6">
        <f t="shared" si="48"/>
        <v>6.4663244001754326E-3</v>
      </c>
    </row>
    <row r="99" spans="1:67">
      <c r="A99" s="11"/>
      <c r="B99" s="22" t="s">
        <v>873</v>
      </c>
      <c r="C99" s="11"/>
      <c r="D99" s="33"/>
      <c r="E99" s="33"/>
      <c r="F99" s="33"/>
      <c r="G99" s="89">
        <f>G65+G87</f>
        <v>0</v>
      </c>
      <c r="H99" s="89">
        <f t="shared" ref="H99:BO99" si="49">H65+H87</f>
        <v>0</v>
      </c>
      <c r="I99" s="89">
        <f t="shared" si="49"/>
        <v>0</v>
      </c>
      <c r="J99" s="89">
        <f t="shared" si="49"/>
        <v>0</v>
      </c>
      <c r="K99" s="89">
        <f t="shared" si="49"/>
        <v>0</v>
      </c>
      <c r="L99" s="89">
        <f t="shared" si="49"/>
        <v>0</v>
      </c>
      <c r="M99" s="89">
        <f t="shared" si="49"/>
        <v>0</v>
      </c>
      <c r="N99" s="89">
        <f t="shared" si="49"/>
        <v>0</v>
      </c>
      <c r="O99" s="89">
        <f t="shared" si="49"/>
        <v>0</v>
      </c>
      <c r="P99" s="89">
        <f t="shared" si="49"/>
        <v>0</v>
      </c>
      <c r="Q99" s="89">
        <f t="shared" si="49"/>
        <v>0</v>
      </c>
      <c r="R99" s="89">
        <f t="shared" si="49"/>
        <v>0</v>
      </c>
      <c r="S99" s="89">
        <f t="shared" si="49"/>
        <v>0</v>
      </c>
      <c r="T99" s="89">
        <f t="shared" si="49"/>
        <v>0</v>
      </c>
      <c r="U99" s="89">
        <f t="shared" si="49"/>
        <v>0</v>
      </c>
      <c r="V99" s="89">
        <f t="shared" si="49"/>
        <v>0</v>
      </c>
      <c r="W99" s="89">
        <f t="shared" si="49"/>
        <v>0</v>
      </c>
      <c r="X99" s="89">
        <f t="shared" si="49"/>
        <v>0</v>
      </c>
      <c r="Y99" s="89">
        <f t="shared" si="49"/>
        <v>0</v>
      </c>
      <c r="Z99" s="89">
        <f t="shared" si="49"/>
        <v>0</v>
      </c>
      <c r="AA99" s="89">
        <f t="shared" si="49"/>
        <v>0</v>
      </c>
      <c r="AB99" s="89">
        <f t="shared" si="49"/>
        <v>26349496.095231876</v>
      </c>
      <c r="AC99" s="89">
        <f t="shared" si="49"/>
        <v>12014551.532914754</v>
      </c>
      <c r="AD99" s="89">
        <f t="shared" si="49"/>
        <v>14535482.355355335</v>
      </c>
      <c r="AE99" s="89">
        <f t="shared" si="49"/>
        <v>17402873.74159015</v>
      </c>
      <c r="AF99" s="89">
        <f t="shared" si="49"/>
        <v>19971165.964322358</v>
      </c>
      <c r="AG99" s="89">
        <f t="shared" si="49"/>
        <v>22541368.1174886</v>
      </c>
      <c r="AH99" s="89">
        <f t="shared" si="49"/>
        <v>25113480.201088876</v>
      </c>
      <c r="AI99" s="89">
        <f t="shared" si="49"/>
        <v>27687502.215123177</v>
      </c>
      <c r="AJ99" s="89">
        <f t="shared" si="49"/>
        <v>30263434.159591522</v>
      </c>
      <c r="AK99" s="89">
        <f t="shared" si="49"/>
        <v>32841276.034493867</v>
      </c>
      <c r="AL99" s="89">
        <f t="shared" si="49"/>
        <v>35421027.839830257</v>
      </c>
      <c r="AM99" s="89">
        <f t="shared" si="49"/>
        <v>38002689.575600684</v>
      </c>
      <c r="AN99" s="89">
        <f t="shared" si="49"/>
        <v>40586261.241805114</v>
      </c>
      <c r="AO99" s="89">
        <f t="shared" si="49"/>
        <v>40600659.178923175</v>
      </c>
      <c r="AP99" s="89">
        <f t="shared" si="49"/>
        <v>40615057.116041228</v>
      </c>
      <c r="AQ99" s="89">
        <f t="shared" si="49"/>
        <v>41386701.124668732</v>
      </c>
      <c r="AR99" s="89">
        <f t="shared" si="49"/>
        <v>41401144.360602409</v>
      </c>
      <c r="AS99" s="89">
        <f t="shared" si="49"/>
        <v>41415587.596536092</v>
      </c>
      <c r="AT99" s="89">
        <f t="shared" si="49"/>
        <v>41430030.832469769</v>
      </c>
      <c r="AU99" s="89">
        <f t="shared" si="49"/>
        <v>41444474.068403453</v>
      </c>
      <c r="AV99" s="89">
        <f t="shared" si="49"/>
        <v>41458917.304337136</v>
      </c>
      <c r="AW99" s="89">
        <f t="shared" si="49"/>
        <v>41473360.540270813</v>
      </c>
      <c r="AX99" s="89">
        <f t="shared" si="49"/>
        <v>41487803.776204489</v>
      </c>
      <c r="AY99" s="89">
        <f t="shared" si="49"/>
        <v>41502247.012138173</v>
      </c>
      <c r="AZ99" s="89">
        <f t="shared" si="49"/>
        <v>41516690.248071849</v>
      </c>
      <c r="BA99" s="89">
        <f t="shared" si="49"/>
        <v>41531133.484005541</v>
      </c>
      <c r="BB99" s="89">
        <f t="shared" si="49"/>
        <v>41545576.71993921</v>
      </c>
      <c r="BC99" s="89">
        <f t="shared" si="49"/>
        <v>42338844.322867006</v>
      </c>
      <c r="BD99" s="89">
        <f t="shared" si="49"/>
        <v>42353333.310604475</v>
      </c>
      <c r="BE99" s="89">
        <f t="shared" si="49"/>
        <v>42367822.298341937</v>
      </c>
      <c r="BF99" s="89">
        <f t="shared" si="49"/>
        <v>42382311.286079399</v>
      </c>
      <c r="BG99" s="89">
        <f t="shared" si="49"/>
        <v>42396800.273816861</v>
      </c>
      <c r="BH99" s="89">
        <f t="shared" si="49"/>
        <v>42411289.261554323</v>
      </c>
      <c r="BI99" s="89">
        <f t="shared" si="49"/>
        <v>521005936.61150301</v>
      </c>
      <c r="BJ99" s="89">
        <f t="shared" si="49"/>
        <v>532991332.26416302</v>
      </c>
      <c r="BK99" s="89">
        <f t="shared" si="49"/>
        <v>543504838.87229264</v>
      </c>
      <c r="BL99" s="89">
        <f t="shared" si="49"/>
        <v>555496023.07840061</v>
      </c>
      <c r="BM99" s="89">
        <f t="shared" si="49"/>
        <v>568386823.37332749</v>
      </c>
      <c r="BN99" s="89">
        <f t="shared" si="49"/>
        <v>581993294.7362479</v>
      </c>
      <c r="BO99" s="89">
        <f t="shared" si="49"/>
        <v>595265496.64208972</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76AA07-5379-8A42-AE04-F25E8E87F81E}">
  <sheetPr>
    <tabColor rgb="FFFFE5B4"/>
  </sheetPr>
  <dimension ref="A1:BN198"/>
  <sheetViews>
    <sheetView workbookViewId="0">
      <selection activeCell="H25" sqref="H25"/>
    </sheetView>
  </sheetViews>
  <sheetFormatPr baseColWidth="10" defaultRowHeight="15"/>
  <cols>
    <col min="1" max="1" width="3.83203125" style="9" customWidth="1"/>
    <col min="2" max="2" width="58.33203125" style="9" customWidth="1"/>
    <col min="3" max="3" width="33.33203125" style="9" customWidth="1"/>
    <col min="4" max="5" width="12.83203125" style="42" customWidth="1"/>
    <col min="6" max="15" width="14" style="42" customWidth="1"/>
    <col min="16" max="66" width="14" style="34" customWidth="1"/>
  </cols>
  <sheetData>
    <row r="1" spans="1:15" ht="18">
      <c r="A1" s="21" t="s">
        <v>1678</v>
      </c>
      <c r="B1" s="11"/>
      <c r="C1" s="11"/>
      <c r="D1" s="33"/>
      <c r="E1" s="33"/>
      <c r="F1" s="33"/>
      <c r="G1" s="33"/>
      <c r="H1" s="33"/>
      <c r="I1" s="33"/>
      <c r="J1" s="33"/>
      <c r="K1" s="33"/>
      <c r="L1" s="33"/>
      <c r="M1" s="33"/>
      <c r="N1" s="33"/>
      <c r="O1" s="33"/>
    </row>
    <row r="2" spans="1:15" ht="16">
      <c r="A2" s="12" t="s">
        <v>1650</v>
      </c>
      <c r="B2" s="11"/>
      <c r="C2" s="11"/>
      <c r="D2" s="33"/>
      <c r="E2" s="33"/>
      <c r="F2" s="33"/>
      <c r="G2" s="33"/>
      <c r="H2" s="33"/>
      <c r="I2" s="33"/>
      <c r="J2" s="33"/>
      <c r="K2" s="33"/>
      <c r="L2" s="33"/>
      <c r="M2" s="33"/>
      <c r="N2" s="33"/>
      <c r="O2" s="33"/>
    </row>
    <row r="3" spans="1:15">
      <c r="A3" s="13" t="s">
        <v>884</v>
      </c>
      <c r="B3" s="11"/>
      <c r="C3" s="11"/>
      <c r="D3" s="33"/>
      <c r="E3" s="33"/>
      <c r="F3" s="33"/>
      <c r="G3" s="33"/>
      <c r="H3" s="33"/>
      <c r="I3" s="33"/>
      <c r="J3" s="33"/>
      <c r="K3" s="33"/>
      <c r="L3" s="33"/>
      <c r="M3" s="33"/>
      <c r="N3" s="33"/>
      <c r="O3" s="33"/>
    </row>
    <row r="4" spans="1:15">
      <c r="A4" s="11"/>
      <c r="B4" s="11"/>
      <c r="C4" s="11"/>
      <c r="D4" s="33"/>
      <c r="E4" s="33"/>
      <c r="F4" s="33"/>
      <c r="G4" s="33"/>
      <c r="H4" s="33"/>
      <c r="I4" s="33"/>
      <c r="J4" s="33"/>
      <c r="K4" s="33"/>
      <c r="L4" s="33"/>
      <c r="M4" s="33"/>
      <c r="N4" s="33"/>
      <c r="O4" s="33"/>
    </row>
    <row r="5" spans="1:15">
      <c r="A5" s="18" t="s">
        <v>885</v>
      </c>
      <c r="B5" s="18"/>
      <c r="C5" s="18"/>
      <c r="D5" s="39"/>
      <c r="E5" s="39"/>
      <c r="F5" s="39"/>
      <c r="G5" s="39"/>
      <c r="H5" s="39"/>
      <c r="I5" s="39"/>
      <c r="J5" s="39"/>
      <c r="K5" s="39"/>
      <c r="L5" s="39"/>
      <c r="M5" s="39"/>
      <c r="N5" s="39"/>
      <c r="O5" s="39"/>
    </row>
    <row r="6" spans="1:15">
      <c r="A6" s="11"/>
      <c r="B6" s="11" t="s">
        <v>886</v>
      </c>
      <c r="C6" s="11"/>
      <c r="D6" s="66">
        <f>'01 Major Assumptions'!$D$58</f>
        <v>29.8</v>
      </c>
      <c r="E6" s="10" t="s">
        <v>86</v>
      </c>
      <c r="F6" s="33"/>
      <c r="G6" s="33"/>
      <c r="H6" s="33"/>
      <c r="I6" s="33"/>
      <c r="J6" s="33"/>
      <c r="K6" s="33"/>
      <c r="L6" s="33"/>
      <c r="M6" s="33"/>
      <c r="N6" s="33"/>
      <c r="O6" s="33"/>
    </row>
    <row r="7" spans="1:15">
      <c r="A7" s="11"/>
      <c r="B7" s="11" t="s">
        <v>887</v>
      </c>
      <c r="C7" s="11"/>
      <c r="D7" s="92">
        <f>D6*1600</f>
        <v>47680</v>
      </c>
      <c r="E7" s="10" t="s">
        <v>888</v>
      </c>
      <c r="F7" s="33"/>
      <c r="G7" s="33"/>
      <c r="H7" s="33"/>
      <c r="I7" s="33"/>
      <c r="J7" s="33"/>
      <c r="K7" s="33"/>
      <c r="L7" s="33"/>
      <c r="M7" s="33"/>
      <c r="N7" s="33"/>
      <c r="O7" s="33"/>
    </row>
    <row r="8" spans="1:15">
      <c r="A8" s="11"/>
      <c r="B8" s="11" t="s">
        <v>889</v>
      </c>
      <c r="C8" s="11"/>
      <c r="D8" s="92">
        <f>'01 Major Assumptions'!$D$31</f>
        <v>120</v>
      </c>
      <c r="E8" s="10" t="s">
        <v>64</v>
      </c>
      <c r="F8" s="33"/>
      <c r="G8" s="33"/>
      <c r="H8" s="33"/>
      <c r="I8" s="33"/>
      <c r="J8" s="33"/>
      <c r="K8" s="33"/>
      <c r="L8" s="33"/>
      <c r="M8" s="33"/>
      <c r="N8" s="33"/>
      <c r="O8" s="33"/>
    </row>
    <row r="9" spans="1:15">
      <c r="A9" s="11"/>
      <c r="B9" s="11" t="s">
        <v>59</v>
      </c>
      <c r="C9" s="11"/>
      <c r="D9" s="92">
        <f>'01 Major Assumptions'!$D$29</f>
        <v>8</v>
      </c>
      <c r="E9" s="10" t="s">
        <v>60</v>
      </c>
      <c r="F9" s="33"/>
      <c r="G9" s="33"/>
      <c r="H9" s="33"/>
      <c r="I9" s="33"/>
      <c r="J9" s="33"/>
      <c r="K9" s="33"/>
      <c r="L9" s="33"/>
      <c r="M9" s="33"/>
      <c r="N9" s="33"/>
      <c r="O9" s="33"/>
    </row>
    <row r="10" spans="1:15">
      <c r="A10" s="11"/>
      <c r="B10" s="11" t="s">
        <v>890</v>
      </c>
      <c r="C10" s="11"/>
      <c r="D10" s="69">
        <v>0.35</v>
      </c>
      <c r="E10" s="10" t="s">
        <v>891</v>
      </c>
      <c r="F10" s="33"/>
      <c r="G10" s="33"/>
      <c r="H10" s="33"/>
      <c r="I10" s="33"/>
      <c r="J10" s="33"/>
      <c r="K10" s="33"/>
      <c r="L10" s="33"/>
      <c r="M10" s="33"/>
      <c r="N10" s="33"/>
      <c r="O10" s="33"/>
    </row>
    <row r="11" spans="1:15">
      <c r="A11" s="11"/>
      <c r="B11" s="11" t="s">
        <v>892</v>
      </c>
      <c r="C11" s="11"/>
      <c r="D11" s="95">
        <v>4</v>
      </c>
      <c r="E11" s="10" t="s">
        <v>893</v>
      </c>
      <c r="F11" s="33"/>
      <c r="G11" s="33"/>
      <c r="H11" s="33"/>
      <c r="I11" s="33"/>
      <c r="J11" s="33"/>
      <c r="K11" s="33"/>
      <c r="L11" s="33"/>
      <c r="M11" s="33"/>
      <c r="N11" s="33"/>
      <c r="O11" s="33"/>
    </row>
    <row r="12" spans="1:15">
      <c r="A12" s="11"/>
      <c r="B12" s="11" t="s">
        <v>894</v>
      </c>
      <c r="C12" s="11"/>
      <c r="D12" s="92">
        <f>'01 Major Assumptions'!$D$37</f>
        <v>30</v>
      </c>
      <c r="E12" s="10" t="s">
        <v>6</v>
      </c>
      <c r="F12" s="33"/>
      <c r="G12" s="33"/>
      <c r="H12" s="33"/>
      <c r="I12" s="33"/>
      <c r="J12" s="33"/>
      <c r="K12" s="33"/>
      <c r="L12" s="33"/>
      <c r="M12" s="33"/>
      <c r="N12" s="33"/>
      <c r="O12" s="33"/>
    </row>
    <row r="13" spans="1:15">
      <c r="A13" s="11"/>
      <c r="B13" s="11" t="s">
        <v>895</v>
      </c>
      <c r="C13" s="11"/>
      <c r="D13" s="19">
        <v>0.3</v>
      </c>
      <c r="E13" s="43"/>
      <c r="F13" s="33"/>
      <c r="G13" s="33"/>
      <c r="H13" s="33"/>
      <c r="I13" s="33"/>
      <c r="J13" s="33"/>
      <c r="K13" s="33"/>
      <c r="L13" s="33"/>
      <c r="M13" s="33"/>
      <c r="N13" s="33"/>
      <c r="O13" s="33"/>
    </row>
    <row r="14" spans="1:15">
      <c r="A14" s="11"/>
      <c r="B14" s="11" t="s">
        <v>896</v>
      </c>
      <c r="C14" s="11"/>
      <c r="D14" s="19">
        <v>0.05</v>
      </c>
      <c r="E14" s="10" t="s">
        <v>897</v>
      </c>
      <c r="F14" s="33"/>
      <c r="G14" s="33"/>
      <c r="H14" s="33"/>
      <c r="I14" s="33"/>
      <c r="J14" s="33"/>
      <c r="K14" s="33"/>
      <c r="L14" s="33"/>
      <c r="M14" s="33"/>
      <c r="N14" s="33"/>
      <c r="O14" s="33"/>
    </row>
    <row r="15" spans="1:15">
      <c r="A15" s="11"/>
      <c r="B15" s="11"/>
      <c r="C15" s="11"/>
      <c r="D15" s="33"/>
      <c r="E15" s="43"/>
      <c r="F15" s="33"/>
      <c r="G15" s="33"/>
      <c r="H15" s="33"/>
      <c r="I15" s="33"/>
      <c r="J15" s="33"/>
      <c r="K15" s="33"/>
      <c r="L15" s="33"/>
      <c r="M15" s="33"/>
      <c r="N15" s="33"/>
      <c r="O15" s="33"/>
    </row>
    <row r="16" spans="1:15">
      <c r="A16" s="18" t="s">
        <v>898</v>
      </c>
      <c r="B16" s="18"/>
      <c r="C16" s="18"/>
      <c r="D16" s="39"/>
      <c r="E16" s="39"/>
      <c r="F16" s="39"/>
      <c r="G16" s="39"/>
      <c r="H16" s="39"/>
      <c r="I16" s="39"/>
      <c r="J16" s="39"/>
      <c r="K16" s="39"/>
      <c r="L16" s="39"/>
      <c r="M16" s="39"/>
      <c r="N16" s="39"/>
      <c r="O16" s="39"/>
    </row>
    <row r="17" spans="1:15">
      <c r="A17" s="11"/>
      <c r="B17" s="11"/>
      <c r="C17" s="22" t="s">
        <v>899</v>
      </c>
      <c r="D17" s="22" t="s">
        <v>900</v>
      </c>
      <c r="E17" s="37" t="s">
        <v>901</v>
      </c>
      <c r="F17" s="33"/>
      <c r="G17" s="33"/>
      <c r="H17" s="33"/>
      <c r="I17" s="33"/>
      <c r="J17" s="33"/>
      <c r="K17" s="33"/>
      <c r="L17" s="33"/>
      <c r="M17" s="33"/>
      <c r="N17" s="33"/>
      <c r="O17" s="33"/>
    </row>
    <row r="18" spans="1:15">
      <c r="A18" s="11"/>
      <c r="B18" s="11" t="s">
        <v>902</v>
      </c>
      <c r="C18" s="1" t="s">
        <v>903</v>
      </c>
      <c r="D18" s="90">
        <f>1200</f>
        <v>1200</v>
      </c>
      <c r="E18" s="10" t="s">
        <v>904</v>
      </c>
      <c r="F18" s="33"/>
      <c r="G18" s="33"/>
      <c r="H18" s="33"/>
      <c r="I18" s="33"/>
      <c r="J18" s="33"/>
      <c r="K18" s="33"/>
      <c r="L18" s="33"/>
      <c r="M18" s="33"/>
      <c r="N18" s="33"/>
      <c r="O18" s="33"/>
    </row>
    <row r="19" spans="1:15">
      <c r="A19" s="11"/>
      <c r="B19" s="11" t="s">
        <v>905</v>
      </c>
      <c r="C19" s="1" t="s">
        <v>906</v>
      </c>
      <c r="D19" s="90">
        <f>$D$12*$D$8/$D$10/$D$11*(1+$D$13)</f>
        <v>3342.8571428571431</v>
      </c>
      <c r="E19" s="10" t="s">
        <v>904</v>
      </c>
      <c r="F19" s="33"/>
      <c r="G19" s="33"/>
      <c r="H19" s="33"/>
      <c r="I19" s="33"/>
      <c r="J19" s="33"/>
      <c r="K19" s="33"/>
      <c r="L19" s="33"/>
      <c r="M19" s="33"/>
      <c r="N19" s="33"/>
      <c r="O19" s="33"/>
    </row>
    <row r="20" spans="1:15">
      <c r="A20" s="11"/>
      <c r="B20" s="11" t="s">
        <v>907</v>
      </c>
      <c r="C20" s="1" t="s">
        <v>908</v>
      </c>
      <c r="D20" s="90">
        <f>1800</f>
        <v>1800</v>
      </c>
      <c r="E20" s="10" t="s">
        <v>909</v>
      </c>
      <c r="F20" s="33"/>
      <c r="G20" s="33"/>
      <c r="H20" s="33"/>
      <c r="I20" s="33"/>
      <c r="J20" s="33"/>
      <c r="K20" s="33"/>
      <c r="L20" s="33"/>
      <c r="M20" s="33"/>
      <c r="N20" s="33"/>
      <c r="O20" s="33"/>
    </row>
    <row r="21" spans="1:15">
      <c r="A21" s="11"/>
      <c r="B21" s="11" t="s">
        <v>910</v>
      </c>
      <c r="C21" s="1" t="s">
        <v>1806</v>
      </c>
      <c r="D21" s="90">
        <f>$D$9*300</f>
        <v>2400</v>
      </c>
      <c r="E21" s="10" t="s">
        <v>909</v>
      </c>
      <c r="F21" s="33"/>
      <c r="G21" s="33"/>
      <c r="H21" s="33"/>
      <c r="I21" s="33"/>
      <c r="J21" s="33"/>
      <c r="K21" s="33"/>
      <c r="L21" s="33"/>
      <c r="M21" s="33"/>
      <c r="N21" s="33"/>
      <c r="O21" s="33"/>
    </row>
    <row r="22" spans="1:15">
      <c r="A22" s="11"/>
      <c r="B22" s="11" t="s">
        <v>911</v>
      </c>
      <c r="C22" s="1" t="s">
        <v>1807</v>
      </c>
      <c r="D22" s="90">
        <f>$D$9*60</f>
        <v>480</v>
      </c>
      <c r="E22" s="10" t="s">
        <v>904</v>
      </c>
      <c r="F22" s="33"/>
      <c r="G22" s="33"/>
      <c r="H22" s="33"/>
      <c r="I22" s="33"/>
      <c r="J22" s="33"/>
      <c r="K22" s="33"/>
      <c r="L22" s="33"/>
      <c r="M22" s="33"/>
      <c r="N22" s="33"/>
      <c r="O22" s="33"/>
    </row>
    <row r="23" spans="1:15">
      <c r="A23" s="11"/>
      <c r="B23" s="11" t="s">
        <v>912</v>
      </c>
      <c r="C23" s="1" t="s">
        <v>913</v>
      </c>
      <c r="D23" s="90">
        <f>1800</f>
        <v>1800</v>
      </c>
      <c r="E23" s="10" t="s">
        <v>904</v>
      </c>
      <c r="F23" s="33"/>
      <c r="G23" s="33"/>
      <c r="H23" s="33"/>
      <c r="I23" s="33"/>
      <c r="J23" s="33"/>
      <c r="K23" s="33"/>
      <c r="L23" s="33"/>
      <c r="M23" s="33"/>
      <c r="N23" s="33"/>
      <c r="O23" s="33"/>
    </row>
    <row r="24" spans="1:15">
      <c r="A24" s="11"/>
      <c r="B24" s="11" t="s">
        <v>914</v>
      </c>
      <c r="C24" s="1" t="s">
        <v>1639</v>
      </c>
      <c r="D24" s="90">
        <f>'03 CAPEX &amp; Depreciation'!$E$292*0.15+600</f>
        <v>2422.9859999999999</v>
      </c>
      <c r="E24" s="10" t="s">
        <v>909</v>
      </c>
      <c r="F24" s="33"/>
      <c r="G24" s="33"/>
      <c r="H24" s="33"/>
      <c r="I24" s="33"/>
      <c r="J24" s="33"/>
      <c r="K24" s="33"/>
      <c r="L24" s="33"/>
      <c r="M24" s="33"/>
      <c r="N24" s="33"/>
      <c r="O24" s="33"/>
    </row>
    <row r="25" spans="1:15">
      <c r="A25" s="11"/>
      <c r="B25" s="11" t="s">
        <v>915</v>
      </c>
      <c r="C25" s="1" t="s">
        <v>916</v>
      </c>
      <c r="D25" s="90">
        <f>3000</f>
        <v>3000</v>
      </c>
      <c r="E25" s="10" t="s">
        <v>909</v>
      </c>
      <c r="F25" s="33"/>
      <c r="G25" s="33"/>
      <c r="H25" s="33"/>
      <c r="I25" s="33"/>
      <c r="J25" s="33"/>
      <c r="K25" s="33"/>
      <c r="L25" s="33"/>
      <c r="M25" s="33"/>
      <c r="N25" s="33"/>
      <c r="O25" s="33"/>
    </row>
    <row r="26" spans="1:15">
      <c r="A26" s="11"/>
      <c r="B26" s="11" t="s">
        <v>917</v>
      </c>
      <c r="C26" s="1" t="s">
        <v>918</v>
      </c>
      <c r="D26" s="90">
        <f>800</f>
        <v>800</v>
      </c>
      <c r="E26" s="10" t="s">
        <v>904</v>
      </c>
      <c r="F26" s="33"/>
      <c r="G26" s="33"/>
      <c r="H26" s="33"/>
      <c r="I26" s="33"/>
      <c r="J26" s="33"/>
      <c r="K26" s="33"/>
      <c r="L26" s="33"/>
      <c r="M26" s="33"/>
      <c r="N26" s="33"/>
      <c r="O26" s="33"/>
    </row>
    <row r="27" spans="1:15">
      <c r="A27" s="11"/>
      <c r="B27" s="11" t="s">
        <v>919</v>
      </c>
      <c r="C27" s="1" t="s">
        <v>920</v>
      </c>
      <c r="D27" s="90">
        <f>600</f>
        <v>600</v>
      </c>
      <c r="E27" s="10" t="s">
        <v>904</v>
      </c>
      <c r="F27" s="33"/>
      <c r="G27" s="33"/>
      <c r="H27" s="33"/>
      <c r="I27" s="33"/>
      <c r="J27" s="33"/>
      <c r="K27" s="33"/>
      <c r="L27" s="33"/>
      <c r="M27" s="33"/>
      <c r="N27" s="33"/>
      <c r="O27" s="33"/>
    </row>
    <row r="28" spans="1:15">
      <c r="A28" s="11"/>
      <c r="B28" s="11" t="s">
        <v>921</v>
      </c>
      <c r="C28" s="1"/>
      <c r="D28" s="90">
        <f>500</f>
        <v>500</v>
      </c>
      <c r="E28" s="10" t="s">
        <v>904</v>
      </c>
      <c r="F28" s="33"/>
      <c r="G28" s="33"/>
      <c r="H28" s="33"/>
      <c r="I28" s="33"/>
      <c r="J28" s="33"/>
      <c r="K28" s="33"/>
      <c r="L28" s="33"/>
      <c r="M28" s="33"/>
      <c r="N28" s="33"/>
      <c r="O28" s="33"/>
    </row>
    <row r="29" spans="1:15">
      <c r="A29" s="11"/>
      <c r="B29" s="11" t="s">
        <v>922</v>
      </c>
      <c r="C29" s="1" t="s">
        <v>923</v>
      </c>
      <c r="D29" s="90">
        <f>900</f>
        <v>900</v>
      </c>
      <c r="E29" s="10" t="s">
        <v>904</v>
      </c>
      <c r="F29" s="33"/>
      <c r="G29" s="33"/>
      <c r="H29" s="33"/>
      <c r="I29" s="33"/>
      <c r="J29" s="33"/>
      <c r="K29" s="33"/>
      <c r="L29" s="33"/>
      <c r="M29" s="33"/>
      <c r="N29" s="33"/>
      <c r="O29" s="33"/>
    </row>
    <row r="30" spans="1:15">
      <c r="A30" s="11"/>
      <c r="B30" s="11" t="s">
        <v>924</v>
      </c>
      <c r="C30" s="1" t="s">
        <v>925</v>
      </c>
      <c r="D30" s="90">
        <f>1200</f>
        <v>1200</v>
      </c>
      <c r="E30" s="10" t="s">
        <v>904</v>
      </c>
      <c r="F30" s="33"/>
      <c r="G30" s="33"/>
      <c r="H30" s="33"/>
      <c r="I30" s="33"/>
      <c r="J30" s="33"/>
      <c r="K30" s="33"/>
      <c r="L30" s="33"/>
      <c r="M30" s="33"/>
      <c r="N30" s="33"/>
      <c r="O30" s="33"/>
    </row>
    <row r="31" spans="1:15">
      <c r="A31" s="11"/>
      <c r="B31" s="11" t="s">
        <v>926</v>
      </c>
      <c r="C31" s="1" t="s">
        <v>927</v>
      </c>
      <c r="D31" s="90">
        <f>700</f>
        <v>700</v>
      </c>
      <c r="E31" s="10" t="s">
        <v>909</v>
      </c>
      <c r="F31" s="33"/>
      <c r="G31" s="33"/>
      <c r="H31" s="33"/>
      <c r="I31" s="33"/>
      <c r="J31" s="33"/>
      <c r="K31" s="33"/>
      <c r="L31" s="33"/>
      <c r="M31" s="33"/>
      <c r="N31" s="33"/>
      <c r="O31" s="33"/>
    </row>
    <row r="32" spans="1:15">
      <c r="A32" s="11"/>
      <c r="B32" s="11" t="s">
        <v>928</v>
      </c>
      <c r="C32" s="1"/>
      <c r="D32" s="90">
        <f>900</f>
        <v>900</v>
      </c>
      <c r="E32" s="10" t="s">
        <v>909</v>
      </c>
      <c r="F32" s="33"/>
      <c r="G32" s="33"/>
      <c r="H32" s="33"/>
      <c r="I32" s="33"/>
      <c r="J32" s="33"/>
      <c r="K32" s="33"/>
      <c r="L32" s="33"/>
      <c r="M32" s="33"/>
      <c r="N32" s="33"/>
      <c r="O32" s="33"/>
    </row>
    <row r="33" spans="1:15">
      <c r="A33" s="11"/>
      <c r="B33" s="11" t="s">
        <v>929</v>
      </c>
      <c r="C33" s="1" t="s">
        <v>930</v>
      </c>
      <c r="D33" s="90">
        <f>1200</f>
        <v>1200</v>
      </c>
      <c r="E33" s="10" t="s">
        <v>909</v>
      </c>
      <c r="F33" s="33"/>
      <c r="G33" s="33"/>
      <c r="H33" s="33"/>
      <c r="I33" s="33"/>
      <c r="J33" s="33"/>
      <c r="K33" s="33"/>
      <c r="L33" s="33"/>
      <c r="M33" s="33"/>
      <c r="N33" s="33"/>
      <c r="O33" s="33"/>
    </row>
    <row r="34" spans="1:15">
      <c r="A34" s="11"/>
      <c r="B34" s="11" t="s">
        <v>931</v>
      </c>
      <c r="C34" s="1" t="s">
        <v>932</v>
      </c>
      <c r="D34" s="90">
        <f>300</f>
        <v>300</v>
      </c>
      <c r="E34" s="10" t="s">
        <v>909</v>
      </c>
      <c r="F34" s="33"/>
      <c r="G34" s="33"/>
      <c r="H34" s="33"/>
      <c r="I34" s="33"/>
      <c r="J34" s="33"/>
      <c r="K34" s="33"/>
      <c r="L34" s="33"/>
      <c r="M34" s="33"/>
      <c r="N34" s="33"/>
      <c r="O34" s="33"/>
    </row>
    <row r="35" spans="1:15">
      <c r="A35" s="11"/>
      <c r="B35" s="11" t="s">
        <v>933</v>
      </c>
      <c r="C35" s="1" t="s">
        <v>934</v>
      </c>
      <c r="D35" s="90">
        <f>600</f>
        <v>600</v>
      </c>
      <c r="E35" s="10" t="s">
        <v>904</v>
      </c>
      <c r="F35" s="33"/>
      <c r="G35" s="33"/>
      <c r="H35" s="33"/>
      <c r="I35" s="33"/>
      <c r="J35" s="33"/>
      <c r="K35" s="33"/>
      <c r="L35" s="33"/>
      <c r="M35" s="33"/>
      <c r="N35" s="33"/>
      <c r="O35" s="33"/>
    </row>
    <row r="36" spans="1:15">
      <c r="A36" s="11"/>
      <c r="B36" s="11" t="s">
        <v>935</v>
      </c>
      <c r="C36" s="1" t="s">
        <v>936</v>
      </c>
      <c r="D36" s="90">
        <f>6000</f>
        <v>6000</v>
      </c>
      <c r="E36" s="10" t="s">
        <v>904</v>
      </c>
      <c r="F36" s="33"/>
      <c r="G36" s="33"/>
      <c r="H36" s="33"/>
      <c r="I36" s="33"/>
      <c r="J36" s="33"/>
      <c r="K36" s="33"/>
      <c r="L36" s="33"/>
      <c r="M36" s="33"/>
      <c r="N36" s="33"/>
      <c r="O36" s="33"/>
    </row>
    <row r="37" spans="1:15">
      <c r="A37" s="11"/>
      <c r="B37" s="11" t="s">
        <v>937</v>
      </c>
      <c r="C37" s="1" t="s">
        <v>938</v>
      </c>
      <c r="D37" s="90">
        <f>$D$7*$D$14</f>
        <v>2384</v>
      </c>
      <c r="E37" s="10" t="s">
        <v>904</v>
      </c>
      <c r="F37" s="33"/>
      <c r="G37" s="33"/>
      <c r="H37" s="33"/>
      <c r="I37" s="33"/>
      <c r="J37" s="33"/>
      <c r="K37" s="33"/>
      <c r="L37" s="33"/>
      <c r="M37" s="33"/>
      <c r="N37" s="33"/>
      <c r="O37" s="33"/>
    </row>
    <row r="38" spans="1:15">
      <c r="A38" s="11"/>
      <c r="B38" s="22" t="s">
        <v>939</v>
      </c>
      <c r="C38" s="11"/>
      <c r="D38" s="89">
        <f>SUM(D18:D37)</f>
        <v>32529.843142857142</v>
      </c>
      <c r="E38" s="43"/>
      <c r="F38" s="33"/>
      <c r="G38" s="33"/>
      <c r="H38" s="33"/>
      <c r="I38" s="33"/>
      <c r="J38" s="33"/>
      <c r="K38" s="33"/>
      <c r="L38" s="33"/>
      <c r="M38" s="33"/>
      <c r="N38" s="33"/>
      <c r="O38" s="33"/>
    </row>
    <row r="39" spans="1:15">
      <c r="A39" s="11"/>
      <c r="B39" s="22" t="s">
        <v>940</v>
      </c>
      <c r="C39" s="11"/>
      <c r="D39" s="89">
        <f>SUMIF($E$18:$E$37,"Yes",$D$18:$D$37)</f>
        <v>12722.986000000001</v>
      </c>
      <c r="E39" s="43"/>
      <c r="F39" s="33"/>
      <c r="G39" s="33"/>
      <c r="H39" s="33"/>
      <c r="I39" s="33"/>
      <c r="J39" s="33"/>
      <c r="K39" s="33"/>
      <c r="L39" s="33"/>
      <c r="M39" s="33"/>
      <c r="N39" s="33"/>
      <c r="O39" s="33"/>
    </row>
    <row r="40" spans="1:15">
      <c r="A40" s="11"/>
      <c r="B40" s="22" t="s">
        <v>941</v>
      </c>
      <c r="C40" s="11"/>
      <c r="D40" s="89">
        <f>D38-D39</f>
        <v>19806.857142857141</v>
      </c>
      <c r="E40" s="43"/>
      <c r="F40" s="33"/>
      <c r="G40" s="33"/>
      <c r="H40" s="33"/>
      <c r="I40" s="33"/>
      <c r="J40" s="33"/>
      <c r="K40" s="33"/>
      <c r="L40" s="33"/>
      <c r="M40" s="33"/>
      <c r="N40" s="33"/>
      <c r="O40" s="33"/>
    </row>
    <row r="41" spans="1:15">
      <c r="A41" s="11"/>
      <c r="B41" s="11"/>
      <c r="C41" s="11"/>
      <c r="D41" s="33"/>
      <c r="E41" s="43"/>
      <c r="F41" s="33"/>
      <c r="G41" s="33"/>
      <c r="H41" s="33"/>
      <c r="I41" s="33"/>
      <c r="J41" s="33"/>
      <c r="K41" s="33"/>
      <c r="L41" s="33"/>
      <c r="M41" s="33"/>
      <c r="N41" s="33"/>
      <c r="O41" s="33"/>
    </row>
    <row r="42" spans="1:15">
      <c r="A42" s="18" t="s">
        <v>942</v>
      </c>
      <c r="B42" s="18"/>
      <c r="C42" s="18"/>
      <c r="D42" s="39"/>
      <c r="E42" s="39"/>
      <c r="F42" s="39"/>
      <c r="G42" s="39"/>
      <c r="H42" s="39"/>
      <c r="I42" s="39"/>
      <c r="J42" s="39"/>
      <c r="K42" s="39"/>
      <c r="L42" s="39"/>
      <c r="M42" s="39"/>
      <c r="N42" s="39"/>
      <c r="O42" s="39"/>
    </row>
    <row r="43" spans="1:15">
      <c r="A43" s="11"/>
      <c r="B43" s="22" t="s">
        <v>943</v>
      </c>
      <c r="C43" s="11"/>
      <c r="D43" s="89">
        <f>D7</f>
        <v>47680</v>
      </c>
      <c r="E43" s="10" t="s">
        <v>888</v>
      </c>
      <c r="F43" s="33"/>
      <c r="G43" s="33"/>
      <c r="H43" s="33"/>
      <c r="I43" s="33"/>
      <c r="J43" s="33"/>
      <c r="K43" s="33"/>
      <c r="L43" s="33"/>
      <c r="M43" s="33"/>
      <c r="N43" s="33"/>
      <c r="O43" s="33"/>
    </row>
    <row r="44" spans="1:15">
      <c r="A44" s="11"/>
      <c r="B44" s="22" t="s">
        <v>944</v>
      </c>
      <c r="C44" s="11"/>
      <c r="D44" s="89">
        <f>D38</f>
        <v>32529.843142857142</v>
      </c>
      <c r="E44" s="10" t="s">
        <v>888</v>
      </c>
      <c r="F44" s="33"/>
      <c r="G44" s="33"/>
      <c r="H44" s="33"/>
      <c r="I44" s="33"/>
      <c r="J44" s="33"/>
      <c r="K44" s="33"/>
      <c r="L44" s="33"/>
      <c r="M44" s="33"/>
      <c r="N44" s="33"/>
      <c r="O44" s="33"/>
    </row>
    <row r="45" spans="1:15">
      <c r="A45" s="11"/>
      <c r="B45" s="22" t="s">
        <v>945</v>
      </c>
      <c r="C45" s="11"/>
      <c r="D45" s="89">
        <f>D43-D44</f>
        <v>15150.156857142858</v>
      </c>
      <c r="E45" s="10" t="s">
        <v>888</v>
      </c>
      <c r="F45" s="33"/>
      <c r="G45" s="33"/>
      <c r="H45" s="33"/>
      <c r="I45" s="33"/>
      <c r="J45" s="33"/>
      <c r="K45" s="33"/>
      <c r="L45" s="33"/>
      <c r="M45" s="33"/>
      <c r="N45" s="33"/>
      <c r="O45" s="33"/>
    </row>
    <row r="46" spans="1:15">
      <c r="A46" s="11"/>
      <c r="B46" s="11" t="s">
        <v>946</v>
      </c>
      <c r="C46" s="11"/>
      <c r="D46" s="6">
        <f>D44/D43</f>
        <v>0.68225342162032598</v>
      </c>
      <c r="E46" s="43"/>
      <c r="F46" s="33"/>
      <c r="G46" s="33"/>
      <c r="H46" s="33"/>
      <c r="I46" s="33"/>
      <c r="J46" s="33"/>
      <c r="K46" s="33"/>
      <c r="L46" s="33"/>
      <c r="M46" s="33"/>
      <c r="N46" s="33"/>
      <c r="O46" s="33"/>
    </row>
    <row r="47" spans="1:15">
      <c r="A47" s="11"/>
      <c r="B47" s="11" t="s">
        <v>947</v>
      </c>
      <c r="C47" s="11"/>
      <c r="D47" s="6">
        <f>D39/D43</f>
        <v>0.26684114932885905</v>
      </c>
      <c r="E47" s="43"/>
      <c r="F47" s="33"/>
      <c r="G47" s="33"/>
      <c r="H47" s="33"/>
      <c r="I47" s="33"/>
      <c r="J47" s="33"/>
      <c r="K47" s="33"/>
      <c r="L47" s="33"/>
      <c r="M47" s="33"/>
      <c r="N47" s="33"/>
      <c r="O47" s="33"/>
    </row>
    <row r="48" spans="1:15">
      <c r="A48" s="11"/>
      <c r="B48" s="11" t="s">
        <v>948</v>
      </c>
      <c r="C48" s="11"/>
      <c r="D48" s="6">
        <f>D37/D43</f>
        <v>0.05</v>
      </c>
      <c r="E48" s="43"/>
      <c r="F48" s="33"/>
      <c r="G48" s="33"/>
      <c r="H48" s="33"/>
      <c r="I48" s="33"/>
      <c r="J48" s="33"/>
      <c r="K48" s="33"/>
      <c r="L48" s="33"/>
      <c r="M48" s="33"/>
      <c r="N48" s="33"/>
      <c r="O48" s="33"/>
    </row>
    <row r="49" spans="1:15">
      <c r="A49" s="11"/>
      <c r="B49" s="11" t="s">
        <v>949</v>
      </c>
      <c r="C49" s="11"/>
      <c r="D49" s="63">
        <f>D44/1600</f>
        <v>20.331151964285713</v>
      </c>
      <c r="E49" s="10" t="s">
        <v>86</v>
      </c>
      <c r="F49" s="33"/>
      <c r="G49" s="33"/>
      <c r="H49" s="33"/>
      <c r="I49" s="33"/>
      <c r="J49" s="33"/>
      <c r="K49" s="33"/>
      <c r="L49" s="33"/>
      <c r="M49" s="33"/>
      <c r="N49" s="33"/>
      <c r="O49" s="33"/>
    </row>
    <row r="50" spans="1:15">
      <c r="A50" s="11"/>
      <c r="B50" s="22" t="s">
        <v>950</v>
      </c>
      <c r="C50" s="22"/>
      <c r="D50" s="87" t="str">
        <f>IF(D45&gt;=0,"Fits within the "&amp;TEXT($D$6,"#,##0.0")&amp;" rai plot with "&amp;TEXT(D45,"#,##0")&amp;" m2 spare, site utilisation "&amp;TEXT(D46,"0.0%"),"Does NOT fit — a further "&amp;TEXT(-D45/1600,"#,##0.0")&amp;" rai is required")</f>
        <v>Fits within the 29.8 rai plot with 15,150 m2 spare, site utilisation 68.2%</v>
      </c>
      <c r="E50" s="8"/>
      <c r="F50" s="33"/>
      <c r="G50" s="33"/>
      <c r="H50" s="33"/>
      <c r="I50" s="33"/>
      <c r="J50" s="33"/>
      <c r="K50" s="33"/>
      <c r="L50" s="33"/>
      <c r="M50" s="33"/>
      <c r="N50" s="33"/>
      <c r="O50" s="33"/>
    </row>
    <row r="51" spans="1:15">
      <c r="A51" s="11"/>
      <c r="B51" s="11"/>
      <c r="C51" s="11"/>
      <c r="D51" s="33"/>
      <c r="E51" s="43"/>
      <c r="F51" s="33"/>
      <c r="G51" s="33"/>
      <c r="H51" s="33"/>
      <c r="I51" s="33"/>
      <c r="J51" s="33"/>
      <c r="K51" s="33"/>
      <c r="L51" s="33"/>
      <c r="M51" s="33"/>
      <c r="N51" s="33"/>
      <c r="O51" s="33"/>
    </row>
    <row r="52" spans="1:15">
      <c r="A52" s="18" t="s">
        <v>951</v>
      </c>
      <c r="B52" s="18"/>
      <c r="C52" s="18"/>
      <c r="D52" s="39"/>
      <c r="E52" s="39"/>
      <c r="F52" s="39"/>
      <c r="G52" s="39"/>
      <c r="H52" s="39"/>
      <c r="I52" s="39"/>
      <c r="J52" s="39"/>
      <c r="K52" s="39"/>
      <c r="L52" s="39"/>
      <c r="M52" s="39"/>
      <c r="N52" s="39"/>
      <c r="O52" s="39"/>
    </row>
    <row r="53" spans="1:15">
      <c r="A53" s="11"/>
      <c r="B53" s="11" t="s">
        <v>952</v>
      </c>
      <c r="C53" s="11"/>
      <c r="D53" s="90">
        <f>'03 CAPEX &amp; Depreciation'!$F$111</f>
        <v>272700000</v>
      </c>
      <c r="E53" s="10" t="s">
        <v>13</v>
      </c>
      <c r="F53" s="33"/>
      <c r="G53" s="33"/>
      <c r="H53" s="33"/>
      <c r="I53" s="33"/>
      <c r="J53" s="33"/>
      <c r="K53" s="33"/>
      <c r="L53" s="33"/>
      <c r="M53" s="33"/>
      <c r="N53" s="33"/>
      <c r="O53" s="33"/>
    </row>
    <row r="54" spans="1:15">
      <c r="A54" s="11"/>
      <c r="B54" s="11" t="s">
        <v>940</v>
      </c>
      <c r="C54" s="11"/>
      <c r="D54" s="90">
        <f>D39</f>
        <v>12722.986000000001</v>
      </c>
      <c r="E54" s="10" t="s">
        <v>888</v>
      </c>
      <c r="F54" s="33"/>
      <c r="G54" s="33"/>
      <c r="H54" s="33"/>
      <c r="I54" s="33"/>
      <c r="J54" s="33"/>
      <c r="K54" s="33"/>
      <c r="L54" s="33"/>
      <c r="M54" s="33"/>
      <c r="N54" s="33"/>
      <c r="O54" s="33"/>
    </row>
    <row r="55" spans="1:15">
      <c r="A55" s="11"/>
      <c r="B55" s="11" t="s">
        <v>953</v>
      </c>
      <c r="C55" s="11"/>
      <c r="D55" s="90">
        <f>D53/D54</f>
        <v>21433.647730179062</v>
      </c>
      <c r="E55" s="10" t="s">
        <v>954</v>
      </c>
      <c r="F55" s="33"/>
      <c r="G55" s="33"/>
      <c r="H55" s="33"/>
      <c r="I55" s="33"/>
      <c r="J55" s="33"/>
      <c r="K55" s="33"/>
      <c r="L55" s="33"/>
      <c r="M55" s="33"/>
      <c r="N55" s="33"/>
      <c r="O55" s="33"/>
    </row>
    <row r="56" spans="1:15">
      <c r="A56" s="11"/>
      <c r="B56" s="11" t="s">
        <v>939</v>
      </c>
      <c r="C56" s="11"/>
      <c r="D56" s="90">
        <f>D38</f>
        <v>32529.843142857142</v>
      </c>
      <c r="E56" s="10" t="s">
        <v>888</v>
      </c>
      <c r="F56" s="33"/>
      <c r="G56" s="33"/>
      <c r="H56" s="33"/>
      <c r="I56" s="33"/>
      <c r="J56" s="33"/>
      <c r="K56" s="33"/>
      <c r="L56" s="33"/>
      <c r="M56" s="33"/>
      <c r="N56" s="33"/>
      <c r="O56" s="33"/>
    </row>
    <row r="57" spans="1:15">
      <c r="A57" s="11"/>
      <c r="B57" s="11" t="s">
        <v>955</v>
      </c>
      <c r="C57" s="11"/>
      <c r="D57" s="90">
        <f>D53/D56</f>
        <v>8383.0714707850984</v>
      </c>
      <c r="E57" s="10" t="s">
        <v>954</v>
      </c>
      <c r="F57" s="33"/>
      <c r="G57" s="33"/>
      <c r="H57" s="33"/>
      <c r="I57" s="33"/>
      <c r="J57" s="33"/>
      <c r="K57" s="33"/>
      <c r="L57" s="33"/>
      <c r="M57" s="33"/>
      <c r="N57" s="33"/>
      <c r="O57" s="33"/>
    </row>
    <row r="58" spans="1:15">
      <c r="A58" s="11"/>
      <c r="B58" s="11" t="s">
        <v>956</v>
      </c>
      <c r="C58" s="11"/>
      <c r="D58" s="90">
        <f>'03 CAPEX &amp; Depreciation'!$F$86</f>
        <v>21000000</v>
      </c>
      <c r="E58" s="10" t="s">
        <v>13</v>
      </c>
      <c r="F58" s="33"/>
      <c r="G58" s="33"/>
      <c r="H58" s="33"/>
      <c r="I58" s="33"/>
      <c r="J58" s="33"/>
      <c r="K58" s="33"/>
      <c r="L58" s="33"/>
      <c r="M58" s="33"/>
      <c r="N58" s="33"/>
      <c r="O58" s="33"/>
    </row>
    <row r="59" spans="1:15">
      <c r="A59" s="11"/>
      <c r="B59" s="11" t="s">
        <v>957</v>
      </c>
      <c r="C59" s="11"/>
      <c r="D59" s="63">
        <f>D58/D56</f>
        <v>645.56105935638834</v>
      </c>
      <c r="E59" s="10" t="s">
        <v>954</v>
      </c>
      <c r="F59" s="33"/>
      <c r="G59" s="33"/>
      <c r="H59" s="33"/>
      <c r="I59" s="33"/>
      <c r="J59" s="33"/>
      <c r="K59" s="33"/>
      <c r="L59" s="33"/>
      <c r="M59" s="33"/>
      <c r="N59" s="33"/>
      <c r="O59" s="33"/>
    </row>
    <row r="60" spans="1:15">
      <c r="A60" s="11"/>
      <c r="B60" s="36" t="s">
        <v>1743</v>
      </c>
      <c r="C60" s="11"/>
      <c r="D60" s="33"/>
      <c r="E60" s="33"/>
      <c r="F60" s="33"/>
      <c r="G60" s="33"/>
      <c r="H60" s="33"/>
      <c r="I60" s="33"/>
      <c r="J60" s="33"/>
      <c r="K60" s="33"/>
      <c r="L60" s="33"/>
      <c r="M60" s="33"/>
      <c r="N60" s="33"/>
      <c r="O60" s="33"/>
    </row>
    <row r="61" spans="1:15">
      <c r="A61" s="11"/>
      <c r="B61" s="11"/>
      <c r="C61" s="11"/>
      <c r="D61" s="33"/>
      <c r="E61" s="33"/>
      <c r="F61" s="33"/>
      <c r="G61" s="33"/>
      <c r="H61" s="33"/>
      <c r="I61" s="33"/>
      <c r="J61" s="33"/>
      <c r="K61" s="33"/>
      <c r="L61" s="33"/>
      <c r="M61" s="33"/>
      <c r="N61" s="33"/>
      <c r="O61" s="33"/>
    </row>
    <row r="62" spans="1:15">
      <c r="A62" s="18" t="s">
        <v>958</v>
      </c>
      <c r="B62" s="18"/>
      <c r="C62" s="18"/>
      <c r="D62" s="39"/>
      <c r="E62" s="39"/>
      <c r="F62" s="39"/>
      <c r="G62" s="39"/>
      <c r="H62" s="39"/>
      <c r="I62" s="39"/>
      <c r="J62" s="39"/>
      <c r="K62" s="39"/>
      <c r="L62" s="39"/>
      <c r="M62" s="39"/>
      <c r="N62" s="39"/>
      <c r="O62" s="39"/>
    </row>
    <row r="63" spans="1:15">
      <c r="A63" s="11"/>
      <c r="B63" s="11"/>
      <c r="C63" s="22" t="s">
        <v>959</v>
      </c>
      <c r="D63" s="22" t="s">
        <v>960</v>
      </c>
      <c r="E63" s="22" t="s">
        <v>961</v>
      </c>
      <c r="F63" s="22" t="s">
        <v>962</v>
      </c>
      <c r="G63" s="22" t="s">
        <v>963</v>
      </c>
      <c r="H63" s="33"/>
      <c r="I63" s="33"/>
      <c r="J63" s="33"/>
      <c r="K63" s="33"/>
      <c r="L63" s="33"/>
      <c r="M63" s="33"/>
      <c r="N63" s="33"/>
      <c r="O63" s="33"/>
    </row>
    <row r="64" spans="1:15">
      <c r="A64" s="11"/>
      <c r="B64" s="11" t="s">
        <v>964</v>
      </c>
      <c r="C64" s="90">
        <f>'01 Major Assumptions'!$D$29</f>
        <v>8</v>
      </c>
      <c r="D64" s="90">
        <v>55</v>
      </c>
      <c r="E64" s="90">
        <f t="shared" ref="E64:E77" si="0">$C64*$D64</f>
        <v>440</v>
      </c>
      <c r="F64" s="63">
        <v>0.85</v>
      </c>
      <c r="G64" s="90">
        <f t="shared" ref="G64:G77" si="1">$E64*$F64</f>
        <v>374</v>
      </c>
      <c r="H64" s="33"/>
      <c r="I64" s="33"/>
      <c r="J64" s="33"/>
      <c r="K64" s="33"/>
      <c r="L64" s="33"/>
      <c r="M64" s="33"/>
      <c r="N64" s="33"/>
      <c r="O64" s="33"/>
    </row>
    <row r="65" spans="1:15">
      <c r="A65" s="11"/>
      <c r="B65" s="11" t="s">
        <v>965</v>
      </c>
      <c r="C65" s="90">
        <v>2</v>
      </c>
      <c r="D65" s="90">
        <v>250</v>
      </c>
      <c r="E65" s="90">
        <f t="shared" si="0"/>
        <v>500</v>
      </c>
      <c r="F65" s="63">
        <v>0.7</v>
      </c>
      <c r="G65" s="90">
        <f t="shared" si="1"/>
        <v>350</v>
      </c>
      <c r="H65" s="33"/>
      <c r="I65" s="33"/>
      <c r="J65" s="33"/>
      <c r="K65" s="33"/>
      <c r="L65" s="33"/>
      <c r="M65" s="33"/>
      <c r="N65" s="33"/>
      <c r="O65" s="33"/>
    </row>
    <row r="66" spans="1:15">
      <c r="A66" s="11"/>
      <c r="B66" s="11" t="s">
        <v>966</v>
      </c>
      <c r="C66" s="90">
        <v>4</v>
      </c>
      <c r="D66" s="90">
        <v>160</v>
      </c>
      <c r="E66" s="90">
        <f t="shared" si="0"/>
        <v>640</v>
      </c>
      <c r="F66" s="63">
        <v>0.75</v>
      </c>
      <c r="G66" s="90">
        <f t="shared" si="1"/>
        <v>480</v>
      </c>
      <c r="H66" s="33"/>
      <c r="I66" s="33"/>
      <c r="J66" s="33"/>
      <c r="K66" s="33"/>
      <c r="L66" s="33"/>
      <c r="M66" s="33"/>
      <c r="N66" s="33"/>
      <c r="O66" s="33"/>
    </row>
    <row r="67" spans="1:15">
      <c r="A67" s="11"/>
      <c r="B67" s="11" t="s">
        <v>967</v>
      </c>
      <c r="C67" s="90">
        <f>'01 Major Assumptions'!$D$29</f>
        <v>8</v>
      </c>
      <c r="D67" s="90">
        <v>15</v>
      </c>
      <c r="E67" s="90">
        <f t="shared" si="0"/>
        <v>120</v>
      </c>
      <c r="F67" s="63">
        <v>0.9</v>
      </c>
      <c r="G67" s="90">
        <f t="shared" si="1"/>
        <v>108</v>
      </c>
      <c r="H67" s="33"/>
      <c r="I67" s="33"/>
      <c r="J67" s="33"/>
      <c r="K67" s="33"/>
      <c r="L67" s="33"/>
      <c r="M67" s="33"/>
      <c r="N67" s="33"/>
      <c r="O67" s="33"/>
    </row>
    <row r="68" spans="1:15">
      <c r="A68" s="11"/>
      <c r="B68" s="11" t="s">
        <v>1642</v>
      </c>
      <c r="C68" s="90">
        <v>1</v>
      </c>
      <c r="D68" s="68">
        <f>'03 CAPEX &amp; Depreciation'!$E$292*0.045</f>
        <v>546.89580000000001</v>
      </c>
      <c r="E68" s="63">
        <f t="shared" si="0"/>
        <v>546.89580000000001</v>
      </c>
      <c r="F68" s="63">
        <v>0.8</v>
      </c>
      <c r="G68" s="63">
        <f t="shared" si="1"/>
        <v>437.51664000000005</v>
      </c>
      <c r="H68" s="33"/>
      <c r="I68" s="33"/>
      <c r="J68" s="33"/>
      <c r="K68" s="33"/>
      <c r="L68" s="33"/>
      <c r="M68" s="33"/>
      <c r="N68" s="33"/>
      <c r="O68" s="33"/>
    </row>
    <row r="69" spans="1:15">
      <c r="A69" s="11"/>
      <c r="B69" s="11" t="s">
        <v>968</v>
      </c>
      <c r="C69" s="90">
        <v>1</v>
      </c>
      <c r="D69" s="90">
        <v>350</v>
      </c>
      <c r="E69" s="90">
        <f t="shared" si="0"/>
        <v>350</v>
      </c>
      <c r="F69" s="63">
        <v>0.85</v>
      </c>
      <c r="G69" s="63">
        <f t="shared" si="1"/>
        <v>297.5</v>
      </c>
      <c r="H69" s="33"/>
      <c r="I69" s="33"/>
      <c r="J69" s="33"/>
      <c r="K69" s="33"/>
      <c r="L69" s="33"/>
      <c r="M69" s="33"/>
      <c r="N69" s="33"/>
      <c r="O69" s="33"/>
    </row>
    <row r="70" spans="1:15">
      <c r="A70" s="11"/>
      <c r="B70" s="11" t="s">
        <v>969</v>
      </c>
      <c r="C70" s="90">
        <v>1</v>
      </c>
      <c r="D70" s="90">
        <v>200</v>
      </c>
      <c r="E70" s="90">
        <f t="shared" si="0"/>
        <v>200</v>
      </c>
      <c r="F70" s="63">
        <v>0.8</v>
      </c>
      <c r="G70" s="90">
        <f t="shared" si="1"/>
        <v>160</v>
      </c>
      <c r="H70" s="33"/>
      <c r="I70" s="33"/>
      <c r="J70" s="33"/>
      <c r="K70" s="33"/>
      <c r="L70" s="33"/>
      <c r="M70" s="33"/>
      <c r="N70" s="33"/>
      <c r="O70" s="33"/>
    </row>
    <row r="71" spans="1:15">
      <c r="A71" s="11"/>
      <c r="B71" s="11" t="s">
        <v>970</v>
      </c>
      <c r="C71" s="90">
        <v>1</v>
      </c>
      <c r="D71" s="90">
        <v>120</v>
      </c>
      <c r="E71" s="90">
        <f t="shared" si="0"/>
        <v>120</v>
      </c>
      <c r="F71" s="63">
        <v>0.45</v>
      </c>
      <c r="G71" s="90">
        <f t="shared" si="1"/>
        <v>54</v>
      </c>
      <c r="H71" s="33"/>
      <c r="I71" s="33"/>
      <c r="J71" s="33"/>
      <c r="K71" s="33"/>
      <c r="L71" s="33"/>
      <c r="M71" s="33"/>
      <c r="N71" s="33"/>
      <c r="O71" s="33"/>
    </row>
    <row r="72" spans="1:15">
      <c r="A72" s="11"/>
      <c r="B72" s="11" t="s">
        <v>971</v>
      </c>
      <c r="C72" s="90">
        <v>1</v>
      </c>
      <c r="D72" s="90">
        <v>250</v>
      </c>
      <c r="E72" s="90">
        <f t="shared" si="0"/>
        <v>250</v>
      </c>
      <c r="F72" s="63">
        <v>0.85</v>
      </c>
      <c r="G72" s="63">
        <f t="shared" si="1"/>
        <v>212.5</v>
      </c>
      <c r="H72" s="33"/>
      <c r="I72" s="33"/>
      <c r="J72" s="33"/>
      <c r="K72" s="33"/>
      <c r="L72" s="33"/>
      <c r="M72" s="33"/>
      <c r="N72" s="33"/>
      <c r="O72" s="33"/>
    </row>
    <row r="73" spans="1:15">
      <c r="A73" s="11"/>
      <c r="B73" s="11" t="s">
        <v>972</v>
      </c>
      <c r="C73" s="90">
        <v>1</v>
      </c>
      <c r="D73" s="90">
        <v>160</v>
      </c>
      <c r="E73" s="90">
        <f t="shared" si="0"/>
        <v>160</v>
      </c>
      <c r="F73" s="63">
        <v>0.7</v>
      </c>
      <c r="G73" s="90">
        <f t="shared" si="1"/>
        <v>112</v>
      </c>
      <c r="H73" s="33"/>
      <c r="I73" s="33"/>
      <c r="J73" s="33"/>
      <c r="K73" s="33"/>
      <c r="L73" s="33"/>
      <c r="M73" s="33"/>
      <c r="N73" s="33"/>
      <c r="O73" s="33"/>
    </row>
    <row r="74" spans="1:15">
      <c r="A74" s="11"/>
      <c r="B74" s="11" t="s">
        <v>973</v>
      </c>
      <c r="C74" s="90">
        <v>1</v>
      </c>
      <c r="D74" s="90">
        <v>120</v>
      </c>
      <c r="E74" s="90">
        <f t="shared" si="0"/>
        <v>120</v>
      </c>
      <c r="F74" s="63">
        <v>0.75</v>
      </c>
      <c r="G74" s="90">
        <f t="shared" si="1"/>
        <v>90</v>
      </c>
      <c r="H74" s="33"/>
      <c r="I74" s="33"/>
      <c r="J74" s="33"/>
      <c r="K74" s="33"/>
      <c r="L74" s="33"/>
      <c r="M74" s="33"/>
      <c r="N74" s="33"/>
      <c r="O74" s="33"/>
    </row>
    <row r="75" spans="1:15">
      <c r="A75" s="11"/>
      <c r="B75" s="11" t="s">
        <v>974</v>
      </c>
      <c r="C75" s="90">
        <v>1</v>
      </c>
      <c r="D75" s="90">
        <v>90</v>
      </c>
      <c r="E75" s="90">
        <f t="shared" si="0"/>
        <v>90</v>
      </c>
      <c r="F75" s="63">
        <v>0.8</v>
      </c>
      <c r="G75" s="90">
        <f t="shared" si="1"/>
        <v>72</v>
      </c>
      <c r="H75" s="33"/>
      <c r="I75" s="33"/>
      <c r="J75" s="33"/>
      <c r="K75" s="33"/>
      <c r="L75" s="33"/>
      <c r="M75" s="33"/>
      <c r="N75" s="33"/>
      <c r="O75" s="33"/>
    </row>
    <row r="76" spans="1:15">
      <c r="A76" s="11"/>
      <c r="B76" s="11" t="s">
        <v>975</v>
      </c>
      <c r="C76" s="90">
        <v>1</v>
      </c>
      <c r="D76" s="90">
        <v>180</v>
      </c>
      <c r="E76" s="90">
        <f t="shared" si="0"/>
        <v>180</v>
      </c>
      <c r="F76" s="63">
        <v>0.55000000000000004</v>
      </c>
      <c r="G76" s="90">
        <f t="shared" si="1"/>
        <v>99.000000000000014</v>
      </c>
      <c r="H76" s="33"/>
      <c r="I76" s="33"/>
      <c r="J76" s="33"/>
      <c r="K76" s="33"/>
      <c r="L76" s="33"/>
      <c r="M76" s="33"/>
      <c r="N76" s="33"/>
      <c r="O76" s="33"/>
    </row>
    <row r="77" spans="1:15">
      <c r="A77" s="11"/>
      <c r="B77" s="11" t="s">
        <v>976</v>
      </c>
      <c r="C77" s="90">
        <v>1</v>
      </c>
      <c r="D77" s="90">
        <v>75</v>
      </c>
      <c r="E77" s="90">
        <f t="shared" si="0"/>
        <v>75</v>
      </c>
      <c r="F77" s="63">
        <v>0.05</v>
      </c>
      <c r="G77" s="63">
        <f t="shared" si="1"/>
        <v>3.75</v>
      </c>
      <c r="H77" s="33"/>
      <c r="I77" s="33"/>
      <c r="J77" s="33"/>
      <c r="K77" s="33"/>
      <c r="L77" s="33"/>
      <c r="M77" s="33"/>
      <c r="N77" s="33"/>
      <c r="O77" s="33"/>
    </row>
    <row r="78" spans="1:15">
      <c r="A78" s="11"/>
      <c r="B78" s="11" t="s">
        <v>977</v>
      </c>
      <c r="C78" s="11"/>
      <c r="D78" s="33"/>
      <c r="E78" s="90">
        <f>SUM(E64:E77)</f>
        <v>3791.8958000000002</v>
      </c>
      <c r="F78" s="33"/>
      <c r="G78" s="90">
        <f>SUM(G64:G77)</f>
        <v>2850.2666399999998</v>
      </c>
      <c r="H78" s="33"/>
      <c r="I78" s="33"/>
      <c r="J78" s="33"/>
      <c r="K78" s="33"/>
      <c r="L78" s="33"/>
      <c r="M78" s="33"/>
      <c r="N78" s="33"/>
      <c r="O78" s="33"/>
    </row>
    <row r="79" spans="1:15">
      <c r="A79" s="11"/>
      <c r="B79" s="11" t="s">
        <v>978</v>
      </c>
      <c r="C79" s="11"/>
      <c r="D79" s="19">
        <v>0.9</v>
      </c>
      <c r="E79" s="33"/>
      <c r="F79" s="33"/>
      <c r="G79" s="33"/>
      <c r="H79" s="33"/>
      <c r="I79" s="33"/>
      <c r="J79" s="33"/>
      <c r="K79" s="33"/>
      <c r="L79" s="33"/>
      <c r="M79" s="33"/>
      <c r="N79" s="33"/>
      <c r="O79" s="33"/>
    </row>
    <row r="80" spans="1:15">
      <c r="A80" s="11"/>
      <c r="B80" s="11" t="s">
        <v>979</v>
      </c>
      <c r="C80" s="11"/>
      <c r="D80" s="90">
        <f>G78*D79</f>
        <v>2565.2399759999998</v>
      </c>
      <c r="E80" s="11" t="s">
        <v>980</v>
      </c>
      <c r="F80" s="33"/>
      <c r="G80" s="33"/>
      <c r="H80" s="33"/>
      <c r="I80" s="33"/>
      <c r="J80" s="33"/>
      <c r="K80" s="33"/>
      <c r="L80" s="33"/>
      <c r="M80" s="33"/>
      <c r="N80" s="33"/>
      <c r="O80" s="33"/>
    </row>
    <row r="81" spans="1:15">
      <c r="A81" s="11"/>
      <c r="B81" s="11" t="s">
        <v>981</v>
      </c>
      <c r="C81" s="11"/>
      <c r="D81" s="69">
        <v>0.95</v>
      </c>
      <c r="E81" s="33"/>
      <c r="F81" s="33"/>
      <c r="G81" s="33"/>
      <c r="H81" s="33"/>
      <c r="I81" s="33"/>
      <c r="J81" s="33"/>
      <c r="K81" s="33"/>
      <c r="L81" s="33"/>
      <c r="M81" s="33"/>
      <c r="N81" s="33"/>
      <c r="O81" s="33"/>
    </row>
    <row r="82" spans="1:15">
      <c r="A82" s="11"/>
      <c r="B82" s="11" t="s">
        <v>979</v>
      </c>
      <c r="C82" s="11"/>
      <c r="D82" s="90">
        <f>D80/D81</f>
        <v>2700.2526063157893</v>
      </c>
      <c r="E82" s="11" t="s">
        <v>982</v>
      </c>
      <c r="F82" s="33"/>
      <c r="G82" s="33"/>
      <c r="H82" s="33"/>
      <c r="I82" s="33"/>
      <c r="J82" s="33"/>
      <c r="K82" s="33"/>
      <c r="L82" s="33"/>
      <c r="M82" s="33"/>
      <c r="N82" s="33"/>
      <c r="O82" s="33"/>
    </row>
    <row r="83" spans="1:15">
      <c r="A83" s="11"/>
      <c r="B83" s="11" t="s">
        <v>983</v>
      </c>
      <c r="C83" s="11"/>
      <c r="D83" s="90">
        <f>D82*1.2</f>
        <v>3240.3031275789472</v>
      </c>
      <c r="E83" s="11" t="s">
        <v>982</v>
      </c>
      <c r="F83" s="33"/>
      <c r="G83" s="33"/>
      <c r="H83" s="33"/>
      <c r="I83" s="33"/>
      <c r="J83" s="33"/>
      <c r="K83" s="33"/>
      <c r="L83" s="33"/>
      <c r="M83" s="33"/>
      <c r="N83" s="33"/>
      <c r="O83" s="33"/>
    </row>
    <row r="84" spans="1:15">
      <c r="A84" s="11"/>
      <c r="B84" s="11" t="s">
        <v>984</v>
      </c>
      <c r="C84" s="11"/>
      <c r="D84" s="95">
        <v>5000</v>
      </c>
      <c r="E84" s="11" t="s">
        <v>980</v>
      </c>
      <c r="F84" s="33"/>
      <c r="G84" s="33"/>
      <c r="H84" s="33"/>
      <c r="I84" s="33"/>
      <c r="J84" s="33"/>
      <c r="K84" s="33"/>
      <c r="L84" s="33"/>
      <c r="M84" s="33"/>
      <c r="N84" s="33"/>
      <c r="O84" s="33"/>
    </row>
    <row r="85" spans="1:15">
      <c r="A85" s="11"/>
      <c r="B85" s="11" t="s">
        <v>985</v>
      </c>
      <c r="C85" s="11"/>
      <c r="D85" s="95">
        <v>8000</v>
      </c>
      <c r="E85" s="11" t="s">
        <v>980</v>
      </c>
      <c r="F85" s="33"/>
      <c r="G85" s="33"/>
      <c r="H85" s="33"/>
      <c r="I85" s="33"/>
      <c r="J85" s="33"/>
      <c r="K85" s="33"/>
      <c r="L85" s="33"/>
      <c r="M85" s="33"/>
      <c r="N85" s="33"/>
      <c r="O85" s="33"/>
    </row>
    <row r="86" spans="1:15">
      <c r="A86" s="11"/>
      <c r="B86" s="11" t="s">
        <v>986</v>
      </c>
      <c r="C86" s="11"/>
      <c r="D86" s="90">
        <f>D84-D80</f>
        <v>2434.7600240000002</v>
      </c>
      <c r="E86" s="11" t="s">
        <v>980</v>
      </c>
      <c r="F86" s="33"/>
      <c r="G86" s="33"/>
      <c r="H86" s="33"/>
      <c r="I86" s="33"/>
      <c r="J86" s="33"/>
      <c r="K86" s="33"/>
      <c r="L86" s="33"/>
      <c r="M86" s="33"/>
      <c r="N86" s="33"/>
      <c r="O86" s="33"/>
    </row>
    <row r="87" spans="1:15">
      <c r="A87" s="11"/>
      <c r="B87" s="11" t="s">
        <v>987</v>
      </c>
      <c r="C87" s="11"/>
      <c r="D87" s="90">
        <f>'01 Major Assumptions'!$D$32*24</f>
        <v>8184</v>
      </c>
      <c r="E87" s="11" t="s">
        <v>988</v>
      </c>
      <c r="F87" s="33"/>
      <c r="G87" s="33"/>
      <c r="H87" s="33"/>
      <c r="I87" s="33"/>
      <c r="J87" s="33"/>
      <c r="K87" s="33"/>
      <c r="L87" s="33"/>
      <c r="M87" s="33"/>
      <c r="N87" s="33"/>
      <c r="O87" s="33"/>
    </row>
    <row r="88" spans="1:15">
      <c r="A88" s="11"/>
      <c r="B88" s="11" t="s">
        <v>989</v>
      </c>
      <c r="C88" s="11"/>
      <c r="D88" s="90">
        <f>D80*D87</f>
        <v>20993923.963583998</v>
      </c>
      <c r="E88" s="11" t="s">
        <v>397</v>
      </c>
      <c r="F88" s="33"/>
      <c r="G88" s="33"/>
      <c r="H88" s="33"/>
      <c r="I88" s="33"/>
      <c r="J88" s="33"/>
      <c r="K88" s="33"/>
      <c r="L88" s="33"/>
      <c r="M88" s="33"/>
      <c r="N88" s="33"/>
      <c r="O88" s="33"/>
    </row>
    <row r="89" spans="1:15">
      <c r="A89" s="11"/>
      <c r="B89" s="11" t="s">
        <v>990</v>
      </c>
      <c r="C89" s="11"/>
      <c r="D89" s="63">
        <f>D88/'01 Major Assumptions'!$D$33</f>
        <v>513.04799519999995</v>
      </c>
      <c r="E89" s="11" t="s">
        <v>98</v>
      </c>
      <c r="F89" s="33"/>
      <c r="G89" s="33"/>
      <c r="H89" s="33"/>
      <c r="I89" s="33"/>
      <c r="J89" s="33"/>
      <c r="K89" s="33"/>
      <c r="L89" s="33"/>
      <c r="M89" s="33"/>
      <c r="N89" s="33"/>
      <c r="O89" s="33"/>
    </row>
    <row r="90" spans="1:15">
      <c r="A90" s="11"/>
      <c r="B90" s="22" t="s">
        <v>950</v>
      </c>
      <c r="C90" s="22"/>
      <c r="D90" s="87" t="str">
        <f>IF(D80&lt;=D84,"Within the initial 5 MW supply, headroom "&amp;TEXT(D86,"#,##0")&amp;" kW",IF(D80&lt;=D85,"Requires the announced 8 MW expansion — initial 5 MW is NOT sufficient","Exceeds even the 8 MW expanded supply"))</f>
        <v>Within the initial 5 MW supply, headroom 2,435 kW</v>
      </c>
      <c r="E90" s="5"/>
      <c r="F90" s="33"/>
      <c r="G90" s="33"/>
      <c r="H90" s="33"/>
      <c r="I90" s="33"/>
      <c r="J90" s="33"/>
      <c r="K90" s="33"/>
      <c r="L90" s="33"/>
      <c r="M90" s="33"/>
      <c r="N90" s="33"/>
      <c r="O90" s="33"/>
    </row>
    <row r="91" spans="1:15">
      <c r="A91" s="11"/>
      <c r="B91" s="11"/>
      <c r="C91" s="11"/>
      <c r="D91" s="33"/>
      <c r="E91" s="33"/>
      <c r="F91" s="33"/>
      <c r="G91" s="33"/>
      <c r="H91" s="33"/>
      <c r="I91" s="33"/>
      <c r="J91" s="33"/>
      <c r="K91" s="33"/>
      <c r="L91" s="33"/>
      <c r="M91" s="33"/>
      <c r="N91" s="33"/>
      <c r="O91" s="33"/>
    </row>
    <row r="92" spans="1:15">
      <c r="A92" s="18" t="s">
        <v>991</v>
      </c>
      <c r="B92" s="18"/>
      <c r="C92" s="18"/>
      <c r="D92" s="39"/>
      <c r="E92" s="39"/>
      <c r="F92" s="39"/>
      <c r="G92" s="39"/>
      <c r="H92" s="39"/>
      <c r="I92" s="39"/>
      <c r="J92" s="39"/>
      <c r="K92" s="39"/>
      <c r="L92" s="39"/>
      <c r="M92" s="39"/>
      <c r="N92" s="39"/>
      <c r="O92" s="39"/>
    </row>
    <row r="93" spans="1:15">
      <c r="A93" s="11"/>
      <c r="B93" s="11" t="s">
        <v>992</v>
      </c>
      <c r="C93" s="11"/>
      <c r="D93" s="95">
        <v>60000</v>
      </c>
      <c r="E93" s="11" t="s">
        <v>993</v>
      </c>
      <c r="F93" s="33"/>
      <c r="G93" s="33"/>
      <c r="H93" s="33"/>
      <c r="I93" s="33"/>
      <c r="J93" s="33"/>
      <c r="K93" s="33"/>
      <c r="L93" s="33"/>
      <c r="M93" s="33"/>
      <c r="N93" s="33"/>
      <c r="O93" s="33"/>
    </row>
    <row r="94" spans="1:15">
      <c r="A94" s="11"/>
      <c r="B94" s="11" t="s">
        <v>994</v>
      </c>
      <c r="C94" s="11"/>
      <c r="D94" s="95">
        <v>8</v>
      </c>
      <c r="E94" s="11" t="s">
        <v>995</v>
      </c>
      <c r="F94" s="33"/>
      <c r="G94" s="33"/>
      <c r="H94" s="33"/>
      <c r="I94" s="33"/>
      <c r="J94" s="33"/>
      <c r="K94" s="33"/>
      <c r="L94" s="33"/>
      <c r="M94" s="33"/>
      <c r="N94" s="33"/>
      <c r="O94" s="33"/>
    </row>
    <row r="95" spans="1:15">
      <c r="A95" s="11"/>
      <c r="B95" s="11" t="s">
        <v>996</v>
      </c>
      <c r="C95" s="11"/>
      <c r="D95" s="90">
        <f>D93*1000/(4.19*D94)/1000</f>
        <v>1789.976133651551</v>
      </c>
      <c r="E95" s="11" t="s">
        <v>997</v>
      </c>
      <c r="F95" s="33"/>
      <c r="G95" s="33"/>
      <c r="H95" s="33"/>
      <c r="I95" s="33"/>
      <c r="J95" s="33"/>
      <c r="K95" s="33"/>
      <c r="L95" s="33"/>
      <c r="M95" s="33"/>
      <c r="N95" s="33"/>
      <c r="O95" s="33"/>
    </row>
    <row r="96" spans="1:15">
      <c r="A96" s="11"/>
      <c r="B96" s="11" t="s">
        <v>998</v>
      </c>
      <c r="C96" s="11"/>
      <c r="D96" s="19">
        <v>2.1999999999999999E-2</v>
      </c>
      <c r="E96" s="11" t="s">
        <v>999</v>
      </c>
      <c r="F96" s="33"/>
      <c r="G96" s="33"/>
      <c r="H96" s="33"/>
      <c r="I96" s="33"/>
      <c r="J96" s="33"/>
      <c r="K96" s="33"/>
      <c r="L96" s="33"/>
      <c r="M96" s="33"/>
      <c r="N96" s="33"/>
      <c r="O96" s="33"/>
    </row>
    <row r="97" spans="1:15">
      <c r="A97" s="11"/>
      <c r="B97" s="11" t="s">
        <v>1000</v>
      </c>
      <c r="C97" s="11"/>
      <c r="D97" s="63">
        <f>D95*D96</f>
        <v>39.37947494033412</v>
      </c>
      <c r="E97" s="11" t="s">
        <v>997</v>
      </c>
      <c r="F97" s="33"/>
      <c r="G97" s="33"/>
      <c r="H97" s="33"/>
      <c r="I97" s="33"/>
      <c r="J97" s="33"/>
      <c r="K97" s="33"/>
      <c r="L97" s="33"/>
      <c r="M97" s="33"/>
      <c r="N97" s="33"/>
      <c r="O97" s="33"/>
    </row>
    <row r="98" spans="1:15">
      <c r="A98" s="11"/>
      <c r="B98" s="11" t="s">
        <v>1001</v>
      </c>
      <c r="C98" s="11"/>
      <c r="D98" s="95">
        <v>20</v>
      </c>
      <c r="E98" s="11" t="s">
        <v>997</v>
      </c>
      <c r="F98" s="33"/>
      <c r="G98" s="33"/>
      <c r="H98" s="33"/>
      <c r="I98" s="33"/>
      <c r="J98" s="33"/>
      <c r="K98" s="33"/>
      <c r="L98" s="33"/>
      <c r="M98" s="33"/>
      <c r="N98" s="33"/>
      <c r="O98" s="33"/>
    </row>
    <row r="99" spans="1:15">
      <c r="A99" s="11"/>
      <c r="B99" s="11" t="s">
        <v>1002</v>
      </c>
      <c r="C99" s="11"/>
      <c r="D99" s="63">
        <f>'01 Major Assumptions'!$C$96*0.08</f>
        <v>8.4</v>
      </c>
      <c r="E99" s="11" t="s">
        <v>997</v>
      </c>
      <c r="F99" s="33"/>
      <c r="G99" s="33"/>
      <c r="H99" s="33"/>
      <c r="I99" s="33"/>
      <c r="J99" s="33"/>
      <c r="K99" s="33"/>
      <c r="L99" s="33"/>
      <c r="M99" s="33"/>
      <c r="N99" s="33"/>
      <c r="O99" s="33"/>
    </row>
    <row r="100" spans="1:15">
      <c r="A100" s="11"/>
      <c r="B100" s="11" t="s">
        <v>1003</v>
      </c>
      <c r="C100" s="11"/>
      <c r="D100" s="95">
        <v>10</v>
      </c>
      <c r="E100" s="11" t="s">
        <v>997</v>
      </c>
      <c r="F100" s="33"/>
      <c r="G100" s="33"/>
      <c r="H100" s="33"/>
      <c r="I100" s="33"/>
      <c r="J100" s="33"/>
      <c r="K100" s="33"/>
      <c r="L100" s="33"/>
      <c r="M100" s="33"/>
      <c r="N100" s="33"/>
      <c r="O100" s="33"/>
    </row>
    <row r="101" spans="1:15">
      <c r="A101" s="11"/>
      <c r="B101" s="11" t="s">
        <v>1004</v>
      </c>
      <c r="C101" s="11"/>
      <c r="D101" s="95">
        <v>3</v>
      </c>
      <c r="E101" s="11" t="s">
        <v>997</v>
      </c>
      <c r="F101" s="33"/>
      <c r="G101" s="33"/>
      <c r="H101" s="33"/>
      <c r="I101" s="33"/>
      <c r="J101" s="33"/>
      <c r="K101" s="33"/>
      <c r="L101" s="33"/>
      <c r="M101" s="33"/>
      <c r="N101" s="33"/>
      <c r="O101" s="33"/>
    </row>
    <row r="102" spans="1:15">
      <c r="A102" s="11"/>
      <c r="B102" s="11" t="s">
        <v>1005</v>
      </c>
      <c r="C102" s="11"/>
      <c r="D102" s="63">
        <f>D97+D98+D99+D100+D101</f>
        <v>80.779474940334126</v>
      </c>
      <c r="E102" s="11" t="s">
        <v>997</v>
      </c>
      <c r="F102" s="33"/>
      <c r="G102" s="33"/>
      <c r="H102" s="33"/>
      <c r="I102" s="33"/>
      <c r="J102" s="33"/>
      <c r="K102" s="33"/>
      <c r="L102" s="33"/>
      <c r="M102" s="33"/>
      <c r="N102" s="33"/>
      <c r="O102" s="33"/>
    </row>
    <row r="103" spans="1:15">
      <c r="A103" s="11"/>
      <c r="B103" s="11" t="s">
        <v>1006</v>
      </c>
      <c r="C103" s="11"/>
      <c r="D103" s="95">
        <v>3000</v>
      </c>
      <c r="E103" s="11" t="s">
        <v>997</v>
      </c>
      <c r="F103" s="33"/>
      <c r="G103" s="33"/>
      <c r="H103" s="33"/>
      <c r="I103" s="33"/>
      <c r="J103" s="33"/>
      <c r="K103" s="33"/>
      <c r="L103" s="33"/>
      <c r="M103" s="33"/>
      <c r="N103" s="33"/>
      <c r="O103" s="33"/>
    </row>
    <row r="104" spans="1:15">
      <c r="A104" s="11"/>
      <c r="B104" s="11" t="s">
        <v>1007</v>
      </c>
      <c r="C104" s="11"/>
      <c r="D104" s="6">
        <f>D102/D103</f>
        <v>2.6926491646778041E-2</v>
      </c>
      <c r="E104" s="33"/>
      <c r="F104" s="33"/>
      <c r="G104" s="33"/>
      <c r="H104" s="33"/>
      <c r="I104" s="33"/>
      <c r="J104" s="33"/>
      <c r="K104" s="33"/>
      <c r="L104" s="33"/>
      <c r="M104" s="33"/>
      <c r="N104" s="33"/>
      <c r="O104" s="33"/>
    </row>
    <row r="105" spans="1:15">
      <c r="A105" s="11"/>
      <c r="B105" s="11" t="s">
        <v>1008</v>
      </c>
      <c r="C105" s="11"/>
      <c r="D105" s="6">
        <f>'01 Major Assumptions'!$D$74</f>
        <v>0.6</v>
      </c>
      <c r="E105" s="33"/>
      <c r="F105" s="33"/>
      <c r="G105" s="33"/>
      <c r="H105" s="33"/>
      <c r="I105" s="33"/>
      <c r="J105" s="33"/>
      <c r="K105" s="33"/>
      <c r="L105" s="33"/>
      <c r="M105" s="33"/>
      <c r="N105" s="33"/>
      <c r="O105" s="33"/>
    </row>
    <row r="106" spans="1:15">
      <c r="A106" s="11"/>
      <c r="B106" s="11" t="s">
        <v>1009</v>
      </c>
      <c r="C106" s="11"/>
      <c r="D106" s="63">
        <f>D102*D105</f>
        <v>48.467684964200473</v>
      </c>
      <c r="E106" s="11" t="s">
        <v>997</v>
      </c>
      <c r="F106" s="33"/>
      <c r="G106" s="33"/>
      <c r="H106" s="33"/>
      <c r="I106" s="33"/>
      <c r="J106" s="33"/>
      <c r="K106" s="33"/>
      <c r="L106" s="33"/>
      <c r="M106" s="33"/>
      <c r="N106" s="33"/>
      <c r="O106" s="33"/>
    </row>
    <row r="107" spans="1:15">
      <c r="A107" s="11"/>
      <c r="B107" s="11" t="s">
        <v>1010</v>
      </c>
      <c r="C107" s="11"/>
      <c r="D107" s="63">
        <f>D102/'01 Major Assumptions'!$D$31</f>
        <v>0.67316229116945103</v>
      </c>
      <c r="E107" s="11" t="s">
        <v>100</v>
      </c>
      <c r="F107" s="33"/>
      <c r="G107" s="33"/>
      <c r="H107" s="33"/>
      <c r="I107" s="33"/>
      <c r="J107" s="33"/>
      <c r="K107" s="33"/>
      <c r="L107" s="33"/>
      <c r="M107" s="33"/>
      <c r="N107" s="33"/>
      <c r="O107" s="33"/>
    </row>
    <row r="108" spans="1:15">
      <c r="A108" s="11"/>
      <c r="B108" s="11" t="s">
        <v>1011</v>
      </c>
      <c r="C108" s="11"/>
      <c r="D108" s="95">
        <v>216</v>
      </c>
      <c r="E108" s="11" t="s">
        <v>400</v>
      </c>
      <c r="F108" s="33"/>
      <c r="G108" s="33"/>
      <c r="H108" s="33"/>
      <c r="I108" s="33"/>
      <c r="J108" s="33"/>
      <c r="K108" s="33"/>
      <c r="L108" s="33"/>
      <c r="M108" s="33"/>
      <c r="N108" s="33"/>
      <c r="O108" s="33"/>
    </row>
    <row r="109" spans="1:15">
      <c r="A109" s="11"/>
      <c r="B109" s="22" t="s">
        <v>950</v>
      </c>
      <c r="C109" s="22"/>
      <c r="D109" s="87" t="str">
        <f>IF(D102&lt;=D103,"Within the estate allocation of 3,000 m3 per day, using "&amp;TEXT(D104,"0.0%"),"Exceeds the estate water allocation")</f>
        <v>Within the estate allocation of 3,000 m3 per day, using 2.7%</v>
      </c>
      <c r="E109" s="5"/>
      <c r="F109" s="33"/>
      <c r="G109" s="33"/>
      <c r="H109" s="33"/>
      <c r="I109" s="33"/>
      <c r="J109" s="33"/>
      <c r="K109" s="33"/>
      <c r="L109" s="33"/>
      <c r="M109" s="33"/>
      <c r="N109" s="33"/>
      <c r="O109" s="33"/>
    </row>
    <row r="110" spans="1:15">
      <c r="A110" s="11"/>
      <c r="B110" s="11"/>
      <c r="C110" s="11"/>
      <c r="D110" s="33"/>
      <c r="E110" s="33"/>
      <c r="F110" s="33"/>
      <c r="G110" s="33"/>
      <c r="H110" s="33"/>
      <c r="I110" s="33"/>
      <c r="J110" s="33"/>
      <c r="K110" s="33"/>
      <c r="L110" s="33"/>
      <c r="M110" s="33"/>
      <c r="N110" s="33"/>
      <c r="O110" s="33"/>
    </row>
    <row r="111" spans="1:15">
      <c r="A111" s="18" t="s">
        <v>1012</v>
      </c>
      <c r="B111" s="18"/>
      <c r="C111" s="18"/>
      <c r="D111" s="39"/>
      <c r="E111" s="39"/>
      <c r="F111" s="39"/>
      <c r="G111" s="39"/>
      <c r="H111" s="39"/>
      <c r="I111" s="39"/>
      <c r="J111" s="39"/>
      <c r="K111" s="39"/>
      <c r="L111" s="39"/>
      <c r="M111" s="39"/>
      <c r="N111" s="39"/>
      <c r="O111" s="39"/>
    </row>
    <row r="112" spans="1:15">
      <c r="A112" s="11"/>
      <c r="B112" s="11" t="s">
        <v>1013</v>
      </c>
      <c r="C112" s="11"/>
      <c r="D112" s="90">
        <f>'01 Major Assumptions'!$D$31*1000</f>
        <v>120000</v>
      </c>
      <c r="E112" s="10" t="s">
        <v>1014</v>
      </c>
      <c r="F112" s="33"/>
      <c r="G112" s="33"/>
      <c r="H112" s="33"/>
      <c r="I112" s="33"/>
      <c r="J112" s="33"/>
      <c r="K112" s="33"/>
      <c r="L112" s="33"/>
      <c r="M112" s="33"/>
      <c r="N112" s="33"/>
      <c r="O112" s="33"/>
    </row>
    <row r="113" spans="1:15">
      <c r="A113" s="11"/>
      <c r="B113" s="11" t="s">
        <v>1015</v>
      </c>
      <c r="C113" s="11"/>
      <c r="D113" s="6">
        <f>'01 Major Assumptions'!$D$47</f>
        <v>0.1436842105263158</v>
      </c>
      <c r="E113" s="10" t="s">
        <v>1016</v>
      </c>
      <c r="F113" s="33"/>
      <c r="G113" s="33"/>
      <c r="H113" s="33"/>
      <c r="I113" s="33"/>
      <c r="J113" s="33"/>
      <c r="K113" s="33"/>
      <c r="L113" s="33"/>
      <c r="M113" s="33"/>
      <c r="N113" s="33"/>
      <c r="O113" s="33"/>
    </row>
    <row r="114" spans="1:15">
      <c r="A114" s="11"/>
      <c r="B114" s="11" t="s">
        <v>1017</v>
      </c>
      <c r="C114" s="11"/>
      <c r="D114" s="90">
        <f>D112*D113</f>
        <v>17242.105263157897</v>
      </c>
      <c r="E114" s="10" t="s">
        <v>1014</v>
      </c>
      <c r="F114" s="33"/>
      <c r="G114" s="33"/>
      <c r="H114" s="33"/>
      <c r="I114" s="33"/>
      <c r="J114" s="33"/>
      <c r="K114" s="33"/>
      <c r="L114" s="33"/>
      <c r="M114" s="33"/>
      <c r="N114" s="33"/>
      <c r="O114" s="33"/>
    </row>
    <row r="115" spans="1:15">
      <c r="A115" s="11"/>
      <c r="B115" s="11" t="s">
        <v>1018</v>
      </c>
      <c r="C115" s="11"/>
      <c r="D115" s="95">
        <v>28760</v>
      </c>
      <c r="E115" s="10" t="s">
        <v>1019</v>
      </c>
      <c r="F115" s="33"/>
      <c r="G115" s="33"/>
      <c r="H115" s="33"/>
      <c r="I115" s="33"/>
      <c r="J115" s="33"/>
      <c r="K115" s="33"/>
      <c r="L115" s="33"/>
      <c r="M115" s="33"/>
      <c r="N115" s="33"/>
      <c r="O115" s="33"/>
    </row>
    <row r="116" spans="1:15">
      <c r="A116" s="11"/>
      <c r="B116" s="11" t="s">
        <v>1020</v>
      </c>
      <c r="C116" s="11"/>
      <c r="D116" s="90">
        <f>D114*D115/1000</f>
        <v>495882.94736842113</v>
      </c>
      <c r="E116" s="10" t="s">
        <v>993</v>
      </c>
      <c r="F116" s="33"/>
      <c r="G116" s="33"/>
      <c r="H116" s="33"/>
      <c r="I116" s="33"/>
      <c r="J116" s="33"/>
      <c r="K116" s="33"/>
      <c r="L116" s="33"/>
      <c r="M116" s="33"/>
      <c r="N116" s="33"/>
      <c r="O116" s="33"/>
    </row>
    <row r="117" spans="1:15">
      <c r="A117" s="11"/>
      <c r="B117" s="11" t="s">
        <v>1021</v>
      </c>
      <c r="C117" s="11"/>
      <c r="D117" s="69">
        <v>1.9</v>
      </c>
      <c r="E117" s="10" t="s">
        <v>1022</v>
      </c>
      <c r="F117" s="33"/>
      <c r="G117" s="33"/>
      <c r="H117" s="33"/>
      <c r="I117" s="33"/>
      <c r="J117" s="33"/>
      <c r="K117" s="33"/>
      <c r="L117" s="33"/>
      <c r="M117" s="33"/>
      <c r="N117" s="33"/>
      <c r="O117" s="33"/>
    </row>
    <row r="118" spans="1:15">
      <c r="A118" s="11"/>
      <c r="B118" s="11" t="s">
        <v>1023</v>
      </c>
      <c r="C118" s="11"/>
      <c r="D118" s="95">
        <v>420</v>
      </c>
      <c r="E118" s="10" t="s">
        <v>995</v>
      </c>
      <c r="F118" s="33"/>
      <c r="G118" s="33"/>
      <c r="H118" s="33"/>
      <c r="I118" s="33"/>
      <c r="J118" s="33"/>
      <c r="K118" s="33"/>
      <c r="L118" s="33"/>
      <c r="M118" s="33"/>
      <c r="N118" s="33"/>
      <c r="O118" s="33"/>
    </row>
    <row r="119" spans="1:15">
      <c r="A119" s="11"/>
      <c r="B119" s="11" t="s">
        <v>1024</v>
      </c>
      <c r="C119" s="11"/>
      <c r="D119" s="90">
        <f>D112*D117*D118/1000</f>
        <v>95760</v>
      </c>
      <c r="E119" s="10" t="s">
        <v>993</v>
      </c>
      <c r="F119" s="33"/>
      <c r="G119" s="33"/>
      <c r="H119" s="33"/>
      <c r="I119" s="33"/>
      <c r="J119" s="33"/>
      <c r="K119" s="33"/>
      <c r="L119" s="33"/>
      <c r="M119" s="33"/>
      <c r="N119" s="33"/>
      <c r="O119" s="33"/>
    </row>
    <row r="120" spans="1:15">
      <c r="A120" s="11"/>
      <c r="B120" s="11" t="s">
        <v>1025</v>
      </c>
      <c r="C120" s="11"/>
      <c r="D120" s="95">
        <v>300</v>
      </c>
      <c r="E120" s="10" t="s">
        <v>1026</v>
      </c>
      <c r="F120" s="33"/>
      <c r="G120" s="33"/>
      <c r="H120" s="33"/>
      <c r="I120" s="33"/>
      <c r="J120" s="33"/>
      <c r="K120" s="33"/>
      <c r="L120" s="33"/>
      <c r="M120" s="33"/>
      <c r="N120" s="33"/>
      <c r="O120" s="33"/>
    </row>
    <row r="121" spans="1:15">
      <c r="A121" s="11"/>
      <c r="B121" s="11" t="s">
        <v>1027</v>
      </c>
      <c r="C121" s="11"/>
      <c r="D121" s="90">
        <f>D112*D120/1000</f>
        <v>36000</v>
      </c>
      <c r="E121" s="10" t="s">
        <v>993</v>
      </c>
      <c r="F121" s="33"/>
      <c r="G121" s="33"/>
      <c r="H121" s="33"/>
      <c r="I121" s="33"/>
      <c r="J121" s="33"/>
      <c r="K121" s="33"/>
      <c r="L121" s="33"/>
      <c r="M121" s="33"/>
      <c r="N121" s="33"/>
      <c r="O121" s="33"/>
    </row>
    <row r="122" spans="1:15">
      <c r="A122" s="11"/>
      <c r="B122" s="11" t="s">
        <v>1028</v>
      </c>
      <c r="C122" s="11"/>
      <c r="D122" s="95">
        <v>400</v>
      </c>
      <c r="E122" s="10" t="s">
        <v>1029</v>
      </c>
      <c r="F122" s="33"/>
      <c r="G122" s="33"/>
      <c r="H122" s="33"/>
      <c r="I122" s="33"/>
      <c r="J122" s="33"/>
      <c r="K122" s="33"/>
      <c r="L122" s="33"/>
      <c r="M122" s="33"/>
      <c r="N122" s="33"/>
      <c r="O122" s="33"/>
    </row>
    <row r="123" spans="1:15">
      <c r="A123" s="11"/>
      <c r="B123" s="11" t="s">
        <v>1030</v>
      </c>
      <c r="C123" s="11"/>
      <c r="D123" s="90">
        <f>D112*('01 Major Assumptions'!$D$40+'01 Major Assumptions'!$D$47+'01 Major Assumptions'!$D$48)</f>
        <v>70800</v>
      </c>
      <c r="E123" s="10" t="s">
        <v>1014</v>
      </c>
      <c r="F123" s="33"/>
      <c r="G123" s="33"/>
      <c r="H123" s="33"/>
      <c r="I123" s="33"/>
      <c r="J123" s="33"/>
      <c r="K123" s="33"/>
      <c r="L123" s="33"/>
      <c r="M123" s="33"/>
      <c r="N123" s="33"/>
      <c r="O123" s="33"/>
    </row>
    <row r="124" spans="1:15">
      <c r="A124" s="11"/>
      <c r="B124" s="11" t="s">
        <v>1031</v>
      </c>
      <c r="C124" s="11"/>
      <c r="D124" s="90">
        <f>D123*D122/1000</f>
        <v>28320</v>
      </c>
      <c r="E124" s="10" t="s">
        <v>993</v>
      </c>
      <c r="F124" s="33"/>
      <c r="G124" s="33"/>
      <c r="H124" s="33"/>
      <c r="I124" s="33"/>
      <c r="J124" s="33"/>
      <c r="K124" s="33"/>
      <c r="L124" s="33"/>
      <c r="M124" s="33"/>
      <c r="N124" s="33"/>
      <c r="O124" s="33"/>
    </row>
    <row r="125" spans="1:15">
      <c r="A125" s="11"/>
      <c r="B125" s="11" t="s">
        <v>1032</v>
      </c>
      <c r="C125" s="11"/>
      <c r="D125" s="19">
        <v>0.15</v>
      </c>
      <c r="E125" s="10" t="s">
        <v>1033</v>
      </c>
      <c r="F125" s="33"/>
      <c r="G125" s="33"/>
      <c r="H125" s="33"/>
      <c r="I125" s="33"/>
      <c r="J125" s="33"/>
      <c r="K125" s="33"/>
      <c r="L125" s="33"/>
      <c r="M125" s="33"/>
      <c r="N125" s="33"/>
      <c r="O125" s="33"/>
    </row>
    <row r="126" spans="1:15">
      <c r="A126" s="11"/>
      <c r="B126" s="11" t="s">
        <v>1034</v>
      </c>
      <c r="C126" s="11"/>
      <c r="D126" s="90">
        <f>(D119+D121+D124)*(1+D125)</f>
        <v>184092</v>
      </c>
      <c r="E126" s="10" t="s">
        <v>993</v>
      </c>
      <c r="F126" s="33"/>
      <c r="G126" s="33"/>
      <c r="H126" s="33"/>
      <c r="I126" s="33"/>
      <c r="J126" s="33"/>
      <c r="K126" s="33"/>
      <c r="L126" s="33"/>
      <c r="M126" s="33"/>
      <c r="N126" s="33"/>
      <c r="O126" s="33"/>
    </row>
    <row r="127" spans="1:15">
      <c r="A127" s="11"/>
      <c r="B127" s="11" t="s">
        <v>1035</v>
      </c>
      <c r="C127" s="11"/>
      <c r="D127" s="19">
        <v>0.8</v>
      </c>
      <c r="E127" s="43"/>
      <c r="F127" s="33"/>
      <c r="G127" s="33"/>
      <c r="H127" s="33"/>
      <c r="I127" s="33"/>
      <c r="J127" s="33"/>
      <c r="K127" s="33"/>
      <c r="L127" s="33"/>
      <c r="M127" s="33"/>
      <c r="N127" s="33"/>
      <c r="O127" s="33"/>
    </row>
    <row r="128" spans="1:15">
      <c r="A128" s="11"/>
      <c r="B128" s="11" t="s">
        <v>1036</v>
      </c>
      <c r="C128" s="11"/>
      <c r="D128" s="90">
        <f>D126/D127</f>
        <v>230115</v>
      </c>
      <c r="E128" s="10" t="s">
        <v>993</v>
      </c>
      <c r="F128" s="33"/>
      <c r="G128" s="33"/>
      <c r="H128" s="33"/>
      <c r="I128" s="33"/>
      <c r="J128" s="33"/>
      <c r="K128" s="33"/>
      <c r="L128" s="33"/>
      <c r="M128" s="33"/>
      <c r="N128" s="33"/>
      <c r="O128" s="33"/>
    </row>
    <row r="129" spans="1:15">
      <c r="A129" s="11"/>
      <c r="B129" s="11" t="s">
        <v>1037</v>
      </c>
      <c r="C129" s="11"/>
      <c r="D129" s="90">
        <f>D128/D115*1000</f>
        <v>8001.2169680111265</v>
      </c>
      <c r="E129" s="10" t="s">
        <v>1014</v>
      </c>
      <c r="F129" s="33"/>
      <c r="G129" s="33"/>
      <c r="H129" s="33"/>
      <c r="I129" s="33"/>
      <c r="J129" s="33"/>
      <c r="K129" s="33"/>
      <c r="L129" s="33"/>
      <c r="M129" s="33"/>
      <c r="N129" s="33"/>
      <c r="O129" s="33"/>
    </row>
    <row r="130" spans="1:15">
      <c r="A130" s="11"/>
      <c r="B130" s="11" t="s">
        <v>1038</v>
      </c>
      <c r="C130" s="11"/>
      <c r="D130" s="19">
        <v>0.08</v>
      </c>
      <c r="E130" s="43"/>
      <c r="F130" s="33"/>
      <c r="G130" s="33"/>
      <c r="H130" s="33"/>
      <c r="I130" s="33"/>
      <c r="J130" s="33"/>
      <c r="K130" s="33"/>
      <c r="L130" s="33"/>
      <c r="M130" s="33"/>
      <c r="N130" s="33"/>
      <c r="O130" s="33"/>
    </row>
    <row r="131" spans="1:15">
      <c r="A131" s="11"/>
      <c r="B131" s="11" t="s">
        <v>1039</v>
      </c>
      <c r="C131" s="11"/>
      <c r="D131" s="90">
        <f>D112*'01 Major Assumptions'!$D$41</f>
        <v>36000</v>
      </c>
      <c r="E131" s="10" t="s">
        <v>1014</v>
      </c>
      <c r="F131" s="33"/>
      <c r="G131" s="33"/>
      <c r="H131" s="33"/>
      <c r="I131" s="33"/>
      <c r="J131" s="33"/>
      <c r="K131" s="33"/>
      <c r="L131" s="33"/>
      <c r="M131" s="33"/>
      <c r="N131" s="33"/>
      <c r="O131" s="33"/>
    </row>
    <row r="132" spans="1:15">
      <c r="A132" s="11"/>
      <c r="B132" s="11" t="s">
        <v>1040</v>
      </c>
      <c r="C132" s="11"/>
      <c r="D132" s="90">
        <f>D131*D130</f>
        <v>2880</v>
      </c>
      <c r="E132" s="10" t="s">
        <v>1014</v>
      </c>
      <c r="F132" s="33"/>
      <c r="G132" s="33"/>
      <c r="H132" s="33"/>
      <c r="I132" s="33"/>
      <c r="J132" s="33"/>
      <c r="K132" s="33"/>
      <c r="L132" s="33"/>
      <c r="M132" s="33"/>
      <c r="N132" s="33"/>
      <c r="O132" s="33"/>
    </row>
    <row r="133" spans="1:15">
      <c r="A133" s="11"/>
      <c r="B133" s="11" t="s">
        <v>1041</v>
      </c>
      <c r="C133" s="11"/>
      <c r="D133" s="95">
        <v>2900</v>
      </c>
      <c r="E133" s="10" t="s">
        <v>1042</v>
      </c>
      <c r="F133" s="33"/>
      <c r="G133" s="33"/>
      <c r="H133" s="33"/>
      <c r="I133" s="33"/>
      <c r="J133" s="33"/>
      <c r="K133" s="33"/>
      <c r="L133" s="33"/>
      <c r="M133" s="33"/>
      <c r="N133" s="33"/>
      <c r="O133" s="33"/>
    </row>
    <row r="134" spans="1:15">
      <c r="A134" s="11"/>
      <c r="B134" s="11" t="s">
        <v>1043</v>
      </c>
      <c r="C134" s="11"/>
      <c r="D134" s="90">
        <f>D132*D133/1000</f>
        <v>8352</v>
      </c>
      <c r="E134" s="10" t="s">
        <v>993</v>
      </c>
      <c r="F134" s="33"/>
      <c r="G134" s="33"/>
      <c r="H134" s="33"/>
      <c r="I134" s="33"/>
      <c r="J134" s="33"/>
      <c r="K134" s="33"/>
      <c r="L134" s="33"/>
      <c r="M134" s="33"/>
      <c r="N134" s="33"/>
      <c r="O134" s="33"/>
    </row>
    <row r="135" spans="1:15">
      <c r="A135" s="11"/>
      <c r="B135" s="11" t="s">
        <v>1044</v>
      </c>
      <c r="C135" s="11"/>
      <c r="D135" s="90">
        <f>D134/D127</f>
        <v>10440</v>
      </c>
      <c r="E135" s="10" t="s">
        <v>993</v>
      </c>
      <c r="F135" s="33"/>
      <c r="G135" s="33"/>
      <c r="H135" s="33"/>
      <c r="I135" s="33"/>
      <c r="J135" s="33"/>
      <c r="K135" s="33"/>
      <c r="L135" s="33"/>
      <c r="M135" s="33"/>
      <c r="N135" s="33"/>
      <c r="O135" s="33"/>
    </row>
    <row r="136" spans="1:15">
      <c r="A136" s="11"/>
      <c r="B136" s="11" t="s">
        <v>1045</v>
      </c>
      <c r="C136" s="11"/>
      <c r="D136" s="90">
        <f>D128+D135</f>
        <v>240555</v>
      </c>
      <c r="E136" s="10" t="s">
        <v>993</v>
      </c>
      <c r="F136" s="33"/>
      <c r="G136" s="33"/>
      <c r="H136" s="33"/>
      <c r="I136" s="33"/>
      <c r="J136" s="33"/>
      <c r="K136" s="33"/>
      <c r="L136" s="33"/>
      <c r="M136" s="33"/>
      <c r="N136" s="33"/>
      <c r="O136" s="33"/>
    </row>
    <row r="137" spans="1:15">
      <c r="A137" s="11"/>
      <c r="B137" s="11" t="s">
        <v>1046</v>
      </c>
      <c r="C137" s="11"/>
      <c r="D137" s="90">
        <f>D116-D136</f>
        <v>255327.94736842113</v>
      </c>
      <c r="E137" s="10" t="s">
        <v>993</v>
      </c>
      <c r="F137" s="33"/>
      <c r="G137" s="33"/>
      <c r="H137" s="33"/>
      <c r="I137" s="33"/>
      <c r="J137" s="33"/>
      <c r="K137" s="33"/>
      <c r="L137" s="33"/>
      <c r="M137" s="33"/>
      <c r="N137" s="33"/>
      <c r="O137" s="33"/>
    </row>
    <row r="138" spans="1:15">
      <c r="A138" s="11"/>
      <c r="B138" s="11" t="s">
        <v>1047</v>
      </c>
      <c r="C138" s="11"/>
      <c r="D138" s="6">
        <f>D136/D116</f>
        <v>0.48510440069897642</v>
      </c>
      <c r="E138" s="10" t="s">
        <v>1048</v>
      </c>
      <c r="F138" s="33"/>
      <c r="G138" s="33"/>
      <c r="H138" s="33"/>
      <c r="I138" s="33"/>
      <c r="J138" s="33"/>
      <c r="K138" s="33"/>
      <c r="L138" s="33"/>
      <c r="M138" s="33"/>
      <c r="N138" s="33"/>
      <c r="O138" s="33"/>
    </row>
    <row r="139" spans="1:15">
      <c r="A139" s="11"/>
      <c r="B139" s="11" t="s">
        <v>1049</v>
      </c>
      <c r="C139" s="11"/>
      <c r="D139" s="90">
        <f>MAX(0,D137)/D115*1000</f>
        <v>8877.8841226850182</v>
      </c>
      <c r="E139" s="10" t="s">
        <v>1014</v>
      </c>
      <c r="F139" s="33"/>
      <c r="G139" s="33"/>
      <c r="H139" s="33"/>
      <c r="I139" s="33"/>
      <c r="J139" s="33"/>
      <c r="K139" s="33"/>
      <c r="L139" s="33"/>
      <c r="M139" s="33"/>
      <c r="N139" s="33"/>
      <c r="O139" s="33"/>
    </row>
    <row r="140" spans="1:15">
      <c r="A140" s="11"/>
      <c r="B140" s="11" t="s">
        <v>1050</v>
      </c>
      <c r="C140" s="11"/>
      <c r="D140" s="90">
        <f>MAX(0,-D137)/39860*1000</f>
        <v>0</v>
      </c>
      <c r="E140" s="10" t="s">
        <v>1051</v>
      </c>
      <c r="F140" s="33"/>
      <c r="G140" s="33"/>
      <c r="H140" s="33"/>
      <c r="I140" s="33"/>
      <c r="J140" s="33"/>
      <c r="K140" s="33"/>
      <c r="L140" s="33"/>
      <c r="M140" s="33"/>
      <c r="N140" s="33"/>
      <c r="O140" s="33"/>
    </row>
    <row r="141" spans="1:15">
      <c r="A141" s="11"/>
      <c r="B141" s="22" t="s">
        <v>950</v>
      </c>
      <c r="C141" s="22"/>
      <c r="D141" s="87" t="str">
        <f>IF(D137&gt;=0,"Self-sufficient — gas covers the reactors and the pellet dryer at "&amp;TEXT(D138,"0.0%")&amp;" gas utilisation","NOT self-sufficient — external fuel required")</f>
        <v>Self-sufficient — gas covers the reactors and the pellet dryer at 48.5% gas utilisation</v>
      </c>
      <c r="E141" s="8"/>
      <c r="F141" s="33"/>
      <c r="G141" s="33"/>
      <c r="H141" s="33"/>
      <c r="I141" s="33"/>
      <c r="J141" s="33"/>
      <c r="K141" s="33"/>
      <c r="L141" s="33"/>
      <c r="M141" s="33"/>
      <c r="N141" s="33"/>
      <c r="O141" s="33"/>
    </row>
    <row r="142" spans="1:15">
      <c r="A142" s="11"/>
      <c r="B142" s="11"/>
      <c r="C142" s="11"/>
      <c r="D142" s="33"/>
      <c r="E142" s="33"/>
      <c r="F142" s="33"/>
      <c r="G142" s="33"/>
      <c r="H142" s="33"/>
      <c r="I142" s="33"/>
      <c r="J142" s="33"/>
      <c r="K142" s="33"/>
      <c r="L142" s="33"/>
      <c r="M142" s="33"/>
      <c r="N142" s="33"/>
      <c r="O142" s="33"/>
    </row>
    <row r="143" spans="1:15">
      <c r="A143" s="18" t="s">
        <v>1052</v>
      </c>
      <c r="B143" s="18"/>
      <c r="C143" s="18"/>
      <c r="D143" s="39"/>
      <c r="E143" s="39"/>
      <c r="F143" s="39"/>
      <c r="G143" s="39"/>
      <c r="H143" s="39"/>
      <c r="I143" s="39"/>
      <c r="J143" s="39"/>
      <c r="K143" s="39"/>
      <c r="L143" s="39"/>
      <c r="M143" s="39"/>
      <c r="N143" s="39"/>
      <c r="O143" s="39"/>
    </row>
    <row r="144" spans="1:15">
      <c r="A144" s="11"/>
      <c r="B144" s="11" t="s">
        <v>1742</v>
      </c>
      <c r="C144" s="11"/>
      <c r="D144" s="58">
        <v>44896</v>
      </c>
      <c r="E144" s="11" t="s">
        <v>43</v>
      </c>
      <c r="F144" s="33"/>
      <c r="G144" s="33"/>
      <c r="H144" s="33"/>
      <c r="I144" s="33"/>
      <c r="J144" s="33"/>
      <c r="K144" s="33"/>
      <c r="L144" s="33"/>
      <c r="M144" s="33"/>
      <c r="N144" s="33"/>
      <c r="O144" s="33"/>
    </row>
    <row r="145" spans="1:15">
      <c r="A145" s="11"/>
      <c r="B145" s="11" t="s">
        <v>1053</v>
      </c>
      <c r="C145" s="11"/>
      <c r="D145" s="31">
        <f>'01 Major Assumptions'!$D$6</f>
        <v>46388</v>
      </c>
      <c r="E145" s="11" t="s">
        <v>43</v>
      </c>
      <c r="F145" s="33"/>
      <c r="G145" s="33"/>
      <c r="H145" s="33"/>
      <c r="I145" s="33"/>
      <c r="J145" s="33"/>
      <c r="K145" s="33"/>
      <c r="L145" s="33"/>
      <c r="M145" s="33"/>
      <c r="N145" s="33"/>
      <c r="O145" s="33"/>
    </row>
    <row r="146" spans="1:15">
      <c r="A146" s="11"/>
      <c r="B146" s="11" t="s">
        <v>1054</v>
      </c>
      <c r="C146" s="11"/>
      <c r="D146" s="63">
        <f>(D145-D144)/365</f>
        <v>4.087671232876712</v>
      </c>
      <c r="E146" s="11" t="s">
        <v>45</v>
      </c>
      <c r="F146" s="33"/>
      <c r="G146" s="33"/>
      <c r="H146" s="33"/>
      <c r="I146" s="33"/>
      <c r="J146" s="33"/>
      <c r="K146" s="33"/>
      <c r="L146" s="33"/>
      <c r="M146" s="33"/>
      <c r="N146" s="33"/>
      <c r="O146" s="33"/>
    </row>
    <row r="147" spans="1:15">
      <c r="A147" s="11"/>
      <c r="B147" s="11" t="s">
        <v>1055</v>
      </c>
      <c r="C147" s="11"/>
      <c r="D147" s="19">
        <v>0.04</v>
      </c>
      <c r="E147" s="11" t="s">
        <v>171</v>
      </c>
      <c r="F147" s="33"/>
      <c r="G147" s="33"/>
      <c r="H147" s="33"/>
      <c r="I147" s="33"/>
      <c r="J147" s="33"/>
      <c r="K147" s="33"/>
      <c r="L147" s="33"/>
      <c r="M147" s="33"/>
      <c r="N147" s="33"/>
      <c r="O147" s="33"/>
    </row>
    <row r="148" spans="1:15">
      <c r="A148" s="11"/>
      <c r="B148" s="11" t="s">
        <v>1056</v>
      </c>
      <c r="C148" s="11"/>
      <c r="D148" s="63">
        <f>(1+D147)^D146</f>
        <v>1.173888075569383</v>
      </c>
      <c r="E148" s="11" t="s">
        <v>175</v>
      </c>
      <c r="F148" s="33"/>
      <c r="G148" s="33"/>
      <c r="H148" s="33"/>
      <c r="I148" s="33"/>
      <c r="J148" s="33"/>
      <c r="K148" s="33"/>
      <c r="L148" s="33"/>
      <c r="M148" s="33"/>
      <c r="N148" s="33"/>
      <c r="O148" s="33"/>
    </row>
    <row r="149" spans="1:15">
      <c r="A149" s="11"/>
      <c r="B149" s="11" t="s">
        <v>1057</v>
      </c>
      <c r="C149" s="11"/>
      <c r="D149" s="90">
        <f>'03 CAPEX &amp; Depreciation'!$F$117</f>
        <v>1449700000</v>
      </c>
      <c r="E149" s="11" t="s">
        <v>13</v>
      </c>
      <c r="F149" s="33"/>
      <c r="G149" s="33"/>
      <c r="H149" s="33"/>
      <c r="I149" s="33"/>
      <c r="J149" s="33"/>
      <c r="K149" s="33"/>
      <c r="L149" s="33"/>
      <c r="M149" s="33"/>
      <c r="N149" s="33"/>
      <c r="O149" s="33"/>
    </row>
    <row r="150" spans="1:15">
      <c r="A150" s="11"/>
      <c r="B150" s="11" t="s">
        <v>1058</v>
      </c>
      <c r="C150" s="11"/>
      <c r="D150" s="90">
        <f>D149*(1-1/D148)</f>
        <v>214744104.14354277</v>
      </c>
      <c r="E150" s="11" t="s">
        <v>13</v>
      </c>
      <c r="F150" s="33"/>
      <c r="G150" s="33"/>
      <c r="H150" s="33"/>
      <c r="I150" s="33"/>
      <c r="J150" s="33"/>
      <c r="K150" s="33"/>
      <c r="L150" s="33"/>
      <c r="M150" s="33"/>
      <c r="N150" s="33"/>
      <c r="O150" s="33"/>
    </row>
    <row r="151" spans="1:15">
      <c r="A151" s="11"/>
      <c r="B151" s="11"/>
      <c r="C151" s="11"/>
      <c r="D151" s="33"/>
      <c r="E151" s="33"/>
      <c r="F151" s="33"/>
      <c r="G151" s="33"/>
      <c r="H151" s="33"/>
      <c r="I151" s="33"/>
      <c r="J151" s="33"/>
      <c r="K151" s="33"/>
      <c r="L151" s="33"/>
      <c r="M151" s="33"/>
      <c r="N151" s="33"/>
      <c r="O151" s="33"/>
    </row>
    <row r="152" spans="1:15">
      <c r="A152" s="18" t="s">
        <v>1059</v>
      </c>
      <c r="B152" s="18"/>
      <c r="C152" s="18"/>
      <c r="D152" s="39"/>
      <c r="E152" s="39"/>
      <c r="F152" s="39"/>
      <c r="G152" s="39"/>
      <c r="H152" s="39"/>
      <c r="I152" s="39"/>
      <c r="J152" s="39"/>
      <c r="K152" s="39"/>
      <c r="L152" s="39"/>
      <c r="M152" s="39"/>
      <c r="N152" s="39"/>
      <c r="O152" s="39"/>
    </row>
    <row r="153" spans="1:15">
      <c r="A153" s="11"/>
      <c r="B153" s="11"/>
      <c r="C153" s="22" t="s">
        <v>1060</v>
      </c>
      <c r="D153" s="22" t="s">
        <v>1061</v>
      </c>
      <c r="E153" s="22" t="s">
        <v>1062</v>
      </c>
      <c r="F153" s="33"/>
      <c r="G153" s="33"/>
      <c r="H153" s="33"/>
      <c r="I153" s="33"/>
      <c r="J153" s="33"/>
      <c r="K153" s="33"/>
      <c r="L153" s="33"/>
      <c r="M153" s="33"/>
      <c r="N153" s="33"/>
      <c r="O153" s="33"/>
    </row>
    <row r="154" spans="1:15">
      <c r="A154" s="11"/>
      <c r="B154" s="22" t="s">
        <v>1063</v>
      </c>
      <c r="C154" s="10" t="s">
        <v>1064</v>
      </c>
      <c r="D154" s="10" t="s">
        <v>1065</v>
      </c>
      <c r="E154" s="10" t="s">
        <v>1066</v>
      </c>
      <c r="F154" s="33"/>
      <c r="G154" s="33"/>
      <c r="H154" s="33"/>
      <c r="I154" s="33"/>
      <c r="J154" s="33"/>
      <c r="K154" s="33"/>
      <c r="L154" s="33"/>
      <c r="M154" s="33"/>
      <c r="N154" s="33"/>
      <c r="O154" s="33"/>
    </row>
    <row r="155" spans="1:15">
      <c r="A155" s="11"/>
      <c r="B155" s="22" t="s">
        <v>1690</v>
      </c>
      <c r="C155" s="10" t="s">
        <v>1691</v>
      </c>
      <c r="D155" s="10" t="s">
        <v>1692</v>
      </c>
      <c r="E155" s="10" t="s">
        <v>1067</v>
      </c>
      <c r="F155" s="33"/>
      <c r="G155" s="33"/>
      <c r="H155" s="33"/>
      <c r="I155" s="33"/>
      <c r="J155" s="33"/>
      <c r="K155" s="33"/>
      <c r="L155" s="33"/>
      <c r="M155" s="33"/>
      <c r="N155" s="33"/>
      <c r="O155" s="33"/>
    </row>
    <row r="156" spans="1:15">
      <c r="A156" s="11"/>
      <c r="B156" s="22" t="s">
        <v>1068</v>
      </c>
      <c r="C156" s="10" t="s">
        <v>1069</v>
      </c>
      <c r="D156" s="10" t="s">
        <v>1070</v>
      </c>
      <c r="E156" s="10" t="s">
        <v>1071</v>
      </c>
      <c r="F156" s="33"/>
      <c r="G156" s="33"/>
      <c r="H156" s="33"/>
      <c r="I156" s="33"/>
      <c r="J156" s="33"/>
      <c r="K156" s="33"/>
      <c r="L156" s="33"/>
      <c r="M156" s="33"/>
      <c r="N156" s="33"/>
      <c r="O156" s="33"/>
    </row>
    <row r="157" spans="1:15">
      <c r="A157" s="11"/>
      <c r="B157" s="22" t="s">
        <v>1072</v>
      </c>
      <c r="C157" s="10" t="s">
        <v>1073</v>
      </c>
      <c r="D157" s="10" t="s">
        <v>1074</v>
      </c>
      <c r="E157" s="10" t="s">
        <v>1075</v>
      </c>
      <c r="F157" s="33"/>
      <c r="G157" s="33"/>
      <c r="H157" s="33"/>
      <c r="I157" s="33"/>
      <c r="J157" s="33"/>
      <c r="K157" s="33"/>
      <c r="L157" s="33"/>
      <c r="M157" s="33"/>
      <c r="N157" s="33"/>
      <c r="O157" s="33"/>
    </row>
    <row r="158" spans="1:15">
      <c r="A158" s="11"/>
      <c r="B158" s="22" t="s">
        <v>1076</v>
      </c>
      <c r="C158" s="10" t="s">
        <v>1077</v>
      </c>
      <c r="D158" s="10" t="s">
        <v>1078</v>
      </c>
      <c r="E158" s="10" t="s">
        <v>1079</v>
      </c>
      <c r="F158" s="33"/>
      <c r="G158" s="33"/>
      <c r="H158" s="33"/>
      <c r="I158" s="33"/>
      <c r="J158" s="33"/>
      <c r="K158" s="33"/>
      <c r="L158" s="33"/>
      <c r="M158" s="33"/>
      <c r="N158" s="33"/>
      <c r="O158" s="33"/>
    </row>
    <row r="159" spans="1:15">
      <c r="A159" s="11"/>
      <c r="B159" s="22" t="s">
        <v>1080</v>
      </c>
      <c r="C159" s="10" t="s">
        <v>1081</v>
      </c>
      <c r="D159" s="10" t="s">
        <v>1082</v>
      </c>
      <c r="E159" s="10" t="s">
        <v>1075</v>
      </c>
      <c r="F159" s="33"/>
      <c r="G159" s="33"/>
      <c r="H159" s="33"/>
      <c r="I159" s="33"/>
      <c r="J159" s="33"/>
      <c r="K159" s="33"/>
      <c r="L159" s="33"/>
      <c r="M159" s="33"/>
      <c r="N159" s="33"/>
      <c r="O159" s="33"/>
    </row>
    <row r="160" spans="1:15">
      <c r="A160" s="11"/>
      <c r="B160" s="22" t="s">
        <v>1083</v>
      </c>
      <c r="C160" s="10" t="s">
        <v>1084</v>
      </c>
      <c r="D160" s="10" t="s">
        <v>1085</v>
      </c>
      <c r="E160" s="10" t="s">
        <v>1086</v>
      </c>
      <c r="F160" s="33"/>
      <c r="G160" s="33"/>
      <c r="H160" s="33"/>
      <c r="I160" s="33"/>
      <c r="J160" s="33"/>
      <c r="K160" s="33"/>
      <c r="L160" s="33"/>
      <c r="M160" s="33"/>
      <c r="N160" s="33"/>
      <c r="O160" s="33"/>
    </row>
    <row r="161" spans="1:15">
      <c r="A161" s="11"/>
      <c r="B161" s="22" t="s">
        <v>1087</v>
      </c>
      <c r="C161" s="10" t="s">
        <v>1088</v>
      </c>
      <c r="D161" s="10" t="s">
        <v>1089</v>
      </c>
      <c r="E161" s="10" t="s">
        <v>1079</v>
      </c>
      <c r="F161" s="33"/>
      <c r="G161" s="33"/>
      <c r="H161" s="33"/>
      <c r="I161" s="33"/>
      <c r="J161" s="33"/>
      <c r="K161" s="33"/>
      <c r="L161" s="33"/>
      <c r="M161" s="33"/>
      <c r="N161" s="33"/>
      <c r="O161" s="33"/>
    </row>
    <row r="162" spans="1:15">
      <c r="A162" s="11"/>
      <c r="B162" s="22" t="s">
        <v>1090</v>
      </c>
      <c r="C162" s="10" t="s">
        <v>1084</v>
      </c>
      <c r="D162" s="10" t="s">
        <v>1091</v>
      </c>
      <c r="E162" s="10" t="s">
        <v>1075</v>
      </c>
      <c r="F162" s="33"/>
      <c r="G162" s="33"/>
      <c r="H162" s="33"/>
      <c r="I162" s="33"/>
      <c r="J162" s="33"/>
      <c r="K162" s="33"/>
      <c r="L162" s="33"/>
      <c r="M162" s="33"/>
      <c r="N162" s="33"/>
      <c r="O162" s="33"/>
    </row>
    <row r="163" spans="1:15">
      <c r="A163" s="11"/>
      <c r="B163" s="22" t="s">
        <v>1092</v>
      </c>
      <c r="C163" s="10" t="s">
        <v>1093</v>
      </c>
      <c r="D163" s="10" t="s">
        <v>1094</v>
      </c>
      <c r="E163" s="10" t="s">
        <v>1075</v>
      </c>
      <c r="F163" s="33"/>
      <c r="G163" s="33"/>
      <c r="H163" s="33"/>
      <c r="I163" s="33"/>
      <c r="J163" s="33"/>
      <c r="K163" s="33"/>
      <c r="L163" s="33"/>
      <c r="M163" s="33"/>
      <c r="N163" s="33"/>
      <c r="O163" s="33"/>
    </row>
    <row r="164" spans="1:15">
      <c r="A164" s="11"/>
      <c r="B164" s="22" t="s">
        <v>1095</v>
      </c>
      <c r="C164" s="10" t="s">
        <v>1096</v>
      </c>
      <c r="D164" s="10" t="s">
        <v>1097</v>
      </c>
      <c r="E164" s="10" t="s">
        <v>1098</v>
      </c>
      <c r="F164" s="33"/>
      <c r="G164" s="33"/>
      <c r="H164" s="33"/>
      <c r="I164" s="33"/>
      <c r="J164" s="33"/>
      <c r="K164" s="33"/>
      <c r="L164" s="33"/>
      <c r="M164" s="33"/>
      <c r="N164" s="33"/>
      <c r="O164" s="33"/>
    </row>
    <row r="165" spans="1:15">
      <c r="A165" s="11"/>
      <c r="B165" s="11"/>
      <c r="C165" s="11"/>
      <c r="D165" s="33"/>
      <c r="E165" s="33"/>
      <c r="F165" s="33"/>
      <c r="G165" s="33"/>
      <c r="H165" s="33"/>
      <c r="I165" s="33"/>
      <c r="J165" s="33"/>
      <c r="K165" s="33"/>
      <c r="L165" s="33"/>
      <c r="M165" s="33"/>
      <c r="N165" s="33"/>
      <c r="O165" s="33"/>
    </row>
    <row r="166" spans="1:15">
      <c r="A166" s="11"/>
      <c r="B166" s="1" t="s">
        <v>1099</v>
      </c>
      <c r="C166" s="11"/>
      <c r="D166" s="33"/>
      <c r="E166" s="33"/>
      <c r="F166" s="33"/>
      <c r="G166" s="33"/>
      <c r="H166" s="33"/>
      <c r="I166" s="33"/>
      <c r="J166" s="33"/>
      <c r="K166" s="33"/>
      <c r="L166" s="33"/>
      <c r="M166" s="33"/>
      <c r="N166" s="33"/>
      <c r="O166" s="33"/>
    </row>
    <row r="167" spans="1:15">
      <c r="A167" s="11"/>
      <c r="B167" s="11"/>
      <c r="C167" s="11"/>
      <c r="D167" s="33"/>
      <c r="E167" s="33"/>
      <c r="F167" s="33"/>
      <c r="G167" s="33"/>
      <c r="H167" s="33"/>
      <c r="I167" s="33"/>
      <c r="J167" s="33"/>
      <c r="K167" s="33"/>
      <c r="L167" s="33"/>
      <c r="M167" s="33"/>
      <c r="N167" s="33"/>
      <c r="O167" s="33"/>
    </row>
    <row r="168" spans="1:15">
      <c r="A168" s="18" t="s">
        <v>1701</v>
      </c>
      <c r="B168" s="18"/>
      <c r="C168" s="18"/>
      <c r="D168" s="39"/>
      <c r="E168" s="39"/>
      <c r="F168" s="39"/>
      <c r="G168" s="39"/>
      <c r="H168" s="39"/>
      <c r="I168" s="39"/>
      <c r="J168" s="39"/>
      <c r="K168" s="39"/>
      <c r="L168" s="39"/>
      <c r="M168" s="39"/>
      <c r="N168" s="39"/>
      <c r="O168" s="39"/>
    </row>
    <row r="169" spans="1:15">
      <c r="A169" s="11"/>
      <c r="B169" s="107" t="s">
        <v>35</v>
      </c>
      <c r="C169" s="107" t="s">
        <v>1702</v>
      </c>
      <c r="D169" s="107" t="s">
        <v>1703</v>
      </c>
      <c r="E169" s="107" t="s">
        <v>1693</v>
      </c>
      <c r="F169" s="33"/>
      <c r="G169" s="33"/>
      <c r="H169" s="33"/>
      <c r="I169" s="33"/>
      <c r="J169" s="33"/>
      <c r="K169" s="33"/>
      <c r="L169" s="33"/>
      <c r="M169" s="33"/>
      <c r="N169" s="33"/>
      <c r="O169" s="33"/>
    </row>
    <row r="170" spans="1:15">
      <c r="A170" s="11"/>
      <c r="B170" s="32" t="s">
        <v>1704</v>
      </c>
      <c r="C170" s="32" t="s">
        <v>1705</v>
      </c>
      <c r="D170" s="32" t="s">
        <v>1706</v>
      </c>
      <c r="E170" s="32" t="s">
        <v>1707</v>
      </c>
      <c r="F170" s="33"/>
      <c r="G170" s="33"/>
      <c r="H170" s="33"/>
      <c r="I170" s="33"/>
      <c r="J170" s="33"/>
      <c r="K170" s="33"/>
      <c r="L170" s="33"/>
      <c r="M170" s="33"/>
      <c r="N170" s="33"/>
      <c r="O170" s="33"/>
    </row>
    <row r="171" spans="1:15">
      <c r="A171" s="11"/>
      <c r="B171" s="32" t="s">
        <v>1512</v>
      </c>
      <c r="C171" s="32" t="s">
        <v>1075</v>
      </c>
      <c r="D171" s="32" t="s">
        <v>1708</v>
      </c>
      <c r="E171" s="32" t="s">
        <v>1694</v>
      </c>
      <c r="F171" s="33"/>
      <c r="G171" s="33"/>
      <c r="H171" s="33"/>
      <c r="I171" s="33"/>
      <c r="J171" s="33"/>
      <c r="K171" s="33"/>
      <c r="L171" s="33"/>
      <c r="M171" s="33"/>
      <c r="N171" s="33"/>
      <c r="O171" s="33"/>
    </row>
    <row r="172" spans="1:15">
      <c r="A172" s="11"/>
      <c r="B172" s="32" t="s">
        <v>1513</v>
      </c>
      <c r="C172" s="32" t="s">
        <v>1079</v>
      </c>
      <c r="D172" s="32" t="s">
        <v>1709</v>
      </c>
      <c r="E172" s="32" t="s">
        <v>1710</v>
      </c>
      <c r="F172" s="33"/>
      <c r="G172" s="33"/>
      <c r="H172" s="33"/>
      <c r="I172" s="33"/>
      <c r="J172" s="33"/>
      <c r="K172" s="33"/>
      <c r="L172" s="33"/>
      <c r="M172" s="33"/>
      <c r="N172" s="33"/>
      <c r="O172" s="33"/>
    </row>
    <row r="173" spans="1:15">
      <c r="A173" s="11"/>
      <c r="B173" s="32" t="s">
        <v>1711</v>
      </c>
      <c r="C173" s="32" t="s">
        <v>1066</v>
      </c>
      <c r="D173" s="32" t="s">
        <v>1712</v>
      </c>
      <c r="E173" s="32" t="s">
        <v>1713</v>
      </c>
      <c r="F173" s="33"/>
      <c r="G173" s="33"/>
      <c r="H173" s="33"/>
      <c r="I173" s="33"/>
      <c r="J173" s="33"/>
      <c r="K173" s="33"/>
      <c r="L173" s="33"/>
      <c r="M173" s="33"/>
      <c r="N173" s="33"/>
      <c r="O173" s="33"/>
    </row>
    <row r="174" spans="1:15">
      <c r="A174" s="11"/>
      <c r="B174" s="109" t="s">
        <v>1714</v>
      </c>
      <c r="C174" s="109" t="s">
        <v>1715</v>
      </c>
      <c r="D174" s="109" t="s">
        <v>1716</v>
      </c>
      <c r="E174" s="109" t="s">
        <v>1717</v>
      </c>
      <c r="F174" s="33"/>
      <c r="G174" s="33"/>
      <c r="H174" s="33"/>
      <c r="I174" s="33"/>
      <c r="J174" s="33"/>
      <c r="K174" s="33"/>
      <c r="L174" s="33"/>
      <c r="M174" s="33"/>
      <c r="N174" s="33"/>
      <c r="O174" s="33"/>
    </row>
    <row r="175" spans="1:15">
      <c r="A175" s="11"/>
      <c r="B175" s="32" t="s">
        <v>1695</v>
      </c>
      <c r="C175" s="32" t="s">
        <v>1718</v>
      </c>
      <c r="D175" s="32" t="s">
        <v>1719</v>
      </c>
      <c r="E175" s="32" t="s">
        <v>1720</v>
      </c>
      <c r="F175" s="33"/>
      <c r="G175" s="33"/>
      <c r="H175" s="33"/>
      <c r="I175" s="33"/>
      <c r="J175" s="33"/>
      <c r="K175" s="33"/>
      <c r="L175" s="33"/>
      <c r="M175" s="33"/>
      <c r="N175" s="33"/>
      <c r="O175" s="33"/>
    </row>
    <row r="176" spans="1:15">
      <c r="A176" s="11"/>
      <c r="B176" s="32" t="s">
        <v>1721</v>
      </c>
      <c r="C176" s="32" t="s">
        <v>1066</v>
      </c>
      <c r="D176" s="32" t="s">
        <v>1722</v>
      </c>
      <c r="E176" s="32" t="s">
        <v>1723</v>
      </c>
      <c r="F176" s="33"/>
      <c r="G176" s="33"/>
      <c r="H176" s="33"/>
      <c r="I176" s="33"/>
      <c r="J176" s="33"/>
      <c r="K176" s="33"/>
      <c r="L176" s="33"/>
      <c r="M176" s="33"/>
      <c r="N176" s="33"/>
      <c r="O176" s="33"/>
    </row>
    <row r="177" spans="1:15">
      <c r="A177" s="11"/>
      <c r="B177" s="23" t="s">
        <v>1724</v>
      </c>
      <c r="C177" s="23" t="s">
        <v>1725</v>
      </c>
      <c r="D177" s="23" t="s">
        <v>1726</v>
      </c>
      <c r="E177" s="23" t="s">
        <v>1727</v>
      </c>
      <c r="F177" s="33"/>
      <c r="G177" s="33"/>
      <c r="H177" s="33"/>
      <c r="I177" s="33"/>
      <c r="J177" s="33"/>
      <c r="K177" s="33"/>
      <c r="L177" s="33"/>
      <c r="M177" s="33"/>
      <c r="N177" s="33"/>
      <c r="O177" s="33"/>
    </row>
    <row r="178" spans="1:15">
      <c r="A178" s="11"/>
      <c r="B178" s="1"/>
      <c r="C178" s="11"/>
      <c r="D178" s="11"/>
      <c r="E178" s="11"/>
      <c r="F178" s="33"/>
      <c r="G178" s="33"/>
      <c r="H178" s="33"/>
      <c r="I178" s="33"/>
      <c r="J178" s="33"/>
      <c r="K178" s="33"/>
      <c r="L178" s="33"/>
      <c r="M178" s="33"/>
      <c r="N178" s="33"/>
      <c r="O178" s="33"/>
    </row>
    <row r="179" spans="1:15">
      <c r="A179" s="11"/>
      <c r="B179" s="1" t="s">
        <v>1728</v>
      </c>
      <c r="C179" s="11"/>
      <c r="D179" s="11"/>
      <c r="E179" s="11"/>
      <c r="F179" s="33"/>
      <c r="G179" s="33"/>
      <c r="H179" s="33"/>
      <c r="I179" s="33"/>
      <c r="J179" s="33"/>
      <c r="K179" s="33"/>
      <c r="L179" s="33"/>
      <c r="M179" s="33"/>
      <c r="N179" s="33"/>
      <c r="O179" s="33"/>
    </row>
    <row r="180" spans="1:15">
      <c r="A180" s="18"/>
      <c r="B180" s="108" t="s">
        <v>1729</v>
      </c>
      <c r="C180" s="18"/>
      <c r="D180" s="18"/>
      <c r="E180" s="18"/>
      <c r="F180" s="39"/>
      <c r="G180" s="39"/>
      <c r="H180" s="39"/>
      <c r="I180" s="39"/>
      <c r="J180" s="39"/>
      <c r="K180" s="39"/>
      <c r="L180" s="39"/>
      <c r="M180" s="39"/>
      <c r="N180" s="39"/>
      <c r="O180" s="39"/>
    </row>
    <row r="181" spans="1:15">
      <c r="A181" s="11"/>
      <c r="B181" s="11"/>
      <c r="C181" s="11"/>
      <c r="D181" s="92"/>
      <c r="E181" s="10"/>
      <c r="F181" s="33"/>
      <c r="G181" s="33"/>
      <c r="H181" s="33"/>
      <c r="I181" s="33"/>
      <c r="J181" s="33"/>
      <c r="K181" s="33"/>
      <c r="L181" s="33"/>
      <c r="M181" s="33"/>
      <c r="N181" s="33"/>
      <c r="O181" s="33"/>
    </row>
    <row r="182" spans="1:15">
      <c r="A182" s="11"/>
      <c r="B182" s="11" t="s">
        <v>1568</v>
      </c>
      <c r="C182" s="11"/>
      <c r="D182" s="92">
        <v>18000</v>
      </c>
      <c r="E182" s="10" t="s">
        <v>954</v>
      </c>
      <c r="F182" s="33"/>
      <c r="G182" s="33"/>
      <c r="H182" s="33"/>
      <c r="I182" s="33"/>
      <c r="J182" s="33"/>
      <c r="K182" s="33"/>
      <c r="L182" s="33"/>
      <c r="M182" s="33"/>
      <c r="N182" s="33"/>
      <c r="O182" s="33"/>
    </row>
    <row r="183" spans="1:15">
      <c r="A183" s="11"/>
      <c r="B183" s="11" t="s">
        <v>1569</v>
      </c>
      <c r="C183" s="11"/>
      <c r="D183" s="92">
        <v>15000</v>
      </c>
      <c r="E183" s="10" t="s">
        <v>954</v>
      </c>
      <c r="F183" s="33"/>
      <c r="G183" s="33"/>
      <c r="H183" s="33"/>
      <c r="I183" s="33"/>
      <c r="J183" s="33"/>
      <c r="K183" s="33"/>
      <c r="L183" s="33"/>
      <c r="M183" s="33"/>
      <c r="N183" s="33"/>
      <c r="O183" s="33"/>
    </row>
    <row r="184" spans="1:15">
      <c r="A184" s="11"/>
      <c r="B184" s="11" t="s">
        <v>1570</v>
      </c>
      <c r="C184" s="11"/>
      <c r="D184" s="92">
        <v>25000</v>
      </c>
      <c r="E184" s="10" t="s">
        <v>954</v>
      </c>
      <c r="F184" s="33"/>
      <c r="G184" s="33"/>
      <c r="H184" s="33"/>
      <c r="I184" s="33"/>
      <c r="J184" s="33"/>
      <c r="K184" s="33"/>
      <c r="L184" s="33"/>
      <c r="M184" s="33"/>
      <c r="N184" s="33"/>
      <c r="O184" s="33"/>
    </row>
    <row r="185" spans="1:15">
      <c r="A185" s="11"/>
      <c r="B185" s="11" t="s">
        <v>1571</v>
      </c>
      <c r="C185" s="11"/>
      <c r="D185" s="16">
        <v>0.15</v>
      </c>
      <c r="E185" s="10" t="s">
        <v>1572</v>
      </c>
      <c r="F185" s="33"/>
      <c r="G185" s="33"/>
      <c r="H185" s="33"/>
      <c r="I185" s="33"/>
      <c r="J185" s="33"/>
      <c r="K185" s="33"/>
      <c r="L185" s="33"/>
      <c r="M185" s="33"/>
      <c r="N185" s="33"/>
      <c r="O185" s="33"/>
    </row>
    <row r="186" spans="1:15">
      <c r="A186" s="11"/>
      <c r="B186" s="11"/>
      <c r="C186" s="11"/>
      <c r="D186" s="33"/>
      <c r="E186" s="33"/>
      <c r="F186" s="33"/>
      <c r="G186" s="33"/>
      <c r="H186" s="33"/>
      <c r="I186" s="33"/>
      <c r="J186" s="33"/>
      <c r="K186" s="33"/>
      <c r="L186" s="33"/>
      <c r="M186" s="33"/>
      <c r="N186" s="33"/>
      <c r="O186" s="33"/>
    </row>
    <row r="187" spans="1:15">
      <c r="A187" s="11"/>
      <c r="B187" s="11" t="s">
        <v>1573</v>
      </c>
      <c r="C187" s="11"/>
      <c r="D187" s="90">
        <f>D39</f>
        <v>12722.986000000001</v>
      </c>
      <c r="E187" s="10" t="s">
        <v>888</v>
      </c>
      <c r="F187" s="33"/>
      <c r="G187" s="33"/>
      <c r="H187" s="33"/>
      <c r="I187" s="33"/>
      <c r="J187" s="33"/>
      <c r="K187" s="33"/>
      <c r="L187" s="33"/>
      <c r="M187" s="33"/>
      <c r="N187" s="33"/>
      <c r="O187" s="33"/>
    </row>
    <row r="188" spans="1:15">
      <c r="A188" s="11"/>
      <c r="B188" s="11" t="s">
        <v>1614</v>
      </c>
      <c r="C188" s="11"/>
      <c r="D188" s="90">
        <f>'03 CAPEX &amp; Depreciation'!$G$269+'03 CAPEX &amp; Depreciation'!$G$270</f>
        <v>207413748</v>
      </c>
      <c r="E188" s="10" t="s">
        <v>13</v>
      </c>
      <c r="F188" s="33"/>
      <c r="G188" s="33"/>
      <c r="H188" s="33"/>
      <c r="I188" s="33"/>
      <c r="J188" s="33"/>
      <c r="K188" s="33"/>
      <c r="L188" s="33"/>
      <c r="M188" s="33"/>
      <c r="N188" s="33"/>
      <c r="O188" s="33"/>
    </row>
    <row r="189" spans="1:15">
      <c r="A189" s="11"/>
      <c r="B189" s="22" t="s">
        <v>1615</v>
      </c>
      <c r="C189" s="22"/>
      <c r="D189" s="89">
        <f>D188/D187</f>
        <v>16302.285328302647</v>
      </c>
      <c r="E189" s="37" t="s">
        <v>954</v>
      </c>
      <c r="F189" s="33"/>
      <c r="G189" s="33"/>
      <c r="H189" s="33"/>
      <c r="I189" s="33"/>
      <c r="J189" s="33"/>
      <c r="K189" s="33"/>
      <c r="L189" s="33"/>
      <c r="M189" s="33"/>
      <c r="N189" s="33"/>
      <c r="O189" s="33"/>
    </row>
    <row r="190" spans="1:15">
      <c r="A190" s="11"/>
      <c r="B190" s="11" t="s">
        <v>1574</v>
      </c>
      <c r="C190" s="11"/>
      <c r="D190" s="90">
        <f>(D181+D182)/2</f>
        <v>9000</v>
      </c>
      <c r="E190" s="10" t="s">
        <v>954</v>
      </c>
      <c r="F190" s="33"/>
      <c r="G190" s="33"/>
      <c r="H190" s="33"/>
      <c r="I190" s="33"/>
      <c r="J190" s="33"/>
      <c r="K190" s="33"/>
      <c r="L190" s="33"/>
      <c r="M190" s="33"/>
      <c r="N190" s="33"/>
      <c r="O190" s="33"/>
    </row>
    <row r="191" spans="1:15">
      <c r="A191" s="11"/>
      <c r="B191" s="11" t="s">
        <v>1575</v>
      </c>
      <c r="C191" s="11"/>
      <c r="D191" s="90">
        <f>D190*(1+D185)</f>
        <v>10350</v>
      </c>
      <c r="E191" s="10" t="s">
        <v>954</v>
      </c>
      <c r="F191" s="33"/>
      <c r="G191" s="33"/>
      <c r="H191" s="33"/>
      <c r="I191" s="33"/>
      <c r="J191" s="33"/>
      <c r="K191" s="33"/>
      <c r="L191" s="33"/>
      <c r="M191" s="33"/>
      <c r="N191" s="33"/>
      <c r="O191" s="33"/>
    </row>
    <row r="192" spans="1:15">
      <c r="A192" s="11"/>
      <c r="B192" s="11" t="s">
        <v>1576</v>
      </c>
      <c r="C192" s="11"/>
      <c r="D192" s="6">
        <f>D189/D190</f>
        <v>1.8113650364780718</v>
      </c>
      <c r="E192" s="43"/>
      <c r="F192" s="33"/>
      <c r="G192" s="33"/>
      <c r="H192" s="33"/>
      <c r="I192" s="33"/>
      <c r="J192" s="33"/>
      <c r="K192" s="33"/>
      <c r="L192" s="33"/>
      <c r="M192" s="33"/>
      <c r="N192" s="33"/>
      <c r="O192" s="33"/>
    </row>
    <row r="193" spans="1:15">
      <c r="A193" s="11"/>
      <c r="B193" s="22" t="s">
        <v>1616</v>
      </c>
      <c r="C193" s="22"/>
      <c r="D193" s="89">
        <f>D187*(D189-D190)</f>
        <v>92906873.999999985</v>
      </c>
      <c r="E193" s="37" t="s">
        <v>13</v>
      </c>
      <c r="F193" s="33"/>
      <c r="G193" s="33"/>
      <c r="H193" s="33"/>
      <c r="I193" s="33"/>
      <c r="J193" s="33"/>
      <c r="K193" s="33"/>
      <c r="L193" s="33"/>
      <c r="M193" s="33"/>
      <c r="N193" s="33"/>
      <c r="O193" s="33"/>
    </row>
    <row r="194" spans="1:15">
      <c r="A194" s="11"/>
      <c r="B194" s="22" t="s">
        <v>1617</v>
      </c>
      <c r="C194" s="22"/>
      <c r="D194" s="89">
        <f>'03 CAPEX &amp; Depreciation'!$G$275</f>
        <v>272708948</v>
      </c>
      <c r="E194" s="37" t="s">
        <v>13</v>
      </c>
      <c r="F194" s="33"/>
      <c r="G194" s="33"/>
      <c r="H194" s="33"/>
      <c r="I194" s="33"/>
      <c r="J194" s="33"/>
      <c r="K194" s="33"/>
      <c r="L194" s="33"/>
      <c r="M194" s="33"/>
      <c r="N194" s="33"/>
      <c r="O194" s="33"/>
    </row>
    <row r="195" spans="1:15">
      <c r="A195" s="11"/>
      <c r="B195" s="11"/>
      <c r="C195" s="11"/>
      <c r="D195" s="33"/>
      <c r="E195" s="33"/>
      <c r="F195" s="33"/>
      <c r="G195" s="33"/>
      <c r="H195" s="33"/>
      <c r="I195" s="33"/>
      <c r="J195" s="33"/>
      <c r="K195" s="33"/>
      <c r="L195" s="33"/>
      <c r="M195" s="33"/>
      <c r="N195" s="33"/>
      <c r="O195" s="33"/>
    </row>
    <row r="196" spans="1:15">
      <c r="A196" s="11"/>
      <c r="B196" s="1" t="str">
        <f>"Civil works is built on rate times area. It totals THB "&amp;TEXT('03 CAPEX &amp; Depreciation'!$F$111/1000000,"#,##0.0")&amp;_xlfn._LONGTEXT(" million against THB 122.5 million on the original 2022 lot schedule. Buildings are priced at Thai market rates — THB 18,000 per square metre for process buildings at the concrete-plant end of the range and THB 14,000 for non-process buildings at the stee","l-frame rate — which puts the buildings-only cost at THB ")&amp;TEXT($D$189,"#,##0")&amp;" per square metre of covered floor area. The balance of THB "&amp;TEXT(('03 CAPEX &amp; Depreciation'!$F$111-$D$188)/1000000,"#,##0.0")&amp;" million covers reinforced process hardstanding, trailer-rated roads, landscaping and "&amp;TEXT('01 Major Assumptions'!$D$29,"#,##0")&amp;" reactor foundations with micropiling, none of which is covered floor area and none of which was priced in the original schedule."</f>
        <v>Civil works is built on rate times area. It totals THB 272.7 million against THB 122.5 million on the original 2022 lot schedule. Buildings are priced at Thai market rates — THB 18,000 per square metre for process buildings at the concrete-plant end of the range and THB 14,000 for non-process buildings at the steel-frame rate — which puts the buildings-only cost at THB 16,302 per square metre of covered floor area. The balance of THB 65.3 million covers reinforced process hardstanding, trailer-rated roads, landscaping and 8 reactor foundations with micropiling, none of which is covered floor area and none of which was priced in the original schedule.</v>
      </c>
      <c r="C196" s="11"/>
      <c r="D196" s="33"/>
      <c r="E196" s="33"/>
      <c r="F196" s="33"/>
      <c r="G196" s="33"/>
      <c r="H196" s="33"/>
      <c r="I196" s="33"/>
      <c r="J196" s="33"/>
      <c r="K196" s="33"/>
      <c r="L196" s="33"/>
      <c r="M196" s="33"/>
      <c r="N196" s="33"/>
      <c r="O196" s="33"/>
    </row>
    <row r="197" spans="1:15">
      <c r="A197" s="11"/>
      <c r="B197" s="1" t="s">
        <v>1577</v>
      </c>
      <c r="C197" s="11"/>
      <c r="D197" s="33"/>
      <c r="E197" s="33"/>
      <c r="F197" s="33"/>
      <c r="G197" s="33"/>
      <c r="H197" s="33"/>
      <c r="I197" s="33"/>
      <c r="J197" s="33"/>
      <c r="K197" s="33"/>
      <c r="L197" s="33"/>
      <c r="M197" s="33"/>
      <c r="N197" s="33"/>
      <c r="O197" s="33"/>
    </row>
    <row r="198" spans="1:15">
      <c r="A198" s="11"/>
      <c r="B198" s="1" t="s">
        <v>1730</v>
      </c>
      <c r="C198" s="11"/>
      <c r="D198" s="33"/>
      <c r="E198" s="33"/>
      <c r="F198" s="33"/>
      <c r="G198" s="33"/>
      <c r="H198" s="33"/>
      <c r="I198" s="33"/>
      <c r="J198" s="33"/>
      <c r="K198" s="33"/>
      <c r="L198" s="33"/>
      <c r="M198" s="33"/>
      <c r="N198" s="33"/>
      <c r="O198" s="33"/>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F47CB5-196F-E34E-919B-C47C3A86FFDF}">
  <sheetPr>
    <tabColor rgb="FFFFD1DC"/>
  </sheetPr>
  <dimension ref="A1:BN39"/>
  <sheetViews>
    <sheetView workbookViewId="0">
      <selection activeCell="E41" sqref="E41"/>
    </sheetView>
  </sheetViews>
  <sheetFormatPr baseColWidth="10" defaultRowHeight="15"/>
  <cols>
    <col min="1" max="1" width="3.83203125" style="9" customWidth="1"/>
    <col min="2" max="3" width="60.83203125" style="9" customWidth="1"/>
    <col min="4" max="5" width="50.83203125" style="42" customWidth="1"/>
    <col min="6" max="7" width="14" style="42" customWidth="1"/>
    <col min="8" max="66" width="14" style="34" customWidth="1"/>
  </cols>
  <sheetData>
    <row r="1" spans="1:7" ht="18">
      <c r="A1" s="21" t="s">
        <v>1678</v>
      </c>
      <c r="B1" s="11"/>
      <c r="C1" s="11"/>
      <c r="D1" s="33"/>
      <c r="E1" s="33"/>
      <c r="F1" s="33"/>
      <c r="G1" s="33"/>
    </row>
    <row r="2" spans="1:7" ht="16">
      <c r="A2" s="12" t="s">
        <v>1651</v>
      </c>
      <c r="B2" s="11"/>
      <c r="C2" s="11"/>
      <c r="D2" s="33"/>
      <c r="E2" s="33"/>
      <c r="F2" s="33"/>
      <c r="G2" s="33"/>
    </row>
    <row r="3" spans="1:7">
      <c r="A3" s="13" t="s">
        <v>1104</v>
      </c>
      <c r="B3" s="11"/>
      <c r="C3" s="11"/>
      <c r="D3" s="33"/>
      <c r="E3" s="33"/>
      <c r="F3" s="33"/>
      <c r="G3" s="33"/>
    </row>
    <row r="4" spans="1:7">
      <c r="A4" s="11"/>
      <c r="B4" s="11"/>
      <c r="C4" s="11"/>
      <c r="D4" s="33"/>
      <c r="E4" s="33"/>
      <c r="F4" s="33"/>
      <c r="G4" s="33"/>
    </row>
    <row r="5" spans="1:7">
      <c r="A5" s="18" t="s">
        <v>1105</v>
      </c>
      <c r="B5" s="18"/>
      <c r="C5" s="18"/>
      <c r="D5" s="39"/>
      <c r="E5" s="39"/>
      <c r="F5" s="39"/>
      <c r="G5" s="39"/>
    </row>
    <row r="6" spans="1:7">
      <c r="A6" s="11"/>
      <c r="B6" s="22" t="s">
        <v>12</v>
      </c>
      <c r="C6" s="22" t="s">
        <v>1106</v>
      </c>
      <c r="D6" s="22" t="s">
        <v>1060</v>
      </c>
      <c r="E6" s="22" t="s">
        <v>1107</v>
      </c>
      <c r="F6" s="33"/>
      <c r="G6" s="33"/>
    </row>
    <row r="7" spans="1:7">
      <c r="A7" s="11"/>
      <c r="B7" s="22" t="s">
        <v>1108</v>
      </c>
      <c r="C7" s="10" t="s">
        <v>1109</v>
      </c>
      <c r="D7" s="10" t="s">
        <v>1110</v>
      </c>
      <c r="E7" s="10" t="s">
        <v>1111</v>
      </c>
      <c r="F7" s="33"/>
      <c r="G7" s="33"/>
    </row>
    <row r="8" spans="1:7">
      <c r="A8" s="11"/>
      <c r="B8" s="22" t="s">
        <v>1112</v>
      </c>
      <c r="C8" s="10" t="s">
        <v>1113</v>
      </c>
      <c r="D8" s="10" t="s">
        <v>1084</v>
      </c>
      <c r="E8" s="10" t="s">
        <v>1114</v>
      </c>
      <c r="F8" s="33"/>
      <c r="G8" s="33"/>
    </row>
    <row r="9" spans="1:7">
      <c r="A9" s="11"/>
      <c r="B9" s="22" t="s">
        <v>1115</v>
      </c>
      <c r="C9" s="10" t="s">
        <v>1116</v>
      </c>
      <c r="D9" s="10" t="s">
        <v>1084</v>
      </c>
      <c r="E9" s="10" t="s">
        <v>1114</v>
      </c>
      <c r="F9" s="33"/>
      <c r="G9" s="33"/>
    </row>
    <row r="10" spans="1:7">
      <c r="A10" s="11"/>
      <c r="B10" s="22" t="s">
        <v>1117</v>
      </c>
      <c r="C10" s="10" t="s">
        <v>1118</v>
      </c>
      <c r="D10" s="10" t="s">
        <v>1084</v>
      </c>
      <c r="E10" s="10" t="s">
        <v>1114</v>
      </c>
      <c r="F10" s="33"/>
      <c r="G10" s="33"/>
    </row>
    <row r="11" spans="1:7">
      <c r="A11" s="11"/>
      <c r="B11" s="22" t="s">
        <v>1119</v>
      </c>
      <c r="C11" s="10" t="s">
        <v>1120</v>
      </c>
      <c r="D11" s="10" t="s">
        <v>1121</v>
      </c>
      <c r="E11" s="10" t="s">
        <v>1122</v>
      </c>
      <c r="F11" s="33"/>
      <c r="G11" s="33"/>
    </row>
    <row r="12" spans="1:7">
      <c r="A12" s="11"/>
      <c r="B12" s="22" t="s">
        <v>1123</v>
      </c>
      <c r="C12" s="10" t="s">
        <v>1124</v>
      </c>
      <c r="D12" s="10" t="s">
        <v>1084</v>
      </c>
      <c r="E12" s="10" t="s">
        <v>1125</v>
      </c>
      <c r="F12" s="33"/>
      <c r="G12" s="33"/>
    </row>
    <row r="13" spans="1:7">
      <c r="A13" s="11"/>
      <c r="B13" s="22" t="s">
        <v>1126</v>
      </c>
      <c r="C13" s="10" t="s">
        <v>1127</v>
      </c>
      <c r="D13" s="10" t="s">
        <v>1128</v>
      </c>
      <c r="E13" s="10" t="s">
        <v>1129</v>
      </c>
      <c r="F13" s="33"/>
      <c r="G13" s="33"/>
    </row>
    <row r="14" spans="1:7">
      <c r="A14" s="11"/>
      <c r="B14" s="11"/>
      <c r="C14" s="11"/>
      <c r="D14" s="33"/>
      <c r="E14" s="33"/>
      <c r="F14" s="33"/>
      <c r="G14" s="33"/>
    </row>
    <row r="15" spans="1:7">
      <c r="A15" s="18" t="s">
        <v>1130</v>
      </c>
      <c r="B15" s="18"/>
      <c r="C15" s="18"/>
      <c r="D15" s="39"/>
      <c r="E15" s="39"/>
      <c r="F15" s="39"/>
      <c r="G15" s="39"/>
    </row>
    <row r="16" spans="1:7">
      <c r="A16" s="11"/>
      <c r="B16" s="22" t="s">
        <v>1131</v>
      </c>
      <c r="C16" s="10" t="s">
        <v>1132</v>
      </c>
      <c r="D16" s="10" t="s">
        <v>1133</v>
      </c>
      <c r="E16" s="10" t="s">
        <v>1134</v>
      </c>
      <c r="F16" s="33"/>
      <c r="G16" s="33"/>
    </row>
    <row r="17" spans="1:7">
      <c r="A17" s="11"/>
      <c r="B17" s="22" t="s">
        <v>1135</v>
      </c>
      <c r="C17" s="10" t="s">
        <v>1136</v>
      </c>
      <c r="D17" s="10" t="s">
        <v>1084</v>
      </c>
      <c r="E17" s="10" t="s">
        <v>1137</v>
      </c>
      <c r="F17" s="33"/>
      <c r="G17" s="33"/>
    </row>
    <row r="18" spans="1:7">
      <c r="A18" s="11"/>
      <c r="B18" s="22" t="s">
        <v>1138</v>
      </c>
      <c r="C18" s="10" t="s">
        <v>1139</v>
      </c>
      <c r="D18" s="10" t="s">
        <v>1084</v>
      </c>
      <c r="E18" s="10" t="s">
        <v>1140</v>
      </c>
      <c r="F18" s="33"/>
      <c r="G18" s="33"/>
    </row>
    <row r="19" spans="1:7">
      <c r="A19" s="11"/>
      <c r="B19" s="22" t="s">
        <v>1141</v>
      </c>
      <c r="C19" s="10" t="s">
        <v>1142</v>
      </c>
      <c r="D19" s="10" t="s">
        <v>1084</v>
      </c>
      <c r="E19" s="10" t="s">
        <v>1143</v>
      </c>
      <c r="F19" s="33"/>
      <c r="G19" s="33"/>
    </row>
    <row r="20" spans="1:7">
      <c r="A20" s="11"/>
      <c r="B20" s="22" t="s">
        <v>1144</v>
      </c>
      <c r="C20" s="10" t="s">
        <v>1145</v>
      </c>
      <c r="D20" s="10" t="s">
        <v>1084</v>
      </c>
      <c r="E20" s="10" t="s">
        <v>1146</v>
      </c>
      <c r="F20" s="33"/>
      <c r="G20" s="33"/>
    </row>
    <row r="21" spans="1:7">
      <c r="A21" s="11"/>
      <c r="B21" s="11"/>
      <c r="C21" s="11"/>
      <c r="D21" s="33"/>
      <c r="E21" s="33"/>
      <c r="F21" s="33"/>
      <c r="G21" s="33"/>
    </row>
    <row r="22" spans="1:7">
      <c r="A22" s="18" t="s">
        <v>1147</v>
      </c>
      <c r="B22" s="18"/>
      <c r="C22" s="18"/>
      <c r="D22" s="39"/>
      <c r="E22" s="39"/>
      <c r="F22" s="39"/>
      <c r="G22" s="39"/>
    </row>
    <row r="23" spans="1:7">
      <c r="A23" s="11"/>
      <c r="B23" s="22" t="s">
        <v>1148</v>
      </c>
      <c r="C23" s="10" t="s">
        <v>1149</v>
      </c>
      <c r="D23" s="10" t="s">
        <v>1150</v>
      </c>
      <c r="E23" s="10" t="s">
        <v>1151</v>
      </c>
      <c r="F23" s="33"/>
      <c r="G23" s="33"/>
    </row>
    <row r="24" spans="1:7">
      <c r="A24" s="11"/>
      <c r="B24" s="22" t="s">
        <v>1152</v>
      </c>
      <c r="C24" s="10" t="s">
        <v>1153</v>
      </c>
      <c r="D24" s="10" t="s">
        <v>1154</v>
      </c>
      <c r="E24" s="10" t="s">
        <v>1155</v>
      </c>
      <c r="F24" s="33"/>
      <c r="G24" s="33"/>
    </row>
    <row r="25" spans="1:7">
      <c r="A25" s="11"/>
      <c r="B25" s="22" t="s">
        <v>1156</v>
      </c>
      <c r="C25" s="10" t="s">
        <v>1157</v>
      </c>
      <c r="D25" s="10" t="s">
        <v>1158</v>
      </c>
      <c r="E25" s="10" t="s">
        <v>1159</v>
      </c>
      <c r="F25" s="33"/>
      <c r="G25" s="33"/>
    </row>
    <row r="26" spans="1:7">
      <c r="A26" s="11"/>
      <c r="B26" s="22" t="s">
        <v>1160</v>
      </c>
      <c r="C26" s="10" t="s">
        <v>1161</v>
      </c>
      <c r="D26" s="10" t="s">
        <v>1158</v>
      </c>
      <c r="E26" s="10" t="s">
        <v>1162</v>
      </c>
      <c r="F26" s="33"/>
      <c r="G26" s="33"/>
    </row>
    <row r="27" spans="1:7">
      <c r="A27" s="11"/>
      <c r="B27" s="11"/>
      <c r="C27" s="11"/>
      <c r="D27" s="33"/>
      <c r="E27" s="33"/>
      <c r="F27" s="33"/>
      <c r="G27" s="33"/>
    </row>
    <row r="28" spans="1:7">
      <c r="A28" s="18" t="s">
        <v>1163</v>
      </c>
      <c r="B28" s="18"/>
      <c r="C28" s="18"/>
      <c r="D28" s="39"/>
      <c r="E28" s="39"/>
      <c r="F28" s="39"/>
      <c r="G28" s="39"/>
    </row>
    <row r="29" spans="1:7">
      <c r="A29" s="11"/>
      <c r="B29" s="22" t="s">
        <v>1164</v>
      </c>
      <c r="C29" s="10" t="s">
        <v>1165</v>
      </c>
      <c r="D29" s="10" t="s">
        <v>1084</v>
      </c>
      <c r="E29" s="10" t="s">
        <v>1166</v>
      </c>
      <c r="F29" s="33"/>
      <c r="G29" s="33"/>
    </row>
    <row r="30" spans="1:7">
      <c r="A30" s="11"/>
      <c r="B30" s="22" t="s">
        <v>1167</v>
      </c>
      <c r="C30" s="10" t="s">
        <v>1168</v>
      </c>
      <c r="D30" s="10" t="s">
        <v>1169</v>
      </c>
      <c r="E30" s="10" t="s">
        <v>1071</v>
      </c>
      <c r="F30" s="33"/>
      <c r="G30" s="33"/>
    </row>
    <row r="31" spans="1:7">
      <c r="A31" s="11"/>
      <c r="B31" s="22" t="s">
        <v>1170</v>
      </c>
      <c r="C31" s="10" t="s">
        <v>1171</v>
      </c>
      <c r="D31" s="10" t="s">
        <v>1084</v>
      </c>
      <c r="E31" s="10" t="s">
        <v>1172</v>
      </c>
      <c r="F31" s="33"/>
      <c r="G31" s="33"/>
    </row>
    <row r="32" spans="1:7">
      <c r="A32" s="11"/>
      <c r="B32" s="22" t="s">
        <v>1173</v>
      </c>
      <c r="C32" s="10" t="s">
        <v>1174</v>
      </c>
      <c r="D32" s="10" t="s">
        <v>1175</v>
      </c>
      <c r="E32" s="10" t="s">
        <v>1176</v>
      </c>
      <c r="F32" s="33"/>
      <c r="G32" s="33"/>
    </row>
    <row r="33" spans="1:7">
      <c r="A33" s="11"/>
      <c r="B33" s="11"/>
      <c r="C33" s="11"/>
      <c r="D33" s="33"/>
      <c r="E33" s="33"/>
      <c r="F33" s="33"/>
      <c r="G33" s="33"/>
    </row>
    <row r="34" spans="1:7">
      <c r="A34" s="18" t="s">
        <v>1177</v>
      </c>
      <c r="B34" s="18"/>
      <c r="C34" s="18"/>
      <c r="D34" s="39"/>
      <c r="E34" s="39"/>
      <c r="F34" s="39"/>
      <c r="G34" s="39"/>
    </row>
    <row r="35" spans="1:7">
      <c r="A35" s="11"/>
      <c r="B35" s="22" t="s">
        <v>1178</v>
      </c>
      <c r="C35" s="10" t="s">
        <v>1179</v>
      </c>
      <c r="D35" s="10" t="s">
        <v>1180</v>
      </c>
      <c r="E35" s="10" t="s">
        <v>1181</v>
      </c>
      <c r="F35" s="33"/>
      <c r="G35" s="33"/>
    </row>
    <row r="36" spans="1:7">
      <c r="A36" s="11"/>
      <c r="B36" s="22" t="s">
        <v>1182</v>
      </c>
      <c r="C36" s="10" t="s">
        <v>1808</v>
      </c>
      <c r="D36" s="10" t="s">
        <v>1183</v>
      </c>
      <c r="E36" s="10" t="s">
        <v>1184</v>
      </c>
      <c r="F36" s="33"/>
      <c r="G36" s="33"/>
    </row>
    <row r="37" spans="1:7">
      <c r="A37" s="11"/>
      <c r="B37" s="22" t="s">
        <v>1185</v>
      </c>
      <c r="C37" s="10" t="s">
        <v>1186</v>
      </c>
      <c r="D37" s="10" t="s">
        <v>1187</v>
      </c>
      <c r="E37" s="10" t="s">
        <v>1184</v>
      </c>
      <c r="F37" s="33"/>
      <c r="G37" s="33"/>
    </row>
    <row r="38" spans="1:7">
      <c r="A38" s="11"/>
      <c r="B38" s="22" t="s">
        <v>1188</v>
      </c>
      <c r="C38" s="10" t="s">
        <v>1189</v>
      </c>
      <c r="D38" s="10" t="s">
        <v>1180</v>
      </c>
      <c r="E38" s="10" t="s">
        <v>1190</v>
      </c>
      <c r="F38" s="33"/>
      <c r="G38" s="33"/>
    </row>
    <row r="39" spans="1:7">
      <c r="A39" s="11"/>
      <c r="B39" s="22" t="s">
        <v>1191</v>
      </c>
      <c r="C39" s="10" t="s">
        <v>1192</v>
      </c>
      <c r="D39" s="10" t="s">
        <v>1187</v>
      </c>
      <c r="E39" s="10" t="s">
        <v>1184</v>
      </c>
      <c r="F39" s="33"/>
      <c r="G39" s="33"/>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F92986-0250-E84E-9734-7605450E0953}">
  <sheetPr>
    <tabColor rgb="FFFFF9C4"/>
  </sheetPr>
  <dimension ref="A1:BN176"/>
  <sheetViews>
    <sheetView topLeftCell="A74" workbookViewId="0">
      <selection activeCell="H125" sqref="H125"/>
    </sheetView>
  </sheetViews>
  <sheetFormatPr baseColWidth="10" defaultRowHeight="15"/>
  <cols>
    <col min="1" max="1" width="3.83203125" style="9" customWidth="1"/>
    <col min="2" max="2" width="58.33203125" style="9" customWidth="1"/>
    <col min="3" max="3" width="33.33203125" style="9" customWidth="1"/>
    <col min="4" max="5" width="17.5" style="42" customWidth="1"/>
    <col min="6" max="11" width="14" style="42" customWidth="1"/>
    <col min="12" max="66" width="14" style="34" customWidth="1"/>
  </cols>
  <sheetData>
    <row r="1" spans="1:11" ht="18">
      <c r="A1" s="21" t="s">
        <v>1678</v>
      </c>
      <c r="B1" s="11"/>
      <c r="C1" s="11"/>
      <c r="D1" s="33"/>
      <c r="E1" s="33"/>
      <c r="F1" s="33"/>
      <c r="G1" s="33"/>
      <c r="H1" s="33"/>
      <c r="I1" s="33"/>
      <c r="J1" s="33"/>
      <c r="K1" s="33"/>
    </row>
    <row r="2" spans="1:11" ht="16">
      <c r="A2" s="12" t="s">
        <v>1652</v>
      </c>
      <c r="B2" s="11"/>
      <c r="C2" s="11"/>
      <c r="D2" s="33"/>
      <c r="E2" s="33"/>
      <c r="F2" s="33"/>
      <c r="G2" s="33"/>
      <c r="H2" s="33"/>
      <c r="I2" s="33"/>
      <c r="J2" s="33"/>
      <c r="K2" s="33"/>
    </row>
    <row r="3" spans="1:11">
      <c r="A3" s="13" t="s">
        <v>1216</v>
      </c>
      <c r="B3" s="11"/>
      <c r="C3" s="11"/>
      <c r="D3" s="33"/>
      <c r="E3" s="33"/>
      <c r="F3" s="33"/>
      <c r="G3" s="33"/>
      <c r="H3" s="33"/>
      <c r="I3" s="33"/>
      <c r="J3" s="33"/>
      <c r="K3" s="33"/>
    </row>
    <row r="4" spans="1:11">
      <c r="A4" s="11"/>
      <c r="B4" s="11"/>
      <c r="C4" s="11"/>
      <c r="D4" s="33"/>
      <c r="E4" s="33"/>
      <c r="F4" s="33"/>
      <c r="G4" s="33"/>
      <c r="H4" s="33"/>
      <c r="I4" s="33"/>
      <c r="J4" s="33"/>
      <c r="K4" s="33"/>
    </row>
    <row r="5" spans="1:11">
      <c r="A5" s="18" t="s">
        <v>1217</v>
      </c>
      <c r="B5" s="18"/>
      <c r="C5" s="18"/>
      <c r="D5" s="39"/>
      <c r="E5" s="39"/>
      <c r="F5" s="39"/>
      <c r="G5" s="39"/>
      <c r="H5" s="39"/>
      <c r="I5" s="39"/>
      <c r="J5" s="39"/>
      <c r="K5" s="39"/>
    </row>
    <row r="6" spans="1:11">
      <c r="A6" s="11"/>
      <c r="B6" s="22" t="s">
        <v>1218</v>
      </c>
      <c r="C6" s="22" t="s">
        <v>1219</v>
      </c>
      <c r="D6" s="22" t="s">
        <v>1220</v>
      </c>
      <c r="E6" s="33"/>
      <c r="F6" s="33"/>
      <c r="G6" s="33"/>
      <c r="H6" s="33"/>
      <c r="I6" s="33"/>
      <c r="J6" s="33"/>
      <c r="K6" s="33"/>
    </row>
    <row r="7" spans="1:11">
      <c r="A7" s="11"/>
      <c r="B7" s="22" t="s">
        <v>1221</v>
      </c>
      <c r="C7" s="10" t="s">
        <v>1222</v>
      </c>
      <c r="D7" s="10" t="s">
        <v>1223</v>
      </c>
      <c r="E7" s="33"/>
      <c r="F7" s="33"/>
      <c r="G7" s="33"/>
      <c r="H7" s="33"/>
      <c r="I7" s="33"/>
      <c r="J7" s="33"/>
      <c r="K7" s="33"/>
    </row>
    <row r="8" spans="1:11">
      <c r="A8" s="11"/>
      <c r="B8" s="22" t="s">
        <v>1224</v>
      </c>
      <c r="C8" s="10" t="s">
        <v>1225</v>
      </c>
      <c r="D8" s="10" t="s">
        <v>1226</v>
      </c>
      <c r="E8" s="33"/>
      <c r="F8" s="33"/>
      <c r="G8" s="33"/>
      <c r="H8" s="33"/>
      <c r="I8" s="33"/>
      <c r="J8" s="33"/>
      <c r="K8" s="33"/>
    </row>
    <row r="9" spans="1:11">
      <c r="A9" s="11"/>
      <c r="B9" s="22" t="s">
        <v>1227</v>
      </c>
      <c r="C9" s="10" t="s">
        <v>1228</v>
      </c>
      <c r="D9" s="10" t="s">
        <v>1229</v>
      </c>
      <c r="E9" s="33"/>
      <c r="F9" s="33"/>
      <c r="G9" s="33"/>
      <c r="H9" s="33"/>
      <c r="I9" s="33"/>
      <c r="J9" s="33"/>
      <c r="K9" s="33"/>
    </row>
    <row r="10" spans="1:11">
      <c r="A10" s="11"/>
      <c r="B10" s="22" t="s">
        <v>1230</v>
      </c>
      <c r="C10" s="10" t="s">
        <v>1231</v>
      </c>
      <c r="D10" s="10" t="s">
        <v>1232</v>
      </c>
      <c r="E10" s="33"/>
      <c r="F10" s="33"/>
      <c r="G10" s="33"/>
      <c r="H10" s="33"/>
      <c r="I10" s="33"/>
      <c r="J10" s="33"/>
      <c r="K10" s="33"/>
    </row>
    <row r="11" spans="1:11">
      <c r="A11" s="11"/>
      <c r="B11" s="22" t="s">
        <v>1233</v>
      </c>
      <c r="C11" s="59" t="str">
        <f>'01 Major Assumptions'!$D$33&amp;" tonnes per year"</f>
        <v>40920 tonnes per year</v>
      </c>
      <c r="D11" s="10" t="s">
        <v>1234</v>
      </c>
      <c r="E11" s="33"/>
      <c r="F11" s="33"/>
      <c r="G11" s="33"/>
      <c r="H11" s="33"/>
      <c r="I11" s="33"/>
      <c r="J11" s="33"/>
      <c r="K11" s="33"/>
    </row>
    <row r="12" spans="1:11">
      <c r="A12" s="11"/>
      <c r="B12" s="22" t="s">
        <v>1235</v>
      </c>
      <c r="C12" s="10" t="str">
        <f>TEXT('01 Major Assumptions'!$D$33/600000,"0.0%")</f>
        <v>6.8%</v>
      </c>
      <c r="D12" s="10" t="s">
        <v>1236</v>
      </c>
      <c r="E12" s="33"/>
      <c r="F12" s="33"/>
      <c r="G12" s="33"/>
      <c r="H12" s="33"/>
      <c r="I12" s="33"/>
      <c r="J12" s="33"/>
      <c r="K12" s="33"/>
    </row>
    <row r="13" spans="1:11">
      <c r="A13" s="11"/>
      <c r="B13" s="22" t="s">
        <v>1237</v>
      </c>
      <c r="C13" s="10" t="s">
        <v>1238</v>
      </c>
      <c r="D13" s="10" t="s">
        <v>1236</v>
      </c>
      <c r="E13" s="33"/>
      <c r="F13" s="33"/>
      <c r="G13" s="33"/>
      <c r="H13" s="33"/>
      <c r="I13" s="33"/>
      <c r="J13" s="33"/>
      <c r="K13" s="33"/>
    </row>
    <row r="14" spans="1:11">
      <c r="A14" s="11"/>
      <c r="B14" s="22" t="s">
        <v>1239</v>
      </c>
      <c r="C14" s="10" t="s">
        <v>1240</v>
      </c>
      <c r="D14" s="10" t="s">
        <v>1241</v>
      </c>
      <c r="E14" s="33"/>
      <c r="F14" s="33"/>
      <c r="G14" s="33"/>
      <c r="H14" s="33"/>
      <c r="I14" s="33"/>
      <c r="J14" s="33"/>
      <c r="K14" s="33"/>
    </row>
    <row r="15" spans="1:11">
      <c r="A15" s="11"/>
      <c r="B15" s="11"/>
      <c r="C15" s="11"/>
      <c r="D15" s="33"/>
      <c r="E15" s="33"/>
      <c r="F15" s="33"/>
      <c r="G15" s="33"/>
      <c r="H15" s="33"/>
      <c r="I15" s="33"/>
      <c r="J15" s="33"/>
      <c r="K15" s="33"/>
    </row>
    <row r="16" spans="1:11">
      <c r="A16" s="11"/>
      <c r="B16" s="11"/>
      <c r="C16" s="11"/>
      <c r="D16" s="33"/>
      <c r="E16" s="33"/>
      <c r="F16" s="33"/>
      <c r="G16" s="33"/>
      <c r="H16" s="33"/>
      <c r="I16" s="33"/>
      <c r="J16" s="33"/>
      <c r="K16" s="33"/>
    </row>
    <row r="17" spans="1:11">
      <c r="A17" s="18" t="s">
        <v>1339</v>
      </c>
      <c r="B17" s="18"/>
      <c r="C17" s="18"/>
      <c r="D17" s="39"/>
      <c r="E17" s="39"/>
      <c r="F17" s="39"/>
      <c r="G17" s="39"/>
      <c r="H17" s="39"/>
      <c r="I17" s="39"/>
      <c r="J17" s="39"/>
      <c r="K17" s="39"/>
    </row>
    <row r="18" spans="1:11">
      <c r="A18" s="11"/>
      <c r="B18" s="22" t="s">
        <v>1242</v>
      </c>
      <c r="C18" s="22" t="s">
        <v>1243</v>
      </c>
      <c r="D18" s="22" t="s">
        <v>1244</v>
      </c>
      <c r="E18" s="22" t="s">
        <v>1245</v>
      </c>
      <c r="F18" s="22" t="s">
        <v>1246</v>
      </c>
      <c r="G18" s="22" t="s">
        <v>1247</v>
      </c>
      <c r="H18" s="22" t="s">
        <v>1248</v>
      </c>
      <c r="I18" s="22" t="s">
        <v>1249</v>
      </c>
      <c r="J18" s="22" t="s">
        <v>1220</v>
      </c>
      <c r="K18" s="33"/>
    </row>
    <row r="19" spans="1:11">
      <c r="A19" s="11"/>
      <c r="B19" s="22" t="s">
        <v>1250</v>
      </c>
      <c r="C19" s="10" t="s">
        <v>1251</v>
      </c>
      <c r="D19" s="10" t="s">
        <v>1252</v>
      </c>
      <c r="E19" s="10" t="s">
        <v>1253</v>
      </c>
      <c r="F19" s="101">
        <v>20</v>
      </c>
      <c r="G19" s="10" t="s">
        <v>1254</v>
      </c>
      <c r="H19" s="101">
        <v>85</v>
      </c>
      <c r="I19" s="10" t="s">
        <v>1340</v>
      </c>
      <c r="J19" s="10" t="s">
        <v>1341</v>
      </c>
      <c r="K19" s="33"/>
    </row>
    <row r="20" spans="1:11">
      <c r="A20" s="11"/>
      <c r="B20" s="22" t="s">
        <v>1342</v>
      </c>
      <c r="C20" s="10" t="s">
        <v>1343</v>
      </c>
      <c r="D20" s="10" t="s">
        <v>1252</v>
      </c>
      <c r="E20" s="10" t="s">
        <v>1252</v>
      </c>
      <c r="F20" s="10" t="s">
        <v>1344</v>
      </c>
      <c r="G20" s="10" t="s">
        <v>1254</v>
      </c>
      <c r="H20" s="101">
        <v>85</v>
      </c>
      <c r="I20" s="10" t="s">
        <v>1345</v>
      </c>
      <c r="J20" s="10" t="s">
        <v>1346</v>
      </c>
      <c r="K20" s="33"/>
    </row>
    <row r="21" spans="1:11">
      <c r="A21" s="11"/>
      <c r="B21" s="22" t="s">
        <v>1347</v>
      </c>
      <c r="C21" s="10" t="s">
        <v>1348</v>
      </c>
      <c r="D21" s="10" t="s">
        <v>1349</v>
      </c>
      <c r="E21" s="10" t="s">
        <v>1350</v>
      </c>
      <c r="F21" s="10" t="s">
        <v>1351</v>
      </c>
      <c r="G21" s="10" t="s">
        <v>1254</v>
      </c>
      <c r="H21" s="101">
        <v>85</v>
      </c>
      <c r="I21" s="10" t="s">
        <v>1352</v>
      </c>
      <c r="J21" s="10" t="s">
        <v>1346</v>
      </c>
      <c r="K21" s="33"/>
    </row>
    <row r="22" spans="1:11">
      <c r="A22" s="11"/>
      <c r="B22" s="22" t="s">
        <v>1255</v>
      </c>
      <c r="C22" s="10" t="s">
        <v>1256</v>
      </c>
      <c r="D22" s="10" t="s">
        <v>1252</v>
      </c>
      <c r="E22" s="10" t="s">
        <v>1257</v>
      </c>
      <c r="F22" s="10" t="s">
        <v>1258</v>
      </c>
      <c r="G22" s="10" t="s">
        <v>1259</v>
      </c>
      <c r="H22" s="101">
        <v>80</v>
      </c>
      <c r="I22" s="10" t="s">
        <v>1353</v>
      </c>
      <c r="J22" s="10" t="s">
        <v>1260</v>
      </c>
      <c r="K22" s="33"/>
    </row>
    <row r="23" spans="1:11">
      <c r="A23" s="11"/>
      <c r="B23" s="22" t="s">
        <v>1354</v>
      </c>
      <c r="C23" s="10" t="s">
        <v>1355</v>
      </c>
      <c r="D23" s="10" t="s">
        <v>1356</v>
      </c>
      <c r="E23" s="10" t="s">
        <v>1357</v>
      </c>
      <c r="F23" s="10" t="s">
        <v>1358</v>
      </c>
      <c r="G23" s="10" t="s">
        <v>1254</v>
      </c>
      <c r="H23" s="101">
        <v>85</v>
      </c>
      <c r="I23" s="10" t="s">
        <v>1359</v>
      </c>
      <c r="J23" s="10" t="s">
        <v>1346</v>
      </c>
      <c r="K23" s="33"/>
    </row>
    <row r="24" spans="1:11">
      <c r="A24" s="11"/>
      <c r="B24" s="11"/>
      <c r="C24" s="11"/>
      <c r="D24" s="33"/>
      <c r="E24" s="33"/>
      <c r="F24" s="33"/>
      <c r="G24" s="33"/>
      <c r="H24" s="33"/>
      <c r="I24" s="33"/>
      <c r="J24" s="33"/>
      <c r="K24" s="33"/>
    </row>
    <row r="25" spans="1:11">
      <c r="A25" s="11"/>
      <c r="B25" s="22" t="s">
        <v>1261</v>
      </c>
      <c r="C25" s="10" t="s">
        <v>1360</v>
      </c>
      <c r="D25" s="33"/>
      <c r="E25" s="33"/>
      <c r="F25" s="33"/>
      <c r="G25" s="33"/>
      <c r="H25" s="33"/>
      <c r="I25" s="33"/>
      <c r="J25" s="33"/>
      <c r="K25" s="33"/>
    </row>
    <row r="26" spans="1:11">
      <c r="A26" s="11"/>
      <c r="B26" s="36" t="s">
        <v>1361</v>
      </c>
      <c r="C26" s="11"/>
      <c r="D26" s="33"/>
      <c r="E26" s="33"/>
      <c r="F26" s="33"/>
      <c r="G26" s="33"/>
      <c r="H26" s="33"/>
      <c r="I26" s="33"/>
      <c r="J26" s="33"/>
      <c r="K26" s="33"/>
    </row>
    <row r="27" spans="1:11">
      <c r="A27" s="11"/>
      <c r="B27" s="11"/>
      <c r="C27" s="11"/>
      <c r="D27" s="33"/>
      <c r="E27" s="33"/>
      <c r="F27" s="33"/>
      <c r="G27" s="33"/>
      <c r="H27" s="33"/>
      <c r="I27" s="33"/>
      <c r="J27" s="33"/>
      <c r="K27" s="33"/>
    </row>
    <row r="28" spans="1:11">
      <c r="A28" s="18" t="s">
        <v>1262</v>
      </c>
      <c r="B28" s="18"/>
      <c r="C28" s="18"/>
      <c r="D28" s="39"/>
      <c r="E28" s="39"/>
      <c r="F28" s="39"/>
      <c r="G28" s="39"/>
      <c r="H28" s="39"/>
      <c r="I28" s="39"/>
      <c r="J28" s="39"/>
      <c r="K28" s="39"/>
    </row>
    <row r="29" spans="1:11">
      <c r="A29" s="11"/>
      <c r="B29" s="22" t="s">
        <v>1263</v>
      </c>
      <c r="C29" s="22" t="s">
        <v>1264</v>
      </c>
      <c r="D29" s="22" t="s">
        <v>1265</v>
      </c>
      <c r="E29" s="33"/>
      <c r="F29" s="33"/>
      <c r="G29" s="33"/>
      <c r="H29" s="33"/>
      <c r="I29" s="33"/>
      <c r="J29" s="33"/>
      <c r="K29" s="33"/>
    </row>
    <row r="30" spans="1:11">
      <c r="A30" s="11"/>
      <c r="B30" s="22" t="s">
        <v>1266</v>
      </c>
      <c r="C30" s="10" t="s">
        <v>1267</v>
      </c>
      <c r="D30" s="10" t="s">
        <v>1268</v>
      </c>
      <c r="E30" s="33"/>
      <c r="F30" s="33"/>
      <c r="G30" s="33"/>
      <c r="H30" s="33"/>
      <c r="I30" s="33"/>
      <c r="J30" s="33"/>
      <c r="K30" s="33"/>
    </row>
    <row r="31" spans="1:11">
      <c r="A31" s="11"/>
      <c r="B31" s="22" t="s">
        <v>1269</v>
      </c>
      <c r="C31" s="10" t="s">
        <v>1270</v>
      </c>
      <c r="D31" s="10" t="s">
        <v>1450</v>
      </c>
      <c r="E31" s="33"/>
      <c r="F31" s="33"/>
      <c r="G31" s="33"/>
      <c r="H31" s="33"/>
      <c r="I31" s="33"/>
      <c r="J31" s="33"/>
      <c r="K31" s="33"/>
    </row>
    <row r="32" spans="1:11">
      <c r="A32" s="11"/>
      <c r="B32" s="22" t="s">
        <v>1271</v>
      </c>
      <c r="C32" s="10" t="s">
        <v>1272</v>
      </c>
      <c r="D32" s="10" t="s">
        <v>1273</v>
      </c>
      <c r="E32" s="33"/>
      <c r="F32" s="33"/>
      <c r="G32" s="33"/>
      <c r="H32" s="33"/>
      <c r="I32" s="33"/>
      <c r="J32" s="33"/>
      <c r="K32" s="33"/>
    </row>
    <row r="33" spans="1:11">
      <c r="A33" s="11"/>
      <c r="B33" s="22" t="s">
        <v>1274</v>
      </c>
      <c r="C33" s="10" t="s">
        <v>1275</v>
      </c>
      <c r="D33" s="10" t="s">
        <v>1276</v>
      </c>
      <c r="E33" s="33"/>
      <c r="F33" s="33"/>
      <c r="G33" s="33"/>
      <c r="H33" s="33"/>
      <c r="I33" s="33"/>
      <c r="J33" s="33"/>
      <c r="K33" s="33"/>
    </row>
    <row r="34" spans="1:11">
      <c r="A34" s="11"/>
      <c r="B34" s="22" t="s">
        <v>1277</v>
      </c>
      <c r="C34" s="10" t="s">
        <v>1278</v>
      </c>
      <c r="D34" s="10" t="s">
        <v>1279</v>
      </c>
      <c r="E34" s="33"/>
      <c r="F34" s="33"/>
      <c r="G34" s="33"/>
      <c r="H34" s="33"/>
      <c r="I34" s="33"/>
      <c r="J34" s="33"/>
      <c r="K34" s="33"/>
    </row>
    <row r="35" spans="1:11">
      <c r="A35" s="11"/>
      <c r="B35" s="11"/>
      <c r="C35" s="11"/>
      <c r="D35" s="33"/>
      <c r="E35" s="33"/>
      <c r="F35" s="33"/>
      <c r="G35" s="33"/>
      <c r="H35" s="33"/>
      <c r="I35" s="33"/>
      <c r="J35" s="33"/>
      <c r="K35" s="33"/>
    </row>
    <row r="36" spans="1:11">
      <c r="A36" s="18" t="s">
        <v>1280</v>
      </c>
      <c r="B36" s="18"/>
      <c r="C36" s="18"/>
      <c r="D36" s="39"/>
      <c r="E36" s="39"/>
      <c r="F36" s="39"/>
      <c r="G36" s="39"/>
      <c r="H36" s="39"/>
      <c r="I36" s="39"/>
      <c r="J36" s="39"/>
      <c r="K36" s="39"/>
    </row>
    <row r="37" spans="1:11">
      <c r="A37" s="11"/>
      <c r="B37" s="22" t="s">
        <v>1281</v>
      </c>
      <c r="C37" s="10" t="s">
        <v>1282</v>
      </c>
      <c r="D37" s="33"/>
      <c r="E37" s="33"/>
      <c r="F37" s="33"/>
      <c r="G37" s="33"/>
      <c r="H37" s="33"/>
      <c r="I37" s="33"/>
      <c r="J37" s="33"/>
      <c r="K37" s="33"/>
    </row>
    <row r="38" spans="1:11">
      <c r="A38" s="11"/>
      <c r="B38" s="22" t="s">
        <v>1283</v>
      </c>
      <c r="C38" s="10" t="s">
        <v>1284</v>
      </c>
      <c r="D38" s="33"/>
      <c r="E38" s="33"/>
      <c r="F38" s="33"/>
      <c r="G38" s="33"/>
      <c r="H38" s="33"/>
      <c r="I38" s="33"/>
      <c r="J38" s="33"/>
      <c r="K38" s="33"/>
    </row>
    <row r="39" spans="1:11">
      <c r="A39" s="11"/>
      <c r="B39" s="22" t="s">
        <v>1285</v>
      </c>
      <c r="C39" s="10" t="s">
        <v>1286</v>
      </c>
      <c r="D39" s="33"/>
      <c r="E39" s="33"/>
      <c r="F39" s="33"/>
      <c r="G39" s="33"/>
      <c r="H39" s="33"/>
      <c r="I39" s="33"/>
      <c r="J39" s="33"/>
      <c r="K39" s="33"/>
    </row>
    <row r="40" spans="1:11">
      <c r="A40" s="11"/>
      <c r="B40" s="22" t="s">
        <v>1287</v>
      </c>
      <c r="C40" s="10" t="s">
        <v>1288</v>
      </c>
      <c r="D40" s="33"/>
      <c r="E40" s="33"/>
      <c r="F40" s="33"/>
      <c r="G40" s="33"/>
      <c r="H40" s="33"/>
      <c r="I40" s="33"/>
      <c r="J40" s="33"/>
      <c r="K40" s="33"/>
    </row>
    <row r="41" spans="1:11">
      <c r="A41" s="11"/>
      <c r="B41" s="22" t="s">
        <v>1289</v>
      </c>
      <c r="C41" s="10" t="s">
        <v>1290</v>
      </c>
      <c r="D41" s="33"/>
      <c r="E41" s="33"/>
      <c r="F41" s="33"/>
      <c r="G41" s="33"/>
      <c r="H41" s="33"/>
      <c r="I41" s="33"/>
      <c r="J41" s="33"/>
      <c r="K41" s="33"/>
    </row>
    <row r="42" spans="1:11">
      <c r="A42" s="11"/>
      <c r="B42" s="22" t="s">
        <v>1291</v>
      </c>
      <c r="C42" s="10" t="s">
        <v>1292</v>
      </c>
      <c r="D42" s="33"/>
      <c r="E42" s="33"/>
      <c r="F42" s="33"/>
      <c r="G42" s="33"/>
      <c r="H42" s="33"/>
      <c r="I42" s="33"/>
      <c r="J42" s="33"/>
      <c r="K42" s="33"/>
    </row>
    <row r="43" spans="1:11">
      <c r="A43" s="11"/>
      <c r="B43" s="22" t="s">
        <v>1293</v>
      </c>
      <c r="C43" s="10" t="s">
        <v>1294</v>
      </c>
      <c r="D43" s="33"/>
      <c r="E43" s="33"/>
      <c r="F43" s="33"/>
      <c r="G43" s="33"/>
      <c r="H43" s="33"/>
      <c r="I43" s="33"/>
      <c r="J43" s="33"/>
      <c r="K43" s="33"/>
    </row>
    <row r="44" spans="1:11">
      <c r="A44" s="11"/>
      <c r="B44" s="11"/>
      <c r="C44" s="11"/>
      <c r="D44" s="33"/>
      <c r="E44" s="33"/>
      <c r="F44" s="33"/>
      <c r="G44" s="33"/>
      <c r="H44" s="33"/>
      <c r="I44" s="33"/>
      <c r="J44" s="33"/>
      <c r="K44" s="33"/>
    </row>
    <row r="45" spans="1:11">
      <c r="A45" s="18" t="s">
        <v>1295</v>
      </c>
      <c r="B45" s="18"/>
      <c r="C45" s="18"/>
      <c r="D45" s="39"/>
      <c r="E45" s="39"/>
      <c r="F45" s="39"/>
      <c r="G45" s="39"/>
      <c r="H45" s="39"/>
      <c r="I45" s="39"/>
      <c r="J45" s="39"/>
      <c r="K45" s="39"/>
    </row>
    <row r="46" spans="1:11">
      <c r="A46" s="11"/>
      <c r="B46" s="22" t="s">
        <v>1296</v>
      </c>
      <c r="C46" s="22" t="s">
        <v>1297</v>
      </c>
      <c r="D46" s="22" t="s">
        <v>1298</v>
      </c>
      <c r="E46" s="37" t="s">
        <v>1299</v>
      </c>
      <c r="F46" s="22" t="s">
        <v>1300</v>
      </c>
      <c r="G46" s="22" t="s">
        <v>1301</v>
      </c>
      <c r="H46" s="33"/>
      <c r="I46" s="33"/>
      <c r="J46" s="33"/>
      <c r="K46" s="33"/>
    </row>
    <row r="47" spans="1:11">
      <c r="A47" s="11"/>
      <c r="B47" s="11" t="s">
        <v>1302</v>
      </c>
      <c r="C47" s="69">
        <v>9.5</v>
      </c>
      <c r="D47" s="95">
        <v>8</v>
      </c>
      <c r="E47" s="81">
        <v>0.62</v>
      </c>
      <c r="F47" s="63">
        <f t="shared" ref="F47:F52" si="0">$C47*$E47</f>
        <v>5.89</v>
      </c>
      <c r="G47" s="63">
        <f t="shared" ref="G47:G52" si="1">$D47*$E47</f>
        <v>4.96</v>
      </c>
      <c r="H47" s="33"/>
      <c r="I47" s="33"/>
      <c r="J47" s="33"/>
      <c r="K47" s="33"/>
    </row>
    <row r="48" spans="1:11">
      <c r="A48" s="11"/>
      <c r="B48" s="11" t="s">
        <v>1303</v>
      </c>
      <c r="C48" s="69">
        <v>18.5</v>
      </c>
      <c r="D48" s="95">
        <v>16</v>
      </c>
      <c r="E48" s="81">
        <v>0.12</v>
      </c>
      <c r="F48" s="63">
        <f t="shared" si="0"/>
        <v>2.2199999999999998</v>
      </c>
      <c r="G48" s="63">
        <f t="shared" si="1"/>
        <v>1.92</v>
      </c>
      <c r="H48" s="33"/>
      <c r="I48" s="33"/>
      <c r="J48" s="33"/>
      <c r="K48" s="33"/>
    </row>
    <row r="49" spans="1:11">
      <c r="A49" s="11"/>
      <c r="B49" s="11" t="s">
        <v>1304</v>
      </c>
      <c r="C49" s="95">
        <v>24</v>
      </c>
      <c r="D49" s="95">
        <v>21</v>
      </c>
      <c r="E49" s="81">
        <v>0.13</v>
      </c>
      <c r="F49" s="63">
        <f t="shared" si="0"/>
        <v>3.12</v>
      </c>
      <c r="G49" s="63">
        <f t="shared" si="1"/>
        <v>2.73</v>
      </c>
      <c r="H49" s="33"/>
      <c r="I49" s="33"/>
      <c r="J49" s="33"/>
      <c r="K49" s="33"/>
    </row>
    <row r="50" spans="1:11">
      <c r="A50" s="11"/>
      <c r="B50" s="11" t="s">
        <v>1305</v>
      </c>
      <c r="C50" s="95">
        <v>55</v>
      </c>
      <c r="D50" s="95">
        <v>50</v>
      </c>
      <c r="E50" s="81">
        <v>0.09</v>
      </c>
      <c r="F50" s="63">
        <f t="shared" si="0"/>
        <v>4.95</v>
      </c>
      <c r="G50" s="63">
        <f t="shared" si="1"/>
        <v>4.5</v>
      </c>
      <c r="H50" s="33"/>
      <c r="I50" s="33"/>
      <c r="J50" s="33"/>
      <c r="K50" s="33"/>
    </row>
    <row r="51" spans="1:11">
      <c r="A51" s="11"/>
      <c r="B51" s="11" t="s">
        <v>1306</v>
      </c>
      <c r="C51" s="95">
        <v>3</v>
      </c>
      <c r="D51" s="69">
        <v>2.5</v>
      </c>
      <c r="E51" s="81">
        <v>0.03</v>
      </c>
      <c r="F51" s="63">
        <f t="shared" si="0"/>
        <v>0.09</v>
      </c>
      <c r="G51" s="63">
        <f t="shared" si="1"/>
        <v>7.4999999999999997E-2</v>
      </c>
      <c r="H51" s="33"/>
      <c r="I51" s="33"/>
      <c r="J51" s="33"/>
      <c r="K51" s="33"/>
    </row>
    <row r="52" spans="1:11">
      <c r="A52" s="11"/>
      <c r="B52" s="11" t="s">
        <v>1307</v>
      </c>
      <c r="C52" s="95">
        <v>90</v>
      </c>
      <c r="D52" s="95">
        <v>80</v>
      </c>
      <c r="E52" s="81">
        <v>0.01</v>
      </c>
      <c r="F52" s="63">
        <f t="shared" si="0"/>
        <v>0.9</v>
      </c>
      <c r="G52" s="63">
        <f t="shared" si="1"/>
        <v>0.8</v>
      </c>
      <c r="H52" s="33"/>
      <c r="I52" s="33"/>
      <c r="J52" s="33"/>
      <c r="K52" s="33"/>
    </row>
    <row r="53" spans="1:11">
      <c r="A53" s="11"/>
      <c r="B53" s="22" t="s">
        <v>1308</v>
      </c>
      <c r="C53" s="53"/>
      <c r="D53" s="28"/>
      <c r="E53" s="82">
        <f>SUM(E47:E52)</f>
        <v>1</v>
      </c>
      <c r="F53" s="62">
        <f>SUM(F47:F52)</f>
        <v>17.169999999999998</v>
      </c>
      <c r="G53" s="62">
        <f>SUM(G47:G52)</f>
        <v>14.984999999999999</v>
      </c>
      <c r="H53" s="33"/>
      <c r="I53" s="33"/>
      <c r="J53" s="33"/>
      <c r="K53" s="33"/>
    </row>
    <row r="54" spans="1:11">
      <c r="A54" s="11"/>
      <c r="B54" s="25" t="s">
        <v>1309</v>
      </c>
      <c r="C54" s="25"/>
      <c r="D54" s="41"/>
      <c r="E54" s="83">
        <f>E53</f>
        <v>1</v>
      </c>
      <c r="F54" s="41"/>
      <c r="G54" s="41"/>
      <c r="H54" s="33"/>
      <c r="I54" s="33"/>
      <c r="J54" s="33"/>
      <c r="K54" s="33"/>
    </row>
    <row r="55" spans="1:11">
      <c r="A55" s="11"/>
      <c r="B55" s="54" t="s">
        <v>1460</v>
      </c>
      <c r="C55" s="11"/>
      <c r="D55" s="33"/>
      <c r="E55" s="43"/>
      <c r="F55" s="33"/>
      <c r="G55" s="33"/>
      <c r="H55" s="33"/>
      <c r="I55" s="33"/>
      <c r="J55" s="33"/>
      <c r="K55" s="33"/>
    </row>
    <row r="56" spans="1:11">
      <c r="A56" s="11"/>
      <c r="B56" s="54"/>
      <c r="C56" s="11"/>
      <c r="D56" s="33"/>
      <c r="E56" s="43"/>
      <c r="F56" s="33"/>
      <c r="G56" s="33"/>
      <c r="H56" s="33"/>
      <c r="I56" s="33"/>
      <c r="J56" s="33"/>
      <c r="K56" s="33"/>
    </row>
    <row r="57" spans="1:11">
      <c r="A57" s="18" t="s">
        <v>1310</v>
      </c>
      <c r="B57" s="18"/>
      <c r="C57" s="18"/>
      <c r="D57" s="39"/>
      <c r="E57" s="39"/>
      <c r="F57" s="39"/>
      <c r="G57" s="39"/>
      <c r="H57" s="39"/>
      <c r="I57" s="39"/>
      <c r="J57" s="39"/>
      <c r="K57" s="39"/>
    </row>
    <row r="58" spans="1:11">
      <c r="A58" s="11"/>
      <c r="B58" s="22" t="s">
        <v>714</v>
      </c>
      <c r="C58" s="22" t="s">
        <v>1246</v>
      </c>
      <c r="D58" s="22" t="s">
        <v>1311</v>
      </c>
      <c r="E58" s="37" t="s">
        <v>1312</v>
      </c>
      <c r="F58" s="22" t="s">
        <v>1313</v>
      </c>
      <c r="G58" s="22" t="s">
        <v>1314</v>
      </c>
      <c r="H58" s="33"/>
      <c r="I58" s="33"/>
      <c r="J58" s="33"/>
      <c r="K58" s="33"/>
    </row>
    <row r="59" spans="1:11">
      <c r="A59" s="11"/>
      <c r="B59" s="11" t="s">
        <v>1315</v>
      </c>
      <c r="C59" s="90">
        <v>20</v>
      </c>
      <c r="D59" s="90">
        <f>$C59*1000000*$F$53/1000</f>
        <v>343399.99999999994</v>
      </c>
      <c r="E59" s="101">
        <f>D59*0.01</f>
        <v>3433.9999999999995</v>
      </c>
      <c r="F59" s="90">
        <f>D59*0.02</f>
        <v>6867.9999999999991</v>
      </c>
      <c r="G59" s="90">
        <f>D59*0.03</f>
        <v>10301.999999999998</v>
      </c>
      <c r="H59" s="33"/>
      <c r="I59" s="33"/>
      <c r="J59" s="33"/>
      <c r="K59" s="33"/>
    </row>
    <row r="60" spans="1:11">
      <c r="A60" s="11"/>
      <c r="B60" s="11" t="s">
        <v>1316</v>
      </c>
      <c r="C60" s="63">
        <v>7.8</v>
      </c>
      <c r="D60" s="90">
        <f>$C60*1000000*$F$53/1000</f>
        <v>133925.99999999997</v>
      </c>
      <c r="E60" s="101">
        <f>D60*0.01</f>
        <v>1339.2599999999998</v>
      </c>
      <c r="F60" s="90">
        <f>D60*0.02</f>
        <v>2678.5199999999995</v>
      </c>
      <c r="G60" s="90">
        <f>D60*0.03</f>
        <v>4017.7799999999988</v>
      </c>
      <c r="H60" s="33"/>
      <c r="I60" s="33"/>
      <c r="J60" s="33"/>
      <c r="K60" s="33"/>
    </row>
    <row r="61" spans="1:11">
      <c r="A61" s="11"/>
      <c r="B61" s="22" t="s">
        <v>1317</v>
      </c>
      <c r="C61" s="62">
        <f>SUM(C59:C60)</f>
        <v>27.8</v>
      </c>
      <c r="D61" s="89">
        <f>SUM(D59:D60)</f>
        <v>477325.99999999988</v>
      </c>
      <c r="E61" s="104">
        <f>SUM(E59:E60)</f>
        <v>4773.2599999999993</v>
      </c>
      <c r="F61" s="89">
        <f>SUM(F59:F60)</f>
        <v>9546.5199999999986</v>
      </c>
      <c r="G61" s="89">
        <f>SUM(G59:G60)</f>
        <v>14319.779999999997</v>
      </c>
      <c r="H61" s="33"/>
      <c r="I61" s="33"/>
      <c r="J61" s="33"/>
      <c r="K61" s="33"/>
    </row>
    <row r="62" spans="1:11">
      <c r="A62" s="11"/>
      <c r="B62" s="22" t="s">
        <v>1318</v>
      </c>
      <c r="C62" s="105">
        <v>75</v>
      </c>
      <c r="D62" s="89">
        <f>$C62*1000000*$F$53/1000</f>
        <v>1287749.9999999998</v>
      </c>
      <c r="E62" s="104">
        <f>D62*0.01</f>
        <v>12877.499999999998</v>
      </c>
      <c r="F62" s="89">
        <f>D62*0.02</f>
        <v>25754.999999999996</v>
      </c>
      <c r="G62" s="89">
        <f>D62*0.03</f>
        <v>38632.499999999993</v>
      </c>
      <c r="H62" s="33"/>
      <c r="I62" s="33"/>
      <c r="J62" s="33"/>
      <c r="K62" s="33"/>
    </row>
    <row r="63" spans="1:11">
      <c r="A63" s="11"/>
      <c r="B63" s="22" t="s">
        <v>1319</v>
      </c>
      <c r="C63" s="85">
        <v>96.31</v>
      </c>
      <c r="D63" s="89">
        <f>$C63*1000000*$F$53/1000</f>
        <v>1653642.6999999997</v>
      </c>
      <c r="E63" s="104">
        <f>D63*0.01</f>
        <v>16536.426999999996</v>
      </c>
      <c r="F63" s="89">
        <f>D63*0.02</f>
        <v>33072.853999999992</v>
      </c>
      <c r="G63" s="89">
        <f>D63*0.03</f>
        <v>49609.280999999988</v>
      </c>
      <c r="H63" s="33"/>
      <c r="I63" s="33"/>
      <c r="J63" s="33"/>
      <c r="K63" s="33"/>
    </row>
    <row r="64" spans="1:11">
      <c r="A64" s="11"/>
      <c r="B64" s="11"/>
      <c r="C64" s="11"/>
      <c r="D64" s="33"/>
      <c r="E64" s="43"/>
      <c r="F64" s="33"/>
      <c r="G64" s="33"/>
      <c r="H64" s="33"/>
      <c r="I64" s="33"/>
      <c r="J64" s="33"/>
      <c r="K64" s="33"/>
    </row>
    <row r="65" spans="1:11">
      <c r="A65" s="18" t="s">
        <v>1320</v>
      </c>
      <c r="B65" s="18"/>
      <c r="C65" s="18"/>
      <c r="D65" s="39"/>
      <c r="E65" s="39"/>
      <c r="F65" s="39"/>
      <c r="G65" s="39"/>
      <c r="H65" s="39"/>
      <c r="I65" s="39"/>
      <c r="J65" s="39"/>
      <c r="K65" s="39"/>
    </row>
    <row r="66" spans="1:11">
      <c r="A66" s="11"/>
      <c r="B66" s="11" t="s">
        <v>1321</v>
      </c>
      <c r="C66" s="11"/>
      <c r="D66" s="66">
        <f>F53</f>
        <v>17.169999999999998</v>
      </c>
      <c r="E66" s="10" t="s">
        <v>1322</v>
      </c>
      <c r="F66" s="33"/>
      <c r="G66" s="33"/>
      <c r="H66" s="33"/>
      <c r="I66" s="33"/>
      <c r="J66" s="33"/>
      <c r="K66" s="33"/>
    </row>
    <row r="67" spans="1:11">
      <c r="A67" s="11"/>
      <c r="B67" s="11" t="s">
        <v>1323</v>
      </c>
      <c r="C67" s="11"/>
      <c r="D67" s="66">
        <f>G53</f>
        <v>14.984999999999999</v>
      </c>
      <c r="E67" s="10" t="s">
        <v>1322</v>
      </c>
      <c r="F67" s="33"/>
      <c r="G67" s="33"/>
      <c r="H67" s="33"/>
      <c r="I67" s="33"/>
      <c r="J67" s="33"/>
      <c r="K67" s="33"/>
    </row>
    <row r="68" spans="1:11">
      <c r="A68" s="11"/>
      <c r="B68" s="11" t="s">
        <v>1324</v>
      </c>
      <c r="C68" s="11"/>
      <c r="D68" s="92">
        <f>F62</f>
        <v>25754.999999999996</v>
      </c>
      <c r="E68" s="10" t="s">
        <v>68</v>
      </c>
      <c r="F68" s="33"/>
      <c r="G68" s="33"/>
      <c r="H68" s="33"/>
      <c r="I68" s="33"/>
      <c r="J68" s="33"/>
      <c r="K68" s="33"/>
    </row>
    <row r="69" spans="1:11">
      <c r="A69" s="11"/>
      <c r="B69" s="11" t="s">
        <v>1451</v>
      </c>
      <c r="C69" s="11"/>
      <c r="D69" s="93">
        <f>D98</f>
        <v>500000</v>
      </c>
      <c r="E69" s="10" t="s">
        <v>68</v>
      </c>
      <c r="F69" s="33"/>
      <c r="G69" s="33"/>
      <c r="H69" s="33"/>
      <c r="I69" s="33"/>
      <c r="J69" s="33"/>
      <c r="K69" s="33"/>
    </row>
    <row r="70" spans="1:11">
      <c r="A70" s="11"/>
      <c r="B70" s="11" t="s">
        <v>1325</v>
      </c>
      <c r="C70" s="11"/>
      <c r="D70" s="19">
        <v>0.55000000000000004</v>
      </c>
      <c r="E70" s="10" t="s">
        <v>1326</v>
      </c>
      <c r="F70" s="33"/>
      <c r="G70" s="33"/>
      <c r="H70" s="33"/>
      <c r="I70" s="33"/>
      <c r="J70" s="33"/>
      <c r="K70" s="33"/>
    </row>
    <row r="71" spans="1:11">
      <c r="A71" s="11"/>
      <c r="B71" s="11" t="s">
        <v>1327</v>
      </c>
      <c r="C71" s="11"/>
      <c r="D71" s="92">
        <f>D69*D70</f>
        <v>275000</v>
      </c>
      <c r="E71" s="10" t="s">
        <v>68</v>
      </c>
      <c r="F71" s="33"/>
      <c r="G71" s="33"/>
      <c r="H71" s="33"/>
      <c r="I71" s="33"/>
      <c r="J71" s="33"/>
      <c r="K71" s="33"/>
    </row>
    <row r="72" spans="1:11">
      <c r="A72" s="11"/>
      <c r="B72" s="11" t="s">
        <v>1328</v>
      </c>
      <c r="C72" s="11"/>
      <c r="D72" s="19">
        <v>0.6</v>
      </c>
      <c r="E72" s="10" t="s">
        <v>1329</v>
      </c>
      <c r="F72" s="33"/>
      <c r="G72" s="33"/>
      <c r="H72" s="33"/>
      <c r="I72" s="33"/>
      <c r="J72" s="33"/>
      <c r="K72" s="33"/>
    </row>
    <row r="73" spans="1:11">
      <c r="A73" s="11"/>
      <c r="B73" s="11" t="s">
        <v>1330</v>
      </c>
      <c r="C73" s="11"/>
      <c r="D73" s="92">
        <f>D71*D72</f>
        <v>165000</v>
      </c>
      <c r="E73" s="10" t="s">
        <v>68</v>
      </c>
      <c r="F73" s="33"/>
      <c r="G73" s="33"/>
      <c r="H73" s="33"/>
      <c r="I73" s="33"/>
      <c r="J73" s="33"/>
      <c r="K73" s="33"/>
    </row>
    <row r="74" spans="1:11">
      <c r="A74" s="11"/>
      <c r="B74" s="22" t="s">
        <v>1331</v>
      </c>
      <c r="C74" s="22"/>
      <c r="D74" s="97">
        <f>D68+D73</f>
        <v>190755</v>
      </c>
      <c r="E74" s="37" t="s">
        <v>68</v>
      </c>
      <c r="F74" s="33"/>
      <c r="G74" s="33"/>
      <c r="H74" s="33"/>
      <c r="I74" s="33"/>
      <c r="J74" s="33"/>
      <c r="K74" s="33"/>
    </row>
    <row r="75" spans="1:11">
      <c r="A75" s="11"/>
      <c r="B75" s="11" t="s">
        <v>1332</v>
      </c>
      <c r="C75" s="11"/>
      <c r="D75" s="92">
        <f>'01 Major Assumptions'!$D$33</f>
        <v>40920</v>
      </c>
      <c r="E75" s="10" t="s">
        <v>68</v>
      </c>
      <c r="F75" s="33"/>
      <c r="G75" s="33"/>
      <c r="H75" s="33"/>
      <c r="I75" s="33"/>
      <c r="J75" s="33"/>
      <c r="K75" s="33"/>
    </row>
    <row r="76" spans="1:11">
      <c r="A76" s="11"/>
      <c r="B76" s="11" t="s">
        <v>1333</v>
      </c>
      <c r="C76" s="11"/>
      <c r="D76" s="16">
        <f>D75/D74</f>
        <v>0.21451600220177716</v>
      </c>
      <c r="E76" s="43"/>
      <c r="F76" s="33"/>
      <c r="G76" s="33"/>
      <c r="H76" s="33"/>
      <c r="I76" s="33"/>
      <c r="J76" s="33"/>
      <c r="K76" s="33"/>
    </row>
    <row r="77" spans="1:11">
      <c r="A77" s="11"/>
      <c r="B77" s="11" t="s">
        <v>1334</v>
      </c>
      <c r="C77" s="11"/>
      <c r="D77" s="16">
        <f>D75/D69</f>
        <v>8.1839999999999996E-2</v>
      </c>
      <c r="E77" s="43"/>
      <c r="F77" s="33"/>
      <c r="G77" s="33"/>
      <c r="H77" s="33"/>
      <c r="I77" s="33"/>
      <c r="J77" s="33"/>
      <c r="K77" s="33"/>
    </row>
    <row r="78" spans="1:11">
      <c r="A78" s="11"/>
      <c r="B78" s="11" t="s">
        <v>1335</v>
      </c>
      <c r="C78" s="11"/>
      <c r="D78" s="66">
        <f>D74/D75</f>
        <v>4.6616568914956016</v>
      </c>
      <c r="E78" s="10" t="s">
        <v>1336</v>
      </c>
      <c r="F78" s="33"/>
      <c r="G78" s="33"/>
      <c r="H78" s="33"/>
      <c r="I78" s="33"/>
      <c r="J78" s="33"/>
      <c r="K78" s="33"/>
    </row>
    <row r="79" spans="1:11">
      <c r="A79" s="11"/>
      <c r="B79" s="11" t="s">
        <v>1337</v>
      </c>
      <c r="C79" s="11"/>
      <c r="D79" s="92">
        <f>D74-D75</f>
        <v>149835</v>
      </c>
      <c r="E79" s="10" t="s">
        <v>68</v>
      </c>
      <c r="F79" s="33"/>
      <c r="G79" s="33"/>
      <c r="H79" s="33"/>
      <c r="I79" s="33"/>
      <c r="J79" s="33"/>
      <c r="K79" s="33"/>
    </row>
    <row r="80" spans="1:11">
      <c r="A80" s="11"/>
      <c r="B80" s="22" t="s">
        <v>950</v>
      </c>
      <c r="C80" s="22"/>
      <c r="D80" s="88" t="str">
        <f>IF(D76&lt;=0.5,"Comfortable — the plant absorbs "&amp;TEXT(D76,"0.0%")&amp;" of the accessible pool, leaving room for "&amp;TEXT(D78-1,"#,##0.0")&amp;" further plants of this size",IF(D76&lt;=0.8,"Tight — the plant absorbs "&amp;TEXT(D76,"0.0%")&amp;" of the accessible pool; feedstock competition would move price","Not feasible on the accessible pool as modelled"))</f>
        <v>Comfortable — the plant absorbs 21.5% of the accessible pool, leaving room for 3.7 further plants of this size</v>
      </c>
      <c r="E80" s="8"/>
      <c r="F80" s="33"/>
      <c r="G80" s="33"/>
      <c r="H80" s="33"/>
      <c r="I80" s="33"/>
      <c r="J80" s="33"/>
      <c r="K80" s="33"/>
    </row>
    <row r="81" spans="1:11">
      <c r="A81" s="11"/>
      <c r="B81" s="1" t="s">
        <v>1338</v>
      </c>
      <c r="C81" s="11"/>
      <c r="D81" s="33"/>
      <c r="E81" s="43"/>
      <c r="F81" s="33"/>
      <c r="G81" s="33"/>
      <c r="H81" s="33"/>
      <c r="I81" s="33"/>
      <c r="J81" s="33"/>
      <c r="K81" s="33"/>
    </row>
    <row r="82" spans="1:11">
      <c r="A82" s="11"/>
      <c r="B82" s="11"/>
      <c r="C82" s="11"/>
      <c r="D82" s="33"/>
      <c r="E82" s="33"/>
      <c r="F82" s="33"/>
      <c r="G82" s="33"/>
      <c r="H82" s="33"/>
      <c r="I82" s="33"/>
      <c r="J82" s="33"/>
      <c r="K82" s="33"/>
    </row>
    <row r="83" spans="1:11">
      <c r="A83" s="18" t="s">
        <v>1362</v>
      </c>
      <c r="B83" s="18"/>
      <c r="C83" s="18"/>
      <c r="D83" s="39"/>
      <c r="E83" s="39"/>
      <c r="F83" s="39"/>
      <c r="G83" s="39"/>
      <c r="H83" s="39"/>
      <c r="I83" s="39"/>
      <c r="J83" s="39"/>
      <c r="K83" s="39"/>
    </row>
    <row r="84" spans="1:11">
      <c r="A84" s="11"/>
      <c r="B84" s="22" t="s">
        <v>12</v>
      </c>
      <c r="C84" s="22" t="s">
        <v>1219</v>
      </c>
      <c r="D84" s="22" t="s">
        <v>5</v>
      </c>
      <c r="E84" s="22" t="s">
        <v>1220</v>
      </c>
      <c r="F84" s="33"/>
      <c r="G84" s="33"/>
      <c r="H84" s="33"/>
      <c r="I84" s="33"/>
      <c r="J84" s="33"/>
      <c r="K84" s="33"/>
    </row>
    <row r="85" spans="1:11">
      <c r="A85" s="11"/>
      <c r="B85" s="22" t="s">
        <v>1363</v>
      </c>
      <c r="C85" s="11"/>
      <c r="D85" s="92">
        <f>C62</f>
        <v>75</v>
      </c>
      <c r="E85" s="10" t="s">
        <v>1364</v>
      </c>
      <c r="F85" s="10" t="s">
        <v>1365</v>
      </c>
      <c r="G85" s="33"/>
      <c r="H85" s="33"/>
      <c r="I85" s="33"/>
      <c r="J85" s="33"/>
      <c r="K85" s="33"/>
    </row>
    <row r="86" spans="1:11">
      <c r="A86" s="11"/>
      <c r="B86" s="22" t="s">
        <v>1366</v>
      </c>
      <c r="C86" s="11"/>
      <c r="D86" s="69">
        <v>58.3</v>
      </c>
      <c r="E86" s="10" t="s">
        <v>1364</v>
      </c>
      <c r="F86" s="10" t="s">
        <v>1367</v>
      </c>
      <c r="G86" s="33"/>
      <c r="H86" s="33"/>
      <c r="I86" s="33"/>
      <c r="J86" s="33"/>
      <c r="K86" s="33"/>
    </row>
    <row r="87" spans="1:11">
      <c r="A87" s="11"/>
      <c r="B87" s="22" t="s">
        <v>1368</v>
      </c>
      <c r="C87" s="11"/>
      <c r="D87" s="19">
        <v>0.26</v>
      </c>
      <c r="E87" s="10" t="s">
        <v>1369</v>
      </c>
      <c r="F87" s="10" t="s">
        <v>1367</v>
      </c>
      <c r="G87" s="33"/>
      <c r="H87" s="33"/>
      <c r="I87" s="33"/>
      <c r="J87" s="33"/>
      <c r="K87" s="33"/>
    </row>
    <row r="88" spans="1:11">
      <c r="A88" s="11"/>
      <c r="B88" s="22" t="s">
        <v>1370</v>
      </c>
      <c r="C88" s="11"/>
      <c r="D88" s="95">
        <v>42</v>
      </c>
      <c r="E88" s="10" t="s">
        <v>1364</v>
      </c>
      <c r="F88" s="10" t="s">
        <v>1371</v>
      </c>
      <c r="G88" s="33"/>
      <c r="H88" s="33"/>
      <c r="I88" s="33"/>
      <c r="J88" s="33"/>
      <c r="K88" s="33"/>
    </row>
    <row r="89" spans="1:11">
      <c r="A89" s="11"/>
      <c r="B89" s="22" t="s">
        <v>1372</v>
      </c>
      <c r="C89" s="11"/>
      <c r="D89" s="19">
        <v>0.8</v>
      </c>
      <c r="E89" s="10" t="s">
        <v>1369</v>
      </c>
      <c r="F89" s="10" t="s">
        <v>1373</v>
      </c>
      <c r="G89" s="33"/>
      <c r="H89" s="33"/>
      <c r="I89" s="33"/>
      <c r="J89" s="33"/>
      <c r="K89" s="33"/>
    </row>
    <row r="90" spans="1:11">
      <c r="A90" s="11"/>
      <c r="B90" s="22" t="s">
        <v>1374</v>
      </c>
      <c r="C90" s="11"/>
      <c r="D90" s="92">
        <f>D85*D89</f>
        <v>60</v>
      </c>
      <c r="E90" s="10" t="s">
        <v>1364</v>
      </c>
      <c r="F90" s="10" t="s">
        <v>1234</v>
      </c>
      <c r="G90" s="33"/>
      <c r="H90" s="33"/>
      <c r="I90" s="33"/>
      <c r="J90" s="33"/>
      <c r="K90" s="33"/>
    </row>
    <row r="91" spans="1:11">
      <c r="A91" s="11"/>
      <c r="B91" s="22" t="s">
        <v>1375</v>
      </c>
      <c r="C91" s="11"/>
      <c r="D91" s="92">
        <f>D85-D90</f>
        <v>15</v>
      </c>
      <c r="E91" s="10" t="s">
        <v>1364</v>
      </c>
      <c r="F91" s="10" t="s">
        <v>1234</v>
      </c>
      <c r="G91" s="33"/>
      <c r="H91" s="33"/>
      <c r="I91" s="33"/>
      <c r="J91" s="33"/>
      <c r="K91" s="33"/>
    </row>
    <row r="92" spans="1:11">
      <c r="A92" s="11"/>
      <c r="B92" s="22" t="s">
        <v>1376</v>
      </c>
      <c r="C92" s="11"/>
      <c r="D92" s="95">
        <v>8</v>
      </c>
      <c r="E92" s="10" t="s">
        <v>1364</v>
      </c>
      <c r="F92" s="10" t="s">
        <v>1377</v>
      </c>
      <c r="G92" s="33"/>
      <c r="H92" s="33"/>
      <c r="I92" s="33"/>
      <c r="J92" s="33"/>
      <c r="K92" s="33"/>
    </row>
    <row r="93" spans="1:11">
      <c r="A93" s="11"/>
      <c r="B93" s="22" t="s">
        <v>1378</v>
      </c>
      <c r="C93" s="11"/>
      <c r="D93" s="92">
        <f>D91+D92</f>
        <v>23</v>
      </c>
      <c r="E93" s="10" t="s">
        <v>1364</v>
      </c>
      <c r="F93" s="10" t="s">
        <v>1234</v>
      </c>
      <c r="G93" s="33"/>
      <c r="H93" s="33"/>
      <c r="I93" s="33"/>
      <c r="J93" s="33"/>
      <c r="K93" s="33"/>
    </row>
    <row r="94" spans="1:11">
      <c r="A94" s="11"/>
      <c r="B94" s="22" t="s">
        <v>1379</v>
      </c>
      <c r="C94" s="11"/>
      <c r="D94" s="92">
        <f>D93*1000000*$G$53/1000</f>
        <v>344655</v>
      </c>
      <c r="E94" s="10" t="s">
        <v>1380</v>
      </c>
      <c r="F94" s="10" t="s">
        <v>1381</v>
      </c>
      <c r="G94" s="33"/>
      <c r="H94" s="33"/>
      <c r="I94" s="33"/>
      <c r="J94" s="33"/>
      <c r="K94" s="33"/>
    </row>
    <row r="95" spans="1:11">
      <c r="A95" s="11"/>
      <c r="B95" s="22" t="s">
        <v>1382</v>
      </c>
      <c r="C95" s="11"/>
      <c r="D95" s="69">
        <v>1.84</v>
      </c>
      <c r="E95" s="10" t="s">
        <v>1383</v>
      </c>
      <c r="F95" s="10" t="s">
        <v>1384</v>
      </c>
      <c r="G95" s="33"/>
      <c r="H95" s="33"/>
      <c r="I95" s="33"/>
      <c r="J95" s="33"/>
      <c r="K95" s="33"/>
    </row>
    <row r="96" spans="1:11">
      <c r="A96" s="11"/>
      <c r="B96" s="22" t="s">
        <v>1385</v>
      </c>
      <c r="C96" s="11"/>
      <c r="D96" s="69">
        <v>3.51</v>
      </c>
      <c r="E96" s="10" t="s">
        <v>1386</v>
      </c>
      <c r="F96" s="10" t="s">
        <v>1387</v>
      </c>
      <c r="G96" s="33"/>
      <c r="H96" s="33"/>
      <c r="I96" s="33"/>
      <c r="J96" s="33"/>
      <c r="K96" s="33"/>
    </row>
    <row r="97" spans="1:11">
      <c r="A97" s="11"/>
      <c r="B97" s="22" t="s">
        <v>1388</v>
      </c>
      <c r="C97" s="11"/>
      <c r="D97" s="69">
        <v>5.04</v>
      </c>
      <c r="E97" s="10" t="s">
        <v>1386</v>
      </c>
      <c r="F97" s="10" t="s">
        <v>1389</v>
      </c>
      <c r="G97" s="33"/>
      <c r="H97" s="33"/>
      <c r="I97" s="33"/>
      <c r="J97" s="33"/>
      <c r="K97" s="33"/>
    </row>
    <row r="98" spans="1:11">
      <c r="A98" s="11"/>
      <c r="B98" s="22" t="s">
        <v>1452</v>
      </c>
      <c r="C98" s="11"/>
      <c r="D98" s="95">
        <v>500000</v>
      </c>
      <c r="E98" s="10" t="s">
        <v>1380</v>
      </c>
      <c r="F98" s="10" t="s">
        <v>1453</v>
      </c>
      <c r="G98" s="33"/>
      <c r="H98" s="33"/>
      <c r="I98" s="33"/>
      <c r="J98" s="33"/>
      <c r="K98" s="33"/>
    </row>
    <row r="99" spans="1:11">
      <c r="A99" s="11"/>
      <c r="B99" s="22" t="s">
        <v>1390</v>
      </c>
      <c r="C99" s="11"/>
      <c r="D99" s="19">
        <v>0.05</v>
      </c>
      <c r="E99" s="10" t="s">
        <v>171</v>
      </c>
      <c r="F99" s="10" t="s">
        <v>1454</v>
      </c>
      <c r="G99" s="33"/>
      <c r="H99" s="33"/>
      <c r="I99" s="33"/>
      <c r="J99" s="33"/>
      <c r="K99" s="33"/>
    </row>
    <row r="100" spans="1:11">
      <c r="A100" s="11"/>
      <c r="B100" s="22" t="s">
        <v>1391</v>
      </c>
      <c r="C100" s="11"/>
      <c r="D100" s="95">
        <v>600000</v>
      </c>
      <c r="E100" s="10" t="s">
        <v>1380</v>
      </c>
      <c r="F100" s="10" t="s">
        <v>1392</v>
      </c>
      <c r="G100" s="33"/>
      <c r="H100" s="33"/>
      <c r="I100" s="33"/>
      <c r="J100" s="33"/>
      <c r="K100" s="33"/>
    </row>
    <row r="101" spans="1:11">
      <c r="A101" s="11"/>
      <c r="B101" s="22" t="s">
        <v>1393</v>
      </c>
      <c r="C101" s="11"/>
      <c r="D101" s="66">
        <f>D94/D98</f>
        <v>0.68930999999999998</v>
      </c>
      <c r="E101" s="10" t="s">
        <v>1394</v>
      </c>
      <c r="F101" s="10" t="s">
        <v>1395</v>
      </c>
      <c r="G101" s="33"/>
      <c r="H101" s="33"/>
      <c r="I101" s="33"/>
      <c r="J101" s="33"/>
      <c r="K101" s="33"/>
    </row>
    <row r="102" spans="1:11">
      <c r="A102" s="11"/>
      <c r="B102" s="11"/>
      <c r="C102" s="11"/>
      <c r="D102" s="33"/>
      <c r="E102" s="33"/>
      <c r="F102" s="33"/>
      <c r="G102" s="33"/>
      <c r="H102" s="33"/>
      <c r="I102" s="33"/>
      <c r="J102" s="33"/>
      <c r="K102" s="33"/>
    </row>
    <row r="103" spans="1:11">
      <c r="A103" s="18" t="s">
        <v>1396</v>
      </c>
      <c r="B103" s="18"/>
      <c r="C103" s="18"/>
      <c r="D103" s="39"/>
      <c r="E103" s="39"/>
      <c r="F103" s="39"/>
      <c r="G103" s="39"/>
      <c r="H103" s="39"/>
      <c r="I103" s="39"/>
      <c r="J103" s="39"/>
      <c r="K103" s="39"/>
    </row>
    <row r="104" spans="1:11">
      <c r="A104" s="11"/>
      <c r="B104" s="22" t="s">
        <v>1397</v>
      </c>
      <c r="C104" s="10" t="s">
        <v>1398</v>
      </c>
      <c r="D104" s="33"/>
      <c r="E104" s="33"/>
      <c r="F104" s="33"/>
      <c r="G104" s="33"/>
      <c r="H104" s="33"/>
      <c r="I104" s="33"/>
      <c r="J104" s="33"/>
      <c r="K104" s="33"/>
    </row>
    <row r="105" spans="1:11">
      <c r="A105" s="11"/>
      <c r="B105" s="22" t="s">
        <v>1399</v>
      </c>
      <c r="C105" s="10" t="s">
        <v>1400</v>
      </c>
      <c r="D105" s="33"/>
      <c r="E105" s="33"/>
      <c r="F105" s="33"/>
      <c r="G105" s="33"/>
      <c r="H105" s="33"/>
      <c r="I105" s="33"/>
      <c r="J105" s="33"/>
      <c r="K105" s="33"/>
    </row>
    <row r="106" spans="1:11">
      <c r="A106" s="11"/>
      <c r="B106" s="22" t="s">
        <v>1401</v>
      </c>
      <c r="C106" s="10" t="s">
        <v>1455</v>
      </c>
      <c r="D106" s="33"/>
      <c r="E106" s="33"/>
      <c r="F106" s="33"/>
      <c r="G106" s="33"/>
      <c r="H106" s="33"/>
      <c r="I106" s="33"/>
      <c r="J106" s="33"/>
      <c r="K106" s="33"/>
    </row>
    <row r="107" spans="1:11">
      <c r="A107" s="11"/>
      <c r="B107" s="22" t="s">
        <v>1402</v>
      </c>
      <c r="C107" s="10" t="s">
        <v>1456</v>
      </c>
      <c r="D107" s="33"/>
      <c r="E107" s="33"/>
      <c r="F107" s="33"/>
      <c r="G107" s="33"/>
      <c r="H107" s="33"/>
      <c r="I107" s="33"/>
      <c r="J107" s="33"/>
      <c r="K107" s="33"/>
    </row>
    <row r="108" spans="1:11">
      <c r="A108" s="11"/>
      <c r="B108" s="22" t="s">
        <v>1458</v>
      </c>
      <c r="C108" s="10" t="s">
        <v>1459</v>
      </c>
      <c r="D108" s="33"/>
      <c r="E108" s="33"/>
      <c r="F108" s="33"/>
      <c r="G108" s="33"/>
      <c r="H108" s="33"/>
      <c r="I108" s="33"/>
      <c r="J108" s="33"/>
      <c r="K108" s="33"/>
    </row>
    <row r="109" spans="1:11">
      <c r="A109" s="11"/>
      <c r="B109" s="22" t="s">
        <v>1403</v>
      </c>
      <c r="C109" s="10" t="s">
        <v>1457</v>
      </c>
      <c r="D109" s="33"/>
      <c r="E109" s="33"/>
      <c r="F109" s="33"/>
      <c r="G109" s="33"/>
      <c r="H109" s="33"/>
      <c r="I109" s="33"/>
      <c r="J109" s="33"/>
      <c r="K109" s="33"/>
    </row>
    <row r="110" spans="1:11">
      <c r="A110" s="11"/>
      <c r="B110" s="11"/>
      <c r="C110" s="11"/>
      <c r="D110" s="33"/>
      <c r="E110" s="33"/>
      <c r="F110" s="33"/>
      <c r="G110" s="33"/>
      <c r="H110" s="33"/>
      <c r="I110" s="33"/>
      <c r="J110" s="33"/>
      <c r="K110" s="33"/>
    </row>
    <row r="111" spans="1:11">
      <c r="A111" s="18" t="s">
        <v>1404</v>
      </c>
      <c r="B111" s="18"/>
      <c r="C111" s="18"/>
      <c r="D111" s="39"/>
      <c r="E111" s="39"/>
      <c r="F111" s="39"/>
      <c r="G111" s="39"/>
      <c r="H111" s="39"/>
      <c r="I111" s="39"/>
      <c r="J111" s="39"/>
      <c r="K111" s="39"/>
    </row>
    <row r="112" spans="1:11">
      <c r="A112" s="11"/>
      <c r="B112" s="1" t="s">
        <v>1405</v>
      </c>
      <c r="C112" s="11"/>
      <c r="D112" s="33"/>
      <c r="E112" s="33"/>
      <c r="F112" s="33"/>
      <c r="G112" s="33"/>
      <c r="H112" s="33"/>
      <c r="I112" s="33"/>
      <c r="J112" s="33"/>
      <c r="K112" s="33"/>
    </row>
    <row r="113" spans="1:11">
      <c r="A113" s="11"/>
      <c r="B113" s="22" t="s">
        <v>1406</v>
      </c>
      <c r="C113" s="22" t="s">
        <v>1407</v>
      </c>
      <c r="D113" s="22" t="s">
        <v>1408</v>
      </c>
      <c r="E113" s="22" t="s">
        <v>1409</v>
      </c>
      <c r="F113" s="22" t="s">
        <v>1410</v>
      </c>
      <c r="G113" s="22" t="s">
        <v>1411</v>
      </c>
      <c r="H113" s="22" t="s">
        <v>1412</v>
      </c>
      <c r="I113" s="22" t="s">
        <v>1413</v>
      </c>
      <c r="J113" s="22" t="s">
        <v>1414</v>
      </c>
      <c r="K113" s="33"/>
    </row>
    <row r="114" spans="1:11">
      <c r="A114" s="11"/>
      <c r="B114" s="11" t="s">
        <v>1315</v>
      </c>
      <c r="C114" s="10" t="s">
        <v>1415</v>
      </c>
      <c r="D114" s="90">
        <v>17</v>
      </c>
      <c r="E114" s="90">
        <v>0</v>
      </c>
      <c r="F114" s="90">
        <v>3</v>
      </c>
      <c r="G114" s="90">
        <v>0</v>
      </c>
      <c r="H114" s="90">
        <v>0</v>
      </c>
      <c r="I114" s="90">
        <f t="shared" ref="I114:I119" si="2">(D114*$C$47+E114*$C$49+F114*$C$50+G114*$C$51)*1000000/1000+H114</f>
        <v>326500</v>
      </c>
      <c r="J114" s="10" t="s">
        <v>1416</v>
      </c>
      <c r="K114" s="33"/>
    </row>
    <row r="115" spans="1:11">
      <c r="A115" s="11"/>
      <c r="B115" s="11" t="s">
        <v>1417</v>
      </c>
      <c r="C115" s="10" t="s">
        <v>1418</v>
      </c>
      <c r="D115" s="90">
        <f>0</f>
        <v>0</v>
      </c>
      <c r="E115" s="90">
        <v>0</v>
      </c>
      <c r="F115" s="63">
        <f>10500*$D$121/1000000</f>
        <v>3.6749999999999998</v>
      </c>
      <c r="G115" s="90">
        <v>0</v>
      </c>
      <c r="H115" s="90">
        <v>0</v>
      </c>
      <c r="I115" s="90">
        <f t="shared" si="2"/>
        <v>202125</v>
      </c>
      <c r="J115" s="10" t="s">
        <v>1419</v>
      </c>
      <c r="K115" s="33"/>
    </row>
    <row r="116" spans="1:11">
      <c r="A116" s="11"/>
      <c r="B116" s="11" t="s">
        <v>1420</v>
      </c>
      <c r="C116" s="10" t="s">
        <v>1421</v>
      </c>
      <c r="D116" s="90">
        <v>0</v>
      </c>
      <c r="E116" s="90">
        <v>0</v>
      </c>
      <c r="F116" s="90">
        <v>0</v>
      </c>
      <c r="G116" s="90">
        <v>0</v>
      </c>
      <c r="H116" s="90">
        <f>35*$D$121</f>
        <v>12250</v>
      </c>
      <c r="I116" s="90">
        <f t="shared" si="2"/>
        <v>12250</v>
      </c>
      <c r="J116" s="10" t="s">
        <v>1422</v>
      </c>
      <c r="K116" s="33"/>
    </row>
    <row r="117" spans="1:11">
      <c r="A117" s="11"/>
      <c r="B117" s="11" t="s">
        <v>1423</v>
      </c>
      <c r="C117" s="10" t="s">
        <v>1424</v>
      </c>
      <c r="D117" s="63">
        <v>6.24</v>
      </c>
      <c r="E117" s="63">
        <v>1.56</v>
      </c>
      <c r="F117" s="90">
        <v>0</v>
      </c>
      <c r="G117" s="90">
        <v>0</v>
      </c>
      <c r="H117" s="90">
        <v>0</v>
      </c>
      <c r="I117" s="90">
        <f t="shared" si="2"/>
        <v>96720</v>
      </c>
      <c r="J117" s="10" t="s">
        <v>1425</v>
      </c>
      <c r="K117" s="33"/>
    </row>
    <row r="118" spans="1:11">
      <c r="A118" s="11"/>
      <c r="B118" s="11" t="s">
        <v>1255</v>
      </c>
      <c r="C118" s="10" t="s">
        <v>1426</v>
      </c>
      <c r="D118" s="63">
        <v>5.85</v>
      </c>
      <c r="E118" s="63">
        <v>1.17</v>
      </c>
      <c r="F118" s="90">
        <v>0</v>
      </c>
      <c r="G118" s="63">
        <v>0.78</v>
      </c>
      <c r="H118" s="90">
        <v>0</v>
      </c>
      <c r="I118" s="90">
        <f t="shared" si="2"/>
        <v>85995</v>
      </c>
      <c r="J118" s="10" t="s">
        <v>1427</v>
      </c>
      <c r="K118" s="33"/>
    </row>
    <row r="119" spans="1:11">
      <c r="A119" s="11"/>
      <c r="B119" s="11" t="s">
        <v>1428</v>
      </c>
      <c r="C119" s="10" t="s">
        <v>1429</v>
      </c>
      <c r="D119" s="93">
        <v>12</v>
      </c>
      <c r="E119" s="90">
        <v>0</v>
      </c>
      <c r="F119" s="63">
        <v>1.2</v>
      </c>
      <c r="G119" s="90">
        <v>0</v>
      </c>
      <c r="H119" s="90">
        <v>0</v>
      </c>
      <c r="I119" s="90">
        <f t="shared" si="2"/>
        <v>180000</v>
      </c>
      <c r="J119" s="10" t="s">
        <v>1430</v>
      </c>
      <c r="K119" s="33"/>
    </row>
    <row r="120" spans="1:11">
      <c r="A120" s="11"/>
      <c r="B120" s="22" t="s">
        <v>1431</v>
      </c>
      <c r="C120" s="22"/>
      <c r="D120" s="62">
        <f t="shared" ref="D120:I120" si="3">SUM(D114:D119)</f>
        <v>41.09</v>
      </c>
      <c r="E120" s="62">
        <f t="shared" si="3"/>
        <v>2.73</v>
      </c>
      <c r="F120" s="62">
        <f t="shared" si="3"/>
        <v>7.875</v>
      </c>
      <c r="G120" s="62">
        <f t="shared" si="3"/>
        <v>0.78</v>
      </c>
      <c r="H120" s="89">
        <f t="shared" si="3"/>
        <v>12250</v>
      </c>
      <c r="I120" s="89">
        <f t="shared" si="3"/>
        <v>903590</v>
      </c>
      <c r="J120" s="33"/>
      <c r="K120" s="33"/>
    </row>
    <row r="121" spans="1:11">
      <c r="A121" s="11"/>
      <c r="B121" s="11" t="s">
        <v>1445</v>
      </c>
      <c r="C121" s="11"/>
      <c r="D121" s="95">
        <v>350</v>
      </c>
      <c r="E121" s="10" t="s">
        <v>6</v>
      </c>
      <c r="F121" s="33"/>
      <c r="G121" s="33"/>
      <c r="H121" s="33"/>
      <c r="I121" s="33"/>
      <c r="J121" s="33"/>
      <c r="K121" s="33"/>
    </row>
    <row r="122" spans="1:11">
      <c r="A122" s="11"/>
      <c r="B122" s="11"/>
      <c r="C122" s="11"/>
      <c r="D122" s="11"/>
      <c r="E122" s="10"/>
      <c r="F122" s="33"/>
      <c r="G122" s="33"/>
      <c r="H122" s="33"/>
      <c r="I122" s="33"/>
      <c r="J122" s="33"/>
      <c r="K122" s="33"/>
    </row>
    <row r="123" spans="1:11">
      <c r="A123" s="18" t="s">
        <v>1432</v>
      </c>
      <c r="B123" s="18"/>
      <c r="C123" s="18"/>
      <c r="D123" s="39"/>
      <c r="E123" s="39"/>
      <c r="F123" s="39"/>
      <c r="G123" s="39"/>
      <c r="H123" s="39"/>
      <c r="I123" s="39"/>
      <c r="J123" s="39"/>
      <c r="K123" s="39"/>
    </row>
    <row r="124" spans="1:11">
      <c r="A124" s="11"/>
      <c r="B124" s="22" t="s">
        <v>1433</v>
      </c>
      <c r="C124" s="22" t="s">
        <v>1413</v>
      </c>
      <c r="D124" s="22" t="s">
        <v>1434</v>
      </c>
      <c r="E124" s="22" t="s">
        <v>1435</v>
      </c>
      <c r="F124" s="22" t="s">
        <v>1436</v>
      </c>
      <c r="G124" s="33"/>
      <c r="H124" s="33"/>
      <c r="I124" s="33"/>
      <c r="J124" s="33"/>
      <c r="K124" s="33"/>
    </row>
    <row r="125" spans="1:11">
      <c r="A125" s="11"/>
      <c r="B125" s="11" t="s">
        <v>1437</v>
      </c>
      <c r="C125" s="90">
        <f>(F$120)*$C$50*1000000/1000</f>
        <v>433125</v>
      </c>
      <c r="D125" s="90">
        <f>C125*0.01</f>
        <v>4331.25</v>
      </c>
      <c r="E125" s="90">
        <f>C125*0.02</f>
        <v>8662.5</v>
      </c>
      <c r="F125" s="90">
        <f>C125*0.03</f>
        <v>12993.75</v>
      </c>
      <c r="G125" s="33"/>
      <c r="H125" s="33"/>
      <c r="I125" s="33"/>
      <c r="J125" s="33"/>
      <c r="K125" s="33"/>
    </row>
    <row r="126" spans="1:11">
      <c r="A126" s="11"/>
      <c r="B126" s="11" t="s">
        <v>1438</v>
      </c>
      <c r="C126" s="90">
        <f>(D$120*$C$47+E$120*$C$49+G$120*$C$51)*1000000/1000</f>
        <v>458215</v>
      </c>
      <c r="D126" s="90">
        <f>C126*0.01</f>
        <v>4582.1500000000005</v>
      </c>
      <c r="E126" s="90">
        <f>C126*0.02</f>
        <v>9164.3000000000011</v>
      </c>
      <c r="F126" s="90">
        <f>C126*0.03</f>
        <v>13746.449999999999</v>
      </c>
      <c r="G126" s="33"/>
      <c r="H126" s="33"/>
      <c r="I126" s="33"/>
      <c r="J126" s="33"/>
      <c r="K126" s="33"/>
    </row>
    <row r="127" spans="1:11">
      <c r="A127" s="11"/>
      <c r="B127" s="11" t="s">
        <v>1439</v>
      </c>
      <c r="C127" s="90">
        <f>H$120</f>
        <v>12250</v>
      </c>
      <c r="D127" s="63">
        <f>C127*0.01</f>
        <v>122.5</v>
      </c>
      <c r="E127" s="90">
        <f>C127*0.02</f>
        <v>245</v>
      </c>
      <c r="F127" s="63">
        <f>C127*0.03</f>
        <v>367.5</v>
      </c>
      <c r="G127" s="33"/>
      <c r="H127" s="33"/>
      <c r="I127" s="33"/>
      <c r="J127" s="33"/>
      <c r="K127" s="33"/>
    </row>
    <row r="128" spans="1:11">
      <c r="A128" s="11"/>
      <c r="B128" s="22" t="s">
        <v>1440</v>
      </c>
      <c r="C128" s="89">
        <f>SUM(C125:C127)</f>
        <v>903590</v>
      </c>
      <c r="D128" s="89">
        <f>SUM(D125:D127)</f>
        <v>9035.9000000000015</v>
      </c>
      <c r="E128" s="89">
        <f>SUM(E125:E127)</f>
        <v>18071.800000000003</v>
      </c>
      <c r="F128" s="89">
        <f>SUM(F125:F127)</f>
        <v>27107.699999999997</v>
      </c>
      <c r="G128" s="33"/>
      <c r="H128" s="33"/>
      <c r="I128" s="33"/>
      <c r="J128" s="33"/>
      <c r="K128" s="33"/>
    </row>
    <row r="129" spans="1:11">
      <c r="A129" s="11"/>
      <c r="B129" s="25" t="s">
        <v>1441</v>
      </c>
      <c r="C129" s="91">
        <f>C128-I120</f>
        <v>0</v>
      </c>
      <c r="D129" s="41"/>
      <c r="E129" s="41"/>
      <c r="F129" s="41"/>
      <c r="G129" s="33"/>
      <c r="H129" s="33"/>
      <c r="I129" s="33"/>
      <c r="J129" s="33"/>
      <c r="K129" s="33"/>
    </row>
    <row r="130" spans="1:11">
      <c r="A130" s="11"/>
      <c r="B130" s="22" t="s">
        <v>1442</v>
      </c>
      <c r="C130" s="89">
        <f>'01 Major Assumptions'!$D$33</f>
        <v>40920</v>
      </c>
      <c r="D130" s="33"/>
      <c r="E130" s="33"/>
      <c r="F130" s="33"/>
      <c r="G130" s="33"/>
      <c r="H130" s="33"/>
      <c r="I130" s="33"/>
      <c r="J130" s="33"/>
      <c r="K130" s="33"/>
    </row>
    <row r="131" spans="1:11">
      <c r="A131" s="11"/>
      <c r="B131" s="22" t="s">
        <v>1443</v>
      </c>
      <c r="C131" s="65">
        <f>E128/C130</f>
        <v>0.44163734115347025</v>
      </c>
      <c r="D131" s="33"/>
      <c r="E131" s="33"/>
      <c r="F131" s="33"/>
      <c r="G131" s="33"/>
      <c r="H131" s="33"/>
      <c r="I131" s="33"/>
      <c r="J131" s="33"/>
      <c r="K131" s="33"/>
    </row>
    <row r="132" spans="1:11">
      <c r="A132" s="11"/>
      <c r="B132" s="11"/>
      <c r="C132" s="11"/>
      <c r="D132" s="33"/>
      <c r="E132" s="33"/>
      <c r="F132" s="33"/>
      <c r="G132" s="33"/>
      <c r="H132" s="33"/>
      <c r="I132" s="33"/>
      <c r="J132" s="33"/>
      <c r="K132" s="33"/>
    </row>
    <row r="133" spans="1:11">
      <c r="A133" s="11"/>
      <c r="B133" s="11"/>
      <c r="C133" s="11"/>
      <c r="D133" s="33"/>
      <c r="E133" s="33"/>
      <c r="F133" s="33"/>
      <c r="G133" s="33"/>
      <c r="H133" s="33"/>
      <c r="I133" s="33"/>
      <c r="J133" s="33"/>
      <c r="K133" s="33"/>
    </row>
    <row r="134" spans="1:11">
      <c r="A134" s="11"/>
      <c r="B134" s="11"/>
      <c r="C134" s="11"/>
      <c r="D134" s="33"/>
      <c r="E134" s="33"/>
      <c r="F134" s="33"/>
      <c r="G134" s="33"/>
      <c r="H134" s="33"/>
      <c r="I134" s="33"/>
      <c r="J134" s="33"/>
      <c r="K134" s="33"/>
    </row>
    <row r="135" spans="1:11">
      <c r="A135" s="11"/>
      <c r="B135" s="11"/>
      <c r="C135" s="11"/>
      <c r="D135" s="33"/>
      <c r="E135" s="33"/>
      <c r="F135" s="33"/>
      <c r="G135" s="33"/>
      <c r="H135" s="33"/>
      <c r="I135" s="33"/>
      <c r="J135" s="33"/>
      <c r="K135" s="33"/>
    </row>
    <row r="136" spans="1:11">
      <c r="A136" s="11"/>
      <c r="B136" s="11"/>
      <c r="C136" s="11"/>
      <c r="D136" s="33"/>
      <c r="E136" s="33"/>
      <c r="F136" s="33"/>
      <c r="G136" s="33"/>
      <c r="H136" s="33"/>
      <c r="I136" s="33"/>
      <c r="J136" s="33"/>
      <c r="K136" s="33"/>
    </row>
    <row r="137" spans="1:11">
      <c r="A137" s="11"/>
      <c r="B137" s="11"/>
      <c r="C137" s="11"/>
      <c r="D137" s="33"/>
      <c r="E137" s="33"/>
      <c r="F137" s="33"/>
      <c r="G137" s="33"/>
      <c r="H137" s="33"/>
      <c r="I137" s="33"/>
      <c r="J137" s="33"/>
      <c r="K137" s="33"/>
    </row>
    <row r="138" spans="1:11">
      <c r="A138" s="11"/>
      <c r="B138" s="11"/>
      <c r="C138" s="11"/>
      <c r="D138" s="33"/>
      <c r="E138" s="33"/>
      <c r="F138" s="33"/>
      <c r="G138" s="33"/>
      <c r="H138" s="33"/>
      <c r="I138" s="33"/>
      <c r="J138" s="33"/>
      <c r="K138" s="33"/>
    </row>
    <row r="139" spans="1:11">
      <c r="A139" s="11"/>
      <c r="B139" s="11"/>
      <c r="C139" s="11"/>
      <c r="D139" s="33"/>
      <c r="E139" s="33"/>
      <c r="F139" s="33"/>
      <c r="G139" s="33"/>
      <c r="H139" s="33"/>
      <c r="I139" s="33"/>
      <c r="J139" s="33"/>
      <c r="K139" s="33"/>
    </row>
    <row r="140" spans="1:11">
      <c r="A140" s="11"/>
      <c r="B140" s="11"/>
      <c r="C140" s="11"/>
      <c r="D140" s="33"/>
      <c r="E140" s="33"/>
      <c r="F140" s="33"/>
      <c r="G140" s="33"/>
      <c r="H140" s="33"/>
      <c r="I140" s="33"/>
      <c r="J140" s="33"/>
      <c r="K140" s="33"/>
    </row>
    <row r="141" spans="1:11">
      <c r="A141" s="11"/>
      <c r="B141" s="11"/>
      <c r="C141" s="11"/>
      <c r="D141" s="33"/>
      <c r="E141" s="33"/>
      <c r="F141" s="33"/>
      <c r="G141" s="33"/>
      <c r="H141" s="33"/>
      <c r="I141" s="33"/>
      <c r="J141" s="33"/>
      <c r="K141" s="33"/>
    </row>
    <row r="142" spans="1:11">
      <c r="A142" s="11"/>
      <c r="B142" s="11"/>
      <c r="C142" s="11"/>
      <c r="D142" s="33"/>
      <c r="E142" s="33"/>
      <c r="F142" s="33"/>
      <c r="G142" s="33"/>
      <c r="H142" s="33"/>
      <c r="I142" s="33"/>
      <c r="J142" s="33"/>
      <c r="K142" s="33"/>
    </row>
    <row r="143" spans="1:11">
      <c r="A143" s="18" t="s">
        <v>1485</v>
      </c>
      <c r="B143" s="18"/>
      <c r="C143" s="18"/>
      <c r="D143" s="39"/>
      <c r="E143" s="39"/>
      <c r="F143" s="39"/>
      <c r="G143" s="39"/>
      <c r="H143" s="39"/>
      <c r="I143" s="39"/>
      <c r="J143" s="39"/>
      <c r="K143" s="39"/>
    </row>
    <row r="144" spans="1:11">
      <c r="A144" s="11"/>
      <c r="B144" s="1" t="s">
        <v>1486</v>
      </c>
      <c r="C144" s="11"/>
      <c r="D144" s="33"/>
      <c r="E144" s="33"/>
      <c r="F144" s="33"/>
      <c r="G144" s="33"/>
      <c r="H144" s="33"/>
      <c r="I144" s="33"/>
      <c r="J144" s="33"/>
      <c r="K144" s="33"/>
    </row>
    <row r="145" spans="1:11">
      <c r="A145" s="11"/>
      <c r="B145" s="11"/>
      <c r="C145" s="11"/>
      <c r="D145" s="33"/>
      <c r="E145" s="33"/>
      <c r="F145" s="33"/>
      <c r="G145" s="33"/>
      <c r="H145" s="33"/>
      <c r="I145" s="33"/>
      <c r="J145" s="33"/>
      <c r="K145" s="33"/>
    </row>
    <row r="146" spans="1:11">
      <c r="A146" s="11"/>
      <c r="B146" s="11" t="s">
        <v>1487</v>
      </c>
      <c r="C146" s="11"/>
      <c r="D146" s="19">
        <v>0.28000000000000003</v>
      </c>
      <c r="E146" s="10" t="s">
        <v>1488</v>
      </c>
      <c r="F146" s="33"/>
      <c r="G146" s="33"/>
      <c r="H146" s="33"/>
      <c r="I146" s="33"/>
      <c r="J146" s="33"/>
      <c r="K146" s="33"/>
    </row>
    <row r="147" spans="1:11">
      <c r="A147" s="11"/>
      <c r="B147" s="11" t="s">
        <v>1489</v>
      </c>
      <c r="C147" s="11"/>
      <c r="D147" s="19">
        <v>0.2</v>
      </c>
      <c r="E147" s="10" t="s">
        <v>1490</v>
      </c>
      <c r="F147" s="33"/>
      <c r="G147" s="33"/>
      <c r="H147" s="33"/>
      <c r="I147" s="33"/>
      <c r="J147" s="33"/>
      <c r="K147" s="33"/>
    </row>
    <row r="148" spans="1:11">
      <c r="A148" s="11"/>
      <c r="B148" s="11" t="s">
        <v>1491</v>
      </c>
      <c r="C148" s="11"/>
      <c r="D148" s="19">
        <v>0.15</v>
      </c>
      <c r="E148" s="10" t="s">
        <v>1492</v>
      </c>
      <c r="F148" s="33"/>
      <c r="G148" s="33"/>
      <c r="H148" s="33"/>
      <c r="I148" s="33"/>
      <c r="J148" s="33"/>
      <c r="K148" s="33"/>
    </row>
    <row r="149" spans="1:11">
      <c r="A149" s="11"/>
      <c r="B149" s="11"/>
      <c r="C149" s="11"/>
      <c r="D149" s="33"/>
      <c r="E149" s="33"/>
      <c r="F149" s="33"/>
      <c r="G149" s="33"/>
      <c r="H149" s="33"/>
      <c r="I149" s="33"/>
      <c r="J149" s="33"/>
      <c r="K149" s="33"/>
    </row>
    <row r="150" spans="1:11">
      <c r="A150" s="11"/>
      <c r="B150" s="22" t="s">
        <v>1406</v>
      </c>
      <c r="C150" s="22" t="s">
        <v>1493</v>
      </c>
      <c r="D150" s="22" t="s">
        <v>1494</v>
      </c>
      <c r="E150" s="22" t="s">
        <v>1495</v>
      </c>
      <c r="F150" s="22" t="s">
        <v>1496</v>
      </c>
      <c r="G150" s="33"/>
      <c r="H150" s="33"/>
      <c r="I150" s="33"/>
      <c r="J150" s="33"/>
      <c r="K150" s="33"/>
    </row>
    <row r="151" spans="1:11">
      <c r="A151" s="11"/>
      <c r="B151" s="11" t="str">
        <f t="shared" ref="B151:B156" si="4">B114</f>
        <v>Zhongce Rubber (Thailand)</v>
      </c>
      <c r="C151" s="90">
        <f t="shared" ref="C151:C156" si="5">I114</f>
        <v>326500</v>
      </c>
      <c r="D151" s="90">
        <f t="shared" ref="D151:D156" si="6">C151*$D$146</f>
        <v>91420.000000000015</v>
      </c>
      <c r="E151" s="90">
        <f t="shared" ref="E151:E156" si="7">D151*$D$147</f>
        <v>18284.000000000004</v>
      </c>
      <c r="F151" s="6">
        <f t="shared" ref="F151:F156" si="8">IF(E151=0,0,$C$159/E151)</f>
        <v>0.6513987748851453</v>
      </c>
      <c r="G151" s="33"/>
      <c r="H151" s="33"/>
      <c r="I151" s="33"/>
      <c r="J151" s="33"/>
      <c r="K151" s="33"/>
    </row>
    <row r="152" spans="1:11">
      <c r="A152" s="11"/>
      <c r="B152" s="11" t="str">
        <f t="shared" si="4"/>
        <v>Bridgestone (Thailand) — Chonburi</v>
      </c>
      <c r="C152" s="90">
        <f t="shared" si="5"/>
        <v>202125</v>
      </c>
      <c r="D152" s="90">
        <f t="shared" si="6"/>
        <v>56595.000000000007</v>
      </c>
      <c r="E152" s="90">
        <f t="shared" si="7"/>
        <v>11319.000000000002</v>
      </c>
      <c r="F152" s="6">
        <f t="shared" si="8"/>
        <v>1.0522285714285713</v>
      </c>
      <c r="G152" s="33"/>
      <c r="H152" s="33"/>
      <c r="I152" s="33"/>
      <c r="J152" s="33"/>
      <c r="K152" s="33"/>
    </row>
    <row r="153" spans="1:11">
      <c r="A153" s="11"/>
      <c r="B153" s="11" t="str">
        <f t="shared" si="4"/>
        <v>Bridgestone (Thailand) — Rayong OTR</v>
      </c>
      <c r="C153" s="90">
        <f t="shared" si="5"/>
        <v>12250</v>
      </c>
      <c r="D153" s="90">
        <f t="shared" si="6"/>
        <v>3430.0000000000005</v>
      </c>
      <c r="E153" s="90">
        <f t="shared" si="7"/>
        <v>686.00000000000011</v>
      </c>
      <c r="F153" s="6">
        <f t="shared" si="8"/>
        <v>17.361771428571426</v>
      </c>
      <c r="G153" s="33"/>
      <c r="H153" s="33"/>
      <c r="I153" s="33"/>
      <c r="J153" s="33"/>
      <c r="K153" s="33"/>
    </row>
    <row r="154" spans="1:11">
      <c r="A154" s="11"/>
      <c r="B154" s="11" t="str">
        <f t="shared" si="4"/>
        <v>Michelin (Siam Michelin)</v>
      </c>
      <c r="C154" s="90">
        <f t="shared" si="5"/>
        <v>96720</v>
      </c>
      <c r="D154" s="90">
        <f t="shared" si="6"/>
        <v>27081.600000000002</v>
      </c>
      <c r="E154" s="90">
        <f t="shared" si="7"/>
        <v>5416.3200000000006</v>
      </c>
      <c r="F154" s="6">
        <f t="shared" si="8"/>
        <v>2.1989423076923074</v>
      </c>
      <c r="G154" s="33"/>
      <c r="H154" s="33"/>
      <c r="I154" s="33"/>
      <c r="J154" s="33"/>
      <c r="K154" s="33"/>
    </row>
    <row r="155" spans="1:11">
      <c r="A155" s="11"/>
      <c r="B155" s="11" t="str">
        <f t="shared" si="4"/>
        <v>Continental Tyres (Thailand)</v>
      </c>
      <c r="C155" s="90">
        <f t="shared" si="5"/>
        <v>85995</v>
      </c>
      <c r="D155" s="90">
        <f t="shared" si="6"/>
        <v>24078.600000000002</v>
      </c>
      <c r="E155" s="90">
        <f t="shared" si="7"/>
        <v>4815.72</v>
      </c>
      <c r="F155" s="6">
        <f t="shared" si="8"/>
        <v>2.4731868131868131</v>
      </c>
      <c r="G155" s="33"/>
      <c r="H155" s="33"/>
      <c r="I155" s="33"/>
      <c r="J155" s="33"/>
      <c r="K155" s="33"/>
    </row>
    <row r="156" spans="1:11">
      <c r="A156" s="11"/>
      <c r="B156" s="11" t="str">
        <f t="shared" si="4"/>
        <v>Linglong (Thailand)</v>
      </c>
      <c r="C156" s="90">
        <f t="shared" si="5"/>
        <v>180000</v>
      </c>
      <c r="D156" s="90">
        <f t="shared" si="6"/>
        <v>50400.000000000007</v>
      </c>
      <c r="E156" s="90">
        <f t="shared" si="7"/>
        <v>10080.000000000002</v>
      </c>
      <c r="F156" s="6">
        <f t="shared" si="8"/>
        <v>1.1815649999999998</v>
      </c>
      <c r="G156" s="33"/>
      <c r="H156" s="33"/>
      <c r="I156" s="33"/>
      <c r="J156" s="33"/>
      <c r="K156" s="33"/>
    </row>
    <row r="157" spans="1:11">
      <c r="A157" s="11"/>
      <c r="B157" s="22" t="s">
        <v>1431</v>
      </c>
      <c r="C157" s="89">
        <f>SUM(C151:C156)</f>
        <v>903590</v>
      </c>
      <c r="D157" s="89">
        <f>SUM(D151:D156)</f>
        <v>253005.20000000004</v>
      </c>
      <c r="E157" s="89">
        <f>SUM(E151:E156)</f>
        <v>50601.040000000008</v>
      </c>
      <c r="F157" s="65">
        <f>$C$159/E157</f>
        <v>0.23537411879281528</v>
      </c>
      <c r="G157" s="33"/>
      <c r="H157" s="33"/>
      <c r="I157" s="33"/>
      <c r="J157" s="33"/>
      <c r="K157" s="33"/>
    </row>
    <row r="158" spans="1:11">
      <c r="A158" s="11"/>
      <c r="B158" s="11"/>
      <c r="C158" s="11"/>
      <c r="D158" s="33"/>
      <c r="E158" s="33"/>
      <c r="F158" s="33"/>
      <c r="G158" s="33"/>
      <c r="H158" s="33"/>
      <c r="I158" s="33"/>
      <c r="J158" s="33"/>
      <c r="K158" s="33"/>
    </row>
    <row r="159" spans="1:11">
      <c r="A159" s="11"/>
      <c r="B159" s="22" t="s">
        <v>1497</v>
      </c>
      <c r="C159" s="89">
        <f>'04 Operating Model'!BI$73</f>
        <v>11910.1752</v>
      </c>
      <c r="D159" s="33"/>
      <c r="E159" s="33"/>
      <c r="F159" s="33"/>
      <c r="G159" s="33"/>
      <c r="H159" s="33"/>
      <c r="I159" s="33"/>
      <c r="J159" s="33"/>
      <c r="K159" s="33"/>
    </row>
    <row r="160" spans="1:11">
      <c r="A160" s="11"/>
      <c r="B160" s="22" t="s">
        <v>1498</v>
      </c>
      <c r="C160" s="65">
        <f>C159/E157</f>
        <v>0.23537411879281528</v>
      </c>
      <c r="D160" s="33"/>
      <c r="E160" s="33"/>
      <c r="F160" s="33"/>
      <c r="G160" s="33"/>
      <c r="H160" s="33"/>
      <c r="I160" s="33"/>
      <c r="J160" s="33"/>
      <c r="K160" s="33"/>
    </row>
    <row r="161" spans="1:11">
      <c r="A161" s="11"/>
      <c r="B161" s="22" t="s">
        <v>1499</v>
      </c>
      <c r="C161" s="89">
        <f>COUNTIF(E151:E156,"&lt;="&amp;C159)</f>
        <v>5</v>
      </c>
      <c r="D161" s="33"/>
      <c r="E161" s="33"/>
      <c r="F161" s="33"/>
      <c r="G161" s="33"/>
      <c r="H161" s="33"/>
      <c r="I161" s="33"/>
      <c r="J161" s="33"/>
      <c r="K161" s="33"/>
    </row>
    <row r="162" spans="1:11">
      <c r="A162" s="11"/>
      <c r="B162" s="22" t="s">
        <v>1509</v>
      </c>
      <c r="C162" s="89">
        <f>ROUNDDOWN(C159/($E$157/6*$D$148),0)</f>
        <v>9</v>
      </c>
      <c r="D162" s="33"/>
      <c r="E162" s="33"/>
      <c r="F162" s="33"/>
      <c r="G162" s="33"/>
      <c r="H162" s="33"/>
      <c r="I162" s="33"/>
      <c r="J162" s="33"/>
      <c r="K162" s="33"/>
    </row>
    <row r="163" spans="1:11">
      <c r="A163" s="11"/>
      <c r="B163" s="11"/>
      <c r="C163" s="11"/>
      <c r="D163" s="33"/>
      <c r="E163" s="33"/>
      <c r="F163" s="33"/>
      <c r="G163" s="33"/>
      <c r="H163" s="33"/>
      <c r="I163" s="33"/>
      <c r="J163" s="33"/>
      <c r="K163" s="33"/>
    </row>
    <row r="164" spans="1:11">
      <c r="A164" s="11"/>
      <c r="B164" s="22" t="s">
        <v>1500</v>
      </c>
      <c r="C164" s="22" t="s">
        <v>1501</v>
      </c>
      <c r="D164" s="22" t="s">
        <v>1502</v>
      </c>
      <c r="E164" s="22" t="s">
        <v>1503</v>
      </c>
      <c r="F164" s="22" t="s">
        <v>1504</v>
      </c>
      <c r="G164" s="33"/>
      <c r="H164" s="33"/>
      <c r="I164" s="33"/>
      <c r="J164" s="33"/>
      <c r="K164" s="33"/>
    </row>
    <row r="165" spans="1:11">
      <c r="A165" s="11"/>
      <c r="B165" s="55" t="s">
        <v>1505</v>
      </c>
      <c r="C165" s="89">
        <f>'01 Major Assumptions'!$D$33</f>
        <v>40920</v>
      </c>
      <c r="D165" s="89">
        <f>C165*'01 Major Assumptions'!$D$41*'01 Major Assumptions'!$D$54*'01 Major Assumptions'!$D$195</f>
        <v>11910.1752</v>
      </c>
      <c r="E165" s="65">
        <f>D165/$E$157</f>
        <v>0.23537411879281528</v>
      </c>
      <c r="F165" s="89">
        <f>ROUNDDOWN(D165/($E$157/6*$D$148),0)</f>
        <v>9</v>
      </c>
      <c r="G165" s="33"/>
      <c r="H165" s="33"/>
      <c r="I165" s="33"/>
      <c r="J165" s="33"/>
      <c r="K165" s="33"/>
    </row>
    <row r="166" spans="1:11">
      <c r="A166" s="11"/>
      <c r="B166" s="11" t="s">
        <v>1506</v>
      </c>
      <c r="C166" s="90">
        <f>100*'01 Major Assumptions'!$D$32</f>
        <v>34100</v>
      </c>
      <c r="D166" s="90">
        <f>C166*'01 Major Assumptions'!$D$41*'01 Major Assumptions'!$D$54*'01 Major Assumptions'!$D$195</f>
        <v>9925.1460000000006</v>
      </c>
      <c r="E166" s="6">
        <f>D166/$E$157</f>
        <v>0.19614509899401275</v>
      </c>
      <c r="F166" s="90">
        <f>ROUNDDOWN(D166/($E$157/6*$D$148),0)</f>
        <v>7</v>
      </c>
      <c r="G166" s="33"/>
      <c r="H166" s="33"/>
      <c r="I166" s="33"/>
      <c r="J166" s="33"/>
      <c r="K166" s="33"/>
    </row>
    <row r="167" spans="1:11">
      <c r="A167" s="11"/>
      <c r="B167" s="11" t="s">
        <v>1507</v>
      </c>
      <c r="C167" s="90">
        <v>15000</v>
      </c>
      <c r="D167" s="90">
        <f>C167*'01 Major Assumptions'!$D$41*'01 Major Assumptions'!$D$54*'01 Major Assumptions'!$D$195</f>
        <v>4365.8999999999996</v>
      </c>
      <c r="E167" s="6">
        <f>D167/$E$157</f>
        <v>8.6280835334609701E-2</v>
      </c>
      <c r="F167" s="90">
        <f>ROUNDDOWN(D167/($E$157/6*$D$148),0)</f>
        <v>3</v>
      </c>
      <c r="G167" s="33"/>
      <c r="H167" s="33"/>
      <c r="I167" s="33"/>
      <c r="J167" s="33"/>
      <c r="K167" s="33"/>
    </row>
    <row r="168" spans="1:11">
      <c r="A168" s="11"/>
      <c r="B168" s="11" t="s">
        <v>1508</v>
      </c>
      <c r="C168" s="90">
        <f>15*'01 Major Assumptions'!$D$32</f>
        <v>5115</v>
      </c>
      <c r="D168" s="90">
        <f>C168*'01 Major Assumptions'!$D$41*'01 Major Assumptions'!$D$54*'01 Major Assumptions'!$D$195</f>
        <v>1488.7719</v>
      </c>
      <c r="E168" s="6">
        <f>D168/$E$157</f>
        <v>2.942176484910191E-2</v>
      </c>
      <c r="F168" s="90">
        <f>ROUNDDOWN(D168/($E$157/6*$D$148),0)</f>
        <v>1</v>
      </c>
      <c r="G168" s="33"/>
      <c r="H168" s="33"/>
      <c r="I168" s="33"/>
      <c r="J168" s="33"/>
      <c r="K168" s="33"/>
    </row>
    <row r="169" spans="1:11">
      <c r="A169" s="11"/>
      <c r="B169" s="11"/>
      <c r="C169" s="11"/>
      <c r="D169" s="33"/>
      <c r="E169" s="33"/>
      <c r="F169" s="33"/>
      <c r="G169" s="33"/>
      <c r="H169" s="33"/>
      <c r="I169" s="33"/>
      <c r="J169" s="33"/>
      <c r="K169" s="33"/>
    </row>
    <row r="170" spans="1:11">
      <c r="A170" s="11"/>
      <c r="B170" s="23" t="s">
        <v>1664</v>
      </c>
      <c r="C170" s="11"/>
      <c r="D170" s="33"/>
      <c r="E170" s="33"/>
      <c r="F170" s="33"/>
      <c r="G170" s="33"/>
      <c r="H170" s="33"/>
      <c r="I170" s="33"/>
      <c r="J170" s="33"/>
      <c r="K170" s="33"/>
    </row>
    <row r="171" spans="1:11">
      <c r="A171" s="11"/>
      <c r="B171" s="11"/>
      <c r="C171" s="11"/>
      <c r="D171" s="33"/>
      <c r="E171" s="33"/>
      <c r="F171" s="33"/>
      <c r="G171" s="33"/>
      <c r="H171" s="33"/>
      <c r="I171" s="33"/>
      <c r="J171" s="33"/>
      <c r="K171" s="33"/>
    </row>
    <row r="172" spans="1:11">
      <c r="A172" s="11"/>
      <c r="B172" s="60" t="s">
        <v>1665</v>
      </c>
      <c r="C172" s="11"/>
      <c r="D172" s="33"/>
      <c r="E172" s="33"/>
      <c r="F172" s="33"/>
      <c r="G172" s="33"/>
      <c r="H172" s="33"/>
      <c r="I172" s="33"/>
      <c r="J172" s="33"/>
      <c r="K172" s="33"/>
    </row>
    <row r="173" spans="1:11">
      <c r="A173" s="11"/>
      <c r="B173" s="11"/>
      <c r="C173" s="11"/>
      <c r="D173" s="33"/>
      <c r="E173" s="33"/>
      <c r="F173" s="33"/>
      <c r="G173" s="33"/>
      <c r="H173" s="33"/>
      <c r="I173" s="33"/>
      <c r="J173" s="33"/>
      <c r="K173" s="33"/>
    </row>
    <row r="174" spans="1:11">
      <c r="A174" s="11"/>
      <c r="B174" s="61" t="s">
        <v>1666</v>
      </c>
      <c r="C174" s="11"/>
      <c r="D174" s="33"/>
      <c r="E174" s="33"/>
      <c r="F174" s="33"/>
      <c r="G174" s="33"/>
      <c r="H174" s="33"/>
      <c r="I174" s="33"/>
      <c r="J174" s="33"/>
      <c r="K174" s="33"/>
    </row>
    <row r="175" spans="1:11">
      <c r="A175" s="11"/>
      <c r="B175" s="11"/>
      <c r="C175" s="11"/>
      <c r="D175" s="33"/>
      <c r="E175" s="33"/>
      <c r="F175" s="33"/>
      <c r="G175" s="33"/>
      <c r="H175" s="33"/>
      <c r="I175" s="33"/>
      <c r="J175" s="33"/>
      <c r="K175" s="33"/>
    </row>
    <row r="176" spans="1:11">
      <c r="A176" s="11"/>
      <c r="B176" s="1" t="s">
        <v>1510</v>
      </c>
      <c r="C176" s="11"/>
      <c r="D176" s="33"/>
      <c r="E176" s="33"/>
      <c r="F176" s="33"/>
      <c r="G176" s="33"/>
      <c r="H176" s="33"/>
      <c r="I176" s="33"/>
      <c r="J176" s="33"/>
      <c r="K176" s="3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2CD472-2E9F-494D-AC17-45A269DAE1AB}">
  <sheetPr>
    <tabColor rgb="FFBBDEFB"/>
  </sheetPr>
  <dimension ref="A1:BO225"/>
  <sheetViews>
    <sheetView topLeftCell="A53" workbookViewId="0">
      <selection activeCell="H87" sqref="H87"/>
    </sheetView>
  </sheetViews>
  <sheetFormatPr baseColWidth="10" defaultRowHeight="15"/>
  <cols>
    <col min="1" max="1" width="3.83203125" style="9" customWidth="1"/>
    <col min="2" max="2" width="58.33203125" style="9" customWidth="1"/>
    <col min="3" max="3" width="12.83203125" style="9" customWidth="1"/>
    <col min="4" max="6" width="17.5" style="42" customWidth="1"/>
    <col min="7" max="61" width="14" style="42" customWidth="1"/>
    <col min="62" max="67" width="14" style="34" customWidth="1"/>
  </cols>
  <sheetData>
    <row r="1" spans="1:67" ht="18">
      <c r="A1" s="21" t="s">
        <v>1678</v>
      </c>
      <c r="B1" s="11"/>
      <c r="C1" s="11"/>
      <c r="D1" s="33"/>
      <c r="E1" s="33"/>
      <c r="F1" s="33"/>
      <c r="G1" s="33"/>
      <c r="H1" s="33"/>
      <c r="I1" s="33"/>
      <c r="J1" s="33"/>
      <c r="K1" s="33"/>
      <c r="L1" s="33"/>
      <c r="M1" s="33"/>
      <c r="N1" s="33"/>
      <c r="O1" s="33"/>
      <c r="P1" s="33"/>
      <c r="Q1" s="33"/>
      <c r="R1" s="33"/>
      <c r="S1" s="33"/>
      <c r="T1" s="33"/>
      <c r="U1" s="33"/>
      <c r="V1" s="33"/>
      <c r="W1" s="33"/>
      <c r="X1" s="33"/>
      <c r="Y1" s="33"/>
      <c r="Z1" s="33"/>
      <c r="AA1" s="33"/>
      <c r="AB1" s="33"/>
      <c r="AC1" s="33"/>
      <c r="AD1" s="33"/>
      <c r="AE1" s="33"/>
      <c r="AF1" s="33"/>
      <c r="AG1" s="33"/>
      <c r="AH1" s="33"/>
      <c r="AI1" s="33"/>
      <c r="AJ1" s="33"/>
      <c r="AK1" s="33"/>
      <c r="AL1" s="33"/>
      <c r="AM1" s="33"/>
      <c r="AN1" s="33"/>
      <c r="AO1" s="33"/>
      <c r="AP1" s="33"/>
      <c r="AQ1" s="33"/>
      <c r="AR1" s="33"/>
      <c r="AS1" s="33"/>
      <c r="AT1" s="33"/>
      <c r="AU1" s="33"/>
      <c r="AV1" s="33"/>
      <c r="AW1" s="33"/>
      <c r="AX1" s="33"/>
      <c r="AY1" s="33"/>
      <c r="AZ1" s="33"/>
      <c r="BA1" s="33"/>
      <c r="BB1" s="33"/>
      <c r="BC1" s="33"/>
      <c r="BD1" s="33"/>
      <c r="BE1" s="33"/>
      <c r="BF1" s="33"/>
      <c r="BG1" s="33"/>
      <c r="BH1" s="33"/>
      <c r="BI1" s="33"/>
      <c r="BJ1" s="33"/>
      <c r="BK1" s="33"/>
      <c r="BL1" s="33"/>
      <c r="BM1" s="33"/>
      <c r="BN1" s="33"/>
      <c r="BO1" s="33"/>
    </row>
    <row r="2" spans="1:67" ht="16">
      <c r="A2" s="12" t="s">
        <v>30</v>
      </c>
      <c r="B2" s="11"/>
      <c r="C2" s="11"/>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row>
    <row r="3" spans="1:67">
      <c r="A3" s="13" t="s">
        <v>1736</v>
      </c>
      <c r="B3" s="11"/>
      <c r="C3" s="11"/>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row>
    <row r="4" spans="1:67">
      <c r="A4" s="11"/>
      <c r="B4" s="11"/>
      <c r="C4" s="11"/>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row>
    <row r="5" spans="1:67">
      <c r="A5" s="18" t="s">
        <v>31</v>
      </c>
      <c r="B5" s="18"/>
      <c r="C5" s="18"/>
      <c r="D5" s="39"/>
      <c r="E5" s="39"/>
      <c r="F5" s="39"/>
      <c r="G5" s="39"/>
      <c r="H5" s="39"/>
      <c r="I5" s="39"/>
      <c r="J5" s="39"/>
      <c r="K5" s="39"/>
      <c r="L5" s="39"/>
      <c r="M5" s="39"/>
      <c r="N5" s="39"/>
      <c r="O5" s="39"/>
      <c r="P5" s="39"/>
      <c r="Q5" s="39"/>
      <c r="R5" s="39"/>
      <c r="S5" s="39"/>
      <c r="T5" s="39"/>
      <c r="U5" s="39"/>
      <c r="V5" s="39"/>
      <c r="W5" s="39"/>
      <c r="X5" s="39"/>
      <c r="Y5" s="39"/>
      <c r="Z5" s="39"/>
      <c r="AA5" s="39"/>
      <c r="AB5" s="39"/>
      <c r="AC5" s="39"/>
      <c r="AD5" s="39"/>
      <c r="AE5" s="39"/>
      <c r="AF5" s="39"/>
      <c r="AG5" s="39"/>
      <c r="AH5" s="39"/>
      <c r="AI5" s="39"/>
      <c r="AJ5" s="39"/>
      <c r="AK5" s="39"/>
      <c r="AL5" s="39"/>
      <c r="AM5" s="39"/>
      <c r="AN5" s="39"/>
      <c r="AO5" s="39"/>
      <c r="AP5" s="39"/>
      <c r="AQ5" s="39"/>
      <c r="AR5" s="39"/>
      <c r="AS5" s="39"/>
      <c r="AT5" s="39"/>
      <c r="AU5" s="39"/>
      <c r="AV5" s="39"/>
      <c r="AW5" s="39"/>
      <c r="AX5" s="39"/>
      <c r="AY5" s="39"/>
      <c r="AZ5" s="39"/>
      <c r="BA5" s="39"/>
      <c r="BB5" s="39"/>
      <c r="BC5" s="39"/>
      <c r="BD5" s="39"/>
      <c r="BE5" s="39"/>
      <c r="BF5" s="39"/>
      <c r="BG5" s="39"/>
      <c r="BH5" s="39"/>
      <c r="BI5" s="39"/>
      <c r="BJ5" s="39"/>
      <c r="BK5" s="39"/>
      <c r="BL5" s="39"/>
      <c r="BM5" s="39"/>
      <c r="BN5" s="39"/>
      <c r="BO5" s="39"/>
    </row>
    <row r="6" spans="1:67">
      <c r="A6" s="11"/>
      <c r="B6" s="11" t="s">
        <v>32</v>
      </c>
      <c r="C6" s="11"/>
      <c r="D6" s="30">
        <v>46388</v>
      </c>
      <c r="E6" s="11" t="s">
        <v>43</v>
      </c>
      <c r="F6" s="11"/>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row>
    <row r="7" spans="1:67">
      <c r="A7" s="11"/>
      <c r="B7" s="11" t="s">
        <v>1696</v>
      </c>
      <c r="C7" s="11"/>
      <c r="D7" s="92">
        <v>21</v>
      </c>
      <c r="E7" s="11" t="s">
        <v>44</v>
      </c>
      <c r="F7" s="11"/>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row>
    <row r="8" spans="1:67">
      <c r="A8" s="11"/>
      <c r="B8" s="11" t="s">
        <v>33</v>
      </c>
      <c r="C8" s="11"/>
      <c r="D8" s="92">
        <v>33</v>
      </c>
      <c r="E8" s="11" t="s">
        <v>44</v>
      </c>
      <c r="F8" s="11"/>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row>
    <row r="9" spans="1:67">
      <c r="A9" s="11"/>
      <c r="B9" s="11" t="s">
        <v>34</v>
      </c>
      <c r="C9" s="11"/>
      <c r="D9" s="92">
        <v>7</v>
      </c>
      <c r="E9" s="11" t="s">
        <v>45</v>
      </c>
      <c r="F9" s="11"/>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row>
    <row r="10" spans="1:67">
      <c r="A10" s="11"/>
      <c r="B10" s="11" t="s">
        <v>35</v>
      </c>
      <c r="C10" s="11"/>
      <c r="D10" s="33"/>
      <c r="E10" s="33"/>
      <c r="F10" s="33"/>
      <c r="G10" s="22" t="str">
        <f>IF(COLUMNS($G10:G10)&lt;=$D$7,"Construction","Operations")</f>
        <v>Construction</v>
      </c>
      <c r="H10" s="22" t="str">
        <f>IF(COLUMNS($G10:H10)&lt;=$D$7,"Construction","Operations")</f>
        <v>Construction</v>
      </c>
      <c r="I10" s="22" t="str">
        <f>IF(COLUMNS($G10:I10)&lt;=$D$7,"Construction","Operations")</f>
        <v>Construction</v>
      </c>
      <c r="J10" s="22" t="str">
        <f>IF(COLUMNS($G10:J10)&lt;=$D$7,"Construction","Operations")</f>
        <v>Construction</v>
      </c>
      <c r="K10" s="22" t="str">
        <f>IF(COLUMNS($G10:K10)&lt;=$D$7,"Construction","Operations")</f>
        <v>Construction</v>
      </c>
      <c r="L10" s="22" t="str">
        <f>IF(COLUMNS($G10:L10)&lt;=$D$7,"Construction","Operations")</f>
        <v>Construction</v>
      </c>
      <c r="M10" s="22" t="str">
        <f>IF(COLUMNS($G10:M10)&lt;=$D$7,"Construction","Operations")</f>
        <v>Construction</v>
      </c>
      <c r="N10" s="22" t="str">
        <f>IF(COLUMNS($G10:N10)&lt;=$D$7,"Construction","Operations")</f>
        <v>Construction</v>
      </c>
      <c r="O10" s="22" t="str">
        <f>IF(COLUMNS($G10:O10)&lt;=$D$7,"Construction","Operations")</f>
        <v>Construction</v>
      </c>
      <c r="P10" s="22" t="str">
        <f>IF(COLUMNS($G10:P10)&lt;=$D$7,"Construction","Operations")</f>
        <v>Construction</v>
      </c>
      <c r="Q10" s="22" t="str">
        <f>IF(COLUMNS($G10:Q10)&lt;=$D$7,"Construction","Operations")</f>
        <v>Construction</v>
      </c>
      <c r="R10" s="22" t="str">
        <f>IF(COLUMNS($G10:R10)&lt;=$D$7,"Construction","Operations")</f>
        <v>Construction</v>
      </c>
      <c r="S10" s="22" t="str">
        <f>IF(COLUMNS($G10:S10)&lt;=$D$7,"Construction","Operations")</f>
        <v>Construction</v>
      </c>
      <c r="T10" s="22" t="str">
        <f>IF(COLUMNS($G10:T10)&lt;=$D$7,"Construction","Operations")</f>
        <v>Construction</v>
      </c>
      <c r="U10" s="22" t="str">
        <f>IF(COLUMNS($G10:U10)&lt;=$D$7,"Construction","Operations")</f>
        <v>Construction</v>
      </c>
      <c r="V10" s="22" t="str">
        <f>IF(COLUMNS($G10:V10)&lt;=$D$7,"Construction","Operations")</f>
        <v>Construction</v>
      </c>
      <c r="W10" s="22" t="str">
        <f>IF(COLUMNS($G10:W10)&lt;=$D$7,"Construction","Operations")</f>
        <v>Construction</v>
      </c>
      <c r="X10" s="22" t="str">
        <f>IF(COLUMNS($G10:X10)&lt;=$D$7,"Construction","Operations")</f>
        <v>Construction</v>
      </c>
      <c r="Y10" s="22" t="str">
        <f>IF(COLUMNS($G10:Y10)&lt;=$D$7,"Construction","Operations")</f>
        <v>Construction</v>
      </c>
      <c r="Z10" s="22" t="str">
        <f>IF(COLUMNS($G10:Z10)&lt;=$D$7,"Construction","Operations")</f>
        <v>Construction</v>
      </c>
      <c r="AA10" s="22" t="str">
        <f>IF(COLUMNS($G10:AA10)&lt;=$D$7,"Construction","Operations")</f>
        <v>Construction</v>
      </c>
      <c r="AB10" s="22" t="str">
        <f>IF(COLUMNS($G10:AB10)&lt;=$D$7,"Construction","Operations")</f>
        <v>Operations</v>
      </c>
      <c r="AC10" s="22" t="str">
        <f>IF(COLUMNS($G10:AC10)&lt;=$D$7,"Construction","Operations")</f>
        <v>Operations</v>
      </c>
      <c r="AD10" s="22" t="str">
        <f>IF(COLUMNS($G10:AD10)&lt;=$D$7,"Construction","Operations")</f>
        <v>Operations</v>
      </c>
      <c r="AE10" s="22" t="str">
        <f>IF(COLUMNS($G10:AE10)&lt;=$D$7,"Construction","Operations")</f>
        <v>Operations</v>
      </c>
      <c r="AF10" s="22" t="str">
        <f>IF(COLUMNS($G10:AF10)&lt;=$D$7,"Construction","Operations")</f>
        <v>Operations</v>
      </c>
      <c r="AG10" s="22" t="str">
        <f>IF(COLUMNS($G10:AG10)&lt;=$D$7,"Construction","Operations")</f>
        <v>Operations</v>
      </c>
      <c r="AH10" s="22" t="str">
        <f>IF(COLUMNS($G10:AH10)&lt;=$D$7,"Construction","Operations")</f>
        <v>Operations</v>
      </c>
      <c r="AI10" s="22" t="str">
        <f>IF(COLUMNS($G10:AI10)&lt;=$D$7,"Construction","Operations")</f>
        <v>Operations</v>
      </c>
      <c r="AJ10" s="22" t="str">
        <f>IF(COLUMNS($G10:AJ10)&lt;=$D$7,"Construction","Operations")</f>
        <v>Operations</v>
      </c>
      <c r="AK10" s="22" t="str">
        <f>IF(COLUMNS($G10:AK10)&lt;=$D$7,"Construction","Operations")</f>
        <v>Operations</v>
      </c>
      <c r="AL10" s="22" t="str">
        <f>IF(COLUMNS($G10:AL10)&lt;=$D$7,"Construction","Operations")</f>
        <v>Operations</v>
      </c>
      <c r="AM10" s="22" t="str">
        <f>IF(COLUMNS($G10:AM10)&lt;=$D$7,"Construction","Operations")</f>
        <v>Operations</v>
      </c>
      <c r="AN10" s="22" t="str">
        <f>IF(COLUMNS($G10:AN10)&lt;=$D$7,"Construction","Operations")</f>
        <v>Operations</v>
      </c>
      <c r="AO10" s="22" t="str">
        <f>IF(COLUMNS($G10:AO10)&lt;=$D$7,"Construction","Operations")</f>
        <v>Operations</v>
      </c>
      <c r="AP10" s="22" t="str">
        <f>IF(COLUMNS($G10:AP10)&lt;=$D$7,"Construction","Operations")</f>
        <v>Operations</v>
      </c>
      <c r="AQ10" s="22" t="str">
        <f>IF(COLUMNS($G10:AQ10)&lt;=$D$7,"Construction","Operations")</f>
        <v>Operations</v>
      </c>
      <c r="AR10" s="22" t="str">
        <f>IF(COLUMNS($G10:AR10)&lt;=$D$7,"Construction","Operations")</f>
        <v>Operations</v>
      </c>
      <c r="AS10" s="22" t="str">
        <f>IF(COLUMNS($G10:AS10)&lt;=$D$7,"Construction","Operations")</f>
        <v>Operations</v>
      </c>
      <c r="AT10" s="22" t="str">
        <f>IF(COLUMNS($G10:AT10)&lt;=$D$7,"Construction","Operations")</f>
        <v>Operations</v>
      </c>
      <c r="AU10" s="22" t="str">
        <f>IF(COLUMNS($G10:AU10)&lt;=$D$7,"Construction","Operations")</f>
        <v>Operations</v>
      </c>
      <c r="AV10" s="22" t="str">
        <f>IF(COLUMNS($G10:AV10)&lt;=$D$7,"Construction","Operations")</f>
        <v>Operations</v>
      </c>
      <c r="AW10" s="22" t="str">
        <f>IF(COLUMNS($G10:AW10)&lt;=$D$7,"Construction","Operations")</f>
        <v>Operations</v>
      </c>
      <c r="AX10" s="22" t="str">
        <f>IF(COLUMNS($G10:AX10)&lt;=$D$7,"Construction","Operations")</f>
        <v>Operations</v>
      </c>
      <c r="AY10" s="22" t="str">
        <f>IF(COLUMNS($G10:AY10)&lt;=$D$7,"Construction","Operations")</f>
        <v>Operations</v>
      </c>
      <c r="AZ10" s="22" t="str">
        <f>IF(COLUMNS($G10:AZ10)&lt;=$D$7,"Construction","Operations")</f>
        <v>Operations</v>
      </c>
      <c r="BA10" s="22" t="str">
        <f>IF(COLUMNS($G10:BA10)&lt;=$D$7,"Construction","Operations")</f>
        <v>Operations</v>
      </c>
      <c r="BB10" s="22" t="str">
        <f>IF(COLUMNS($G10:BB10)&lt;=$D$7,"Construction","Operations")</f>
        <v>Operations</v>
      </c>
      <c r="BC10" s="22" t="str">
        <f>IF(COLUMNS($G10:BC10)&lt;=$D$7,"Construction","Operations")</f>
        <v>Operations</v>
      </c>
      <c r="BD10" s="22" t="str">
        <f>IF(COLUMNS($G10:BD10)&lt;=$D$7,"Construction","Operations")</f>
        <v>Operations</v>
      </c>
      <c r="BE10" s="22" t="str">
        <f>IF(COLUMNS($G10:BE10)&lt;=$D$7,"Construction","Operations")</f>
        <v>Operations</v>
      </c>
      <c r="BF10" s="22" t="str">
        <f>IF(COLUMNS($G10:BF10)&lt;=$D$7,"Construction","Operations")</f>
        <v>Operations</v>
      </c>
      <c r="BG10" s="22" t="str">
        <f>IF(COLUMNS($G10:BG10)&lt;=$D$7,"Construction","Operations")</f>
        <v>Operations</v>
      </c>
      <c r="BH10" s="22" t="str">
        <f>IF(COLUMNS($G10:BH10)&lt;=$D$7,"Construction","Operations")</f>
        <v>Operations</v>
      </c>
      <c r="BI10" s="22" t="str">
        <f>IF(COLUMNS($G10:BI10)&lt;=$D$7,"Construction","Operations")</f>
        <v>Operations</v>
      </c>
      <c r="BJ10" s="22" t="str">
        <f>IF(COLUMNS($G10:BJ10)&lt;=$D$7,"Construction","Operations")</f>
        <v>Operations</v>
      </c>
      <c r="BK10" s="22" t="str">
        <f>IF(COLUMNS($G10:BK10)&lt;=$D$7,"Construction","Operations")</f>
        <v>Operations</v>
      </c>
      <c r="BL10" s="22" t="str">
        <f>IF(COLUMNS($G10:BL10)&lt;=$D$7,"Construction","Operations")</f>
        <v>Operations</v>
      </c>
      <c r="BM10" s="22" t="str">
        <f>IF(COLUMNS($G10:BM10)&lt;=$D$7,"Construction","Operations")</f>
        <v>Operations</v>
      </c>
      <c r="BN10" s="22" t="str">
        <f>IF(COLUMNS($G10:BN10)&lt;=$D$7,"Construction","Operations")</f>
        <v>Operations</v>
      </c>
      <c r="BO10" s="22" t="str">
        <f>IF(COLUMNS($G10:BO10)&lt;=$D$7,"Construction","Operations")</f>
        <v>Operations</v>
      </c>
    </row>
    <row r="11" spans="1:67">
      <c r="A11" s="11"/>
      <c r="B11" s="11" t="s">
        <v>36</v>
      </c>
      <c r="C11" s="11"/>
      <c r="D11" s="33"/>
      <c r="E11" s="33"/>
      <c r="F11" s="33"/>
      <c r="G11" s="2">
        <f>EOMONTH($D$6,0)</f>
        <v>46418</v>
      </c>
      <c r="H11" s="2">
        <f>IF(COLUMNS($G11:H11)&lt;=$D$7+$D$8,EOMONTH(G11,1),EOMONTH(G11,12))</f>
        <v>46446</v>
      </c>
      <c r="I11" s="2">
        <f>IF(COLUMNS($G11:I11)&lt;=$D$7+$D$8,EOMONTH(H11,1),EOMONTH(H11,12))</f>
        <v>46477</v>
      </c>
      <c r="J11" s="2">
        <f>IF(COLUMNS($G11:J11)&lt;=$D$7+$D$8,EOMONTH(I11,1),EOMONTH(I11,12))</f>
        <v>46507</v>
      </c>
      <c r="K11" s="2">
        <f>IF(COLUMNS($G11:K11)&lt;=$D$7+$D$8,EOMONTH(J11,1),EOMONTH(J11,12))</f>
        <v>46538</v>
      </c>
      <c r="L11" s="2">
        <f>IF(COLUMNS($G11:L11)&lt;=$D$7+$D$8,EOMONTH(K11,1),EOMONTH(K11,12))</f>
        <v>46568</v>
      </c>
      <c r="M11" s="2">
        <f>IF(COLUMNS($G11:M11)&lt;=$D$7+$D$8,EOMONTH(L11,1),EOMONTH(L11,12))</f>
        <v>46599</v>
      </c>
      <c r="N11" s="2">
        <f>IF(COLUMNS($G11:N11)&lt;=$D$7+$D$8,EOMONTH(M11,1),EOMONTH(M11,12))</f>
        <v>46630</v>
      </c>
      <c r="O11" s="2">
        <f>IF(COLUMNS($G11:O11)&lt;=$D$7+$D$8,EOMONTH(N11,1),EOMONTH(N11,12))</f>
        <v>46660</v>
      </c>
      <c r="P11" s="2">
        <f>IF(COLUMNS($G11:P11)&lt;=$D$7+$D$8,EOMONTH(O11,1),EOMONTH(O11,12))</f>
        <v>46691</v>
      </c>
      <c r="Q11" s="2">
        <f>IF(COLUMNS($G11:Q11)&lt;=$D$7+$D$8,EOMONTH(P11,1),EOMONTH(P11,12))</f>
        <v>46721</v>
      </c>
      <c r="R11" s="2">
        <f>IF(COLUMNS($G11:R11)&lt;=$D$7+$D$8,EOMONTH(Q11,1),EOMONTH(Q11,12))</f>
        <v>46752</v>
      </c>
      <c r="S11" s="2">
        <f>IF(COLUMNS($G11:S11)&lt;=$D$7+$D$8,EOMONTH(R11,1),EOMONTH(R11,12))</f>
        <v>46783</v>
      </c>
      <c r="T11" s="2">
        <f>IF(COLUMNS($G11:T11)&lt;=$D$7+$D$8,EOMONTH(S11,1),EOMONTH(S11,12))</f>
        <v>46812</v>
      </c>
      <c r="U11" s="2">
        <f>IF(COLUMNS($G11:U11)&lt;=$D$7+$D$8,EOMONTH(T11,1),EOMONTH(T11,12))</f>
        <v>46843</v>
      </c>
      <c r="V11" s="2">
        <f>IF(COLUMNS($G11:V11)&lt;=$D$7+$D$8,EOMONTH(U11,1),EOMONTH(U11,12))</f>
        <v>46873</v>
      </c>
      <c r="W11" s="2">
        <f>IF(COLUMNS($G11:W11)&lt;=$D$7+$D$8,EOMONTH(V11,1),EOMONTH(V11,12))</f>
        <v>46904</v>
      </c>
      <c r="X11" s="2">
        <f>IF(COLUMNS($G11:X11)&lt;=$D$7+$D$8,EOMONTH(W11,1),EOMONTH(W11,12))</f>
        <v>46934</v>
      </c>
      <c r="Y11" s="2">
        <f>IF(COLUMNS($G11:Y11)&lt;=$D$7+$D$8,EOMONTH(X11,1),EOMONTH(X11,12))</f>
        <v>46965</v>
      </c>
      <c r="Z11" s="2">
        <f>IF(COLUMNS($G11:Z11)&lt;=$D$7+$D$8,EOMONTH(Y11,1),EOMONTH(Y11,12))</f>
        <v>46996</v>
      </c>
      <c r="AA11" s="2">
        <f>IF(COLUMNS($G11:AA11)&lt;=$D$7+$D$8,EOMONTH(Z11,1),EOMONTH(Z11,12))</f>
        <v>47026</v>
      </c>
      <c r="AB11" s="2">
        <f>IF(COLUMNS($G11:AB11)&lt;=$D$7+$D$8,EOMONTH(AA11,1),EOMONTH(AA11,12))</f>
        <v>47057</v>
      </c>
      <c r="AC11" s="2">
        <f>IF(COLUMNS($G11:AC11)&lt;=$D$7+$D$8,EOMONTH(AB11,1),EOMONTH(AB11,12))</f>
        <v>47087</v>
      </c>
      <c r="AD11" s="2">
        <f>IF(COLUMNS($G11:AD11)&lt;=$D$7+$D$8,EOMONTH(AC11,1),EOMONTH(AC11,12))</f>
        <v>47118</v>
      </c>
      <c r="AE11" s="2">
        <f>IF(COLUMNS($G11:AE11)&lt;=$D$7+$D$8,EOMONTH(AD11,1),EOMONTH(AD11,12))</f>
        <v>47149</v>
      </c>
      <c r="AF11" s="2">
        <f>IF(COLUMNS($G11:AF11)&lt;=$D$7+$D$8,EOMONTH(AE11,1),EOMONTH(AE11,12))</f>
        <v>47177</v>
      </c>
      <c r="AG11" s="2">
        <f>IF(COLUMNS($G11:AG11)&lt;=$D$7+$D$8,EOMONTH(AF11,1),EOMONTH(AF11,12))</f>
        <v>47208</v>
      </c>
      <c r="AH11" s="2">
        <f>IF(COLUMNS($G11:AH11)&lt;=$D$7+$D$8,EOMONTH(AG11,1),EOMONTH(AG11,12))</f>
        <v>47238</v>
      </c>
      <c r="AI11" s="2">
        <f>IF(COLUMNS($G11:AI11)&lt;=$D$7+$D$8,EOMONTH(AH11,1),EOMONTH(AH11,12))</f>
        <v>47269</v>
      </c>
      <c r="AJ11" s="2">
        <f>IF(COLUMNS($G11:AJ11)&lt;=$D$7+$D$8,EOMONTH(AI11,1),EOMONTH(AI11,12))</f>
        <v>47299</v>
      </c>
      <c r="AK11" s="2">
        <f>IF(COLUMNS($G11:AK11)&lt;=$D$7+$D$8,EOMONTH(AJ11,1),EOMONTH(AJ11,12))</f>
        <v>47330</v>
      </c>
      <c r="AL11" s="2">
        <f>IF(COLUMNS($G11:AL11)&lt;=$D$7+$D$8,EOMONTH(AK11,1),EOMONTH(AK11,12))</f>
        <v>47361</v>
      </c>
      <c r="AM11" s="2">
        <f>IF(COLUMNS($G11:AM11)&lt;=$D$7+$D$8,EOMONTH(AL11,1),EOMONTH(AL11,12))</f>
        <v>47391</v>
      </c>
      <c r="AN11" s="2">
        <f>IF(COLUMNS($G11:AN11)&lt;=$D$7+$D$8,EOMONTH(AM11,1),EOMONTH(AM11,12))</f>
        <v>47422</v>
      </c>
      <c r="AO11" s="2">
        <f>IF(COLUMNS($G11:AO11)&lt;=$D$7+$D$8,EOMONTH(AN11,1),EOMONTH(AN11,12))</f>
        <v>47452</v>
      </c>
      <c r="AP11" s="2">
        <f>IF(COLUMNS($G11:AP11)&lt;=$D$7+$D$8,EOMONTH(AO11,1),EOMONTH(AO11,12))</f>
        <v>47483</v>
      </c>
      <c r="AQ11" s="2">
        <f>IF(COLUMNS($G11:AQ11)&lt;=$D$7+$D$8,EOMONTH(AP11,1),EOMONTH(AP11,12))</f>
        <v>47514</v>
      </c>
      <c r="AR11" s="2">
        <f>IF(COLUMNS($G11:AR11)&lt;=$D$7+$D$8,EOMONTH(AQ11,1),EOMONTH(AQ11,12))</f>
        <v>47542</v>
      </c>
      <c r="AS11" s="2">
        <f>IF(COLUMNS($G11:AS11)&lt;=$D$7+$D$8,EOMONTH(AR11,1),EOMONTH(AR11,12))</f>
        <v>47573</v>
      </c>
      <c r="AT11" s="2">
        <f>IF(COLUMNS($G11:AT11)&lt;=$D$7+$D$8,EOMONTH(AS11,1),EOMONTH(AS11,12))</f>
        <v>47603</v>
      </c>
      <c r="AU11" s="2">
        <f>IF(COLUMNS($G11:AU11)&lt;=$D$7+$D$8,EOMONTH(AT11,1),EOMONTH(AT11,12))</f>
        <v>47634</v>
      </c>
      <c r="AV11" s="2">
        <f>IF(COLUMNS($G11:AV11)&lt;=$D$7+$D$8,EOMONTH(AU11,1),EOMONTH(AU11,12))</f>
        <v>47664</v>
      </c>
      <c r="AW11" s="2">
        <f>IF(COLUMNS($G11:AW11)&lt;=$D$7+$D$8,EOMONTH(AV11,1),EOMONTH(AV11,12))</f>
        <v>47695</v>
      </c>
      <c r="AX11" s="2">
        <f>IF(COLUMNS($G11:AX11)&lt;=$D$7+$D$8,EOMONTH(AW11,1),EOMONTH(AW11,12))</f>
        <v>47726</v>
      </c>
      <c r="AY11" s="2">
        <f>IF(COLUMNS($G11:AY11)&lt;=$D$7+$D$8,EOMONTH(AX11,1),EOMONTH(AX11,12))</f>
        <v>47756</v>
      </c>
      <c r="AZ11" s="2">
        <f>IF(COLUMNS($G11:AZ11)&lt;=$D$7+$D$8,EOMONTH(AY11,1),EOMONTH(AY11,12))</f>
        <v>47787</v>
      </c>
      <c r="BA11" s="2">
        <f>IF(COLUMNS($G11:BA11)&lt;=$D$7+$D$8,EOMONTH(AZ11,1),EOMONTH(AZ11,12))</f>
        <v>47817</v>
      </c>
      <c r="BB11" s="2">
        <f>IF(COLUMNS($G11:BB11)&lt;=$D$7+$D$8,EOMONTH(BA11,1),EOMONTH(BA11,12))</f>
        <v>47848</v>
      </c>
      <c r="BC11" s="2">
        <f>IF(COLUMNS($G11:BC11)&lt;=$D$7+$D$8,EOMONTH(BB11,1),EOMONTH(BB11,12))</f>
        <v>47879</v>
      </c>
      <c r="BD11" s="2">
        <f>IF(COLUMNS($G11:BD11)&lt;=$D$7+$D$8,EOMONTH(BC11,1),EOMONTH(BC11,12))</f>
        <v>47907</v>
      </c>
      <c r="BE11" s="2">
        <f>IF(COLUMNS($G11:BE11)&lt;=$D$7+$D$8,EOMONTH(BD11,1),EOMONTH(BD11,12))</f>
        <v>47938</v>
      </c>
      <c r="BF11" s="2">
        <f>IF(COLUMNS($G11:BF11)&lt;=$D$7+$D$8,EOMONTH(BE11,1),EOMONTH(BE11,12))</f>
        <v>47968</v>
      </c>
      <c r="BG11" s="2">
        <f>IF(COLUMNS($G11:BG11)&lt;=$D$7+$D$8,EOMONTH(BF11,1),EOMONTH(BF11,12))</f>
        <v>47999</v>
      </c>
      <c r="BH11" s="2">
        <f>IF(COLUMNS($G11:BH11)&lt;=$D$7+$D$8,EOMONTH(BG11,1),EOMONTH(BG11,12))</f>
        <v>48029</v>
      </c>
      <c r="BI11" s="2">
        <f>IF(COLUMNS($G11:BI11)&lt;=$D$7+$D$8,EOMONTH(BH11,1),EOMONTH(BH11,12))</f>
        <v>48395</v>
      </c>
      <c r="BJ11" s="2">
        <f>IF(COLUMNS($G11:BJ11)&lt;=$D$7+$D$8,EOMONTH(BI11,1),EOMONTH(BI11,12))</f>
        <v>48760</v>
      </c>
      <c r="BK11" s="2">
        <f>IF(COLUMNS($G11:BK11)&lt;=$D$7+$D$8,EOMONTH(BJ11,1),EOMONTH(BJ11,12))</f>
        <v>49125</v>
      </c>
      <c r="BL11" s="2">
        <f>IF(COLUMNS($G11:BL11)&lt;=$D$7+$D$8,EOMONTH(BK11,1),EOMONTH(BK11,12))</f>
        <v>49490</v>
      </c>
      <c r="BM11" s="2">
        <f>IF(COLUMNS($G11:BM11)&lt;=$D$7+$D$8,EOMONTH(BL11,1),EOMONTH(BL11,12))</f>
        <v>49856</v>
      </c>
      <c r="BN11" s="2">
        <f>IF(COLUMNS($G11:BN11)&lt;=$D$7+$D$8,EOMONTH(BM11,1),EOMONTH(BM11,12))</f>
        <v>50221</v>
      </c>
      <c r="BO11" s="2">
        <f>IF(COLUMNS($G11:BO11)&lt;=$D$7+$D$8,EOMONTH(BN11,1),EOMONTH(BN11,12))</f>
        <v>50586</v>
      </c>
    </row>
    <row r="12" spans="1:67">
      <c r="A12" s="11"/>
      <c r="B12" s="11" t="s">
        <v>37</v>
      </c>
      <c r="C12" s="11"/>
      <c r="D12" s="33"/>
      <c r="E12" s="33"/>
      <c r="F12" s="33"/>
      <c r="G12" s="22" t="str">
        <f>IF(COLUMNS($G12:G12)&lt;=$D$7+$D$8,TEXT(G11,"mmm-yy"),"FY"&amp;YEAR(G11))</f>
        <v>Jan-27</v>
      </c>
      <c r="H12" s="22" t="str">
        <f>IF(COLUMNS($G12:H12)&lt;=$D$7+$D$8,TEXT(H11,"mmm-yy"),"FY"&amp;YEAR(H11))</f>
        <v>Feb-27</v>
      </c>
      <c r="I12" s="22" t="str">
        <f>IF(COLUMNS($G12:I12)&lt;=$D$7+$D$8,TEXT(I11,"mmm-yy"),"FY"&amp;YEAR(I11))</f>
        <v>Mar-27</v>
      </c>
      <c r="J12" s="22" t="str">
        <f>IF(COLUMNS($G12:J12)&lt;=$D$7+$D$8,TEXT(J11,"mmm-yy"),"FY"&amp;YEAR(J11))</f>
        <v>Apr-27</v>
      </c>
      <c r="K12" s="22" t="str">
        <f>IF(COLUMNS($G12:K12)&lt;=$D$7+$D$8,TEXT(K11,"mmm-yy"),"FY"&amp;YEAR(K11))</f>
        <v>May-27</v>
      </c>
      <c r="L12" s="22" t="str">
        <f>IF(COLUMNS($G12:L12)&lt;=$D$7+$D$8,TEXT(L11,"mmm-yy"),"FY"&amp;YEAR(L11))</f>
        <v>Jun-27</v>
      </c>
      <c r="M12" s="22" t="str">
        <f>IF(COLUMNS($G12:M12)&lt;=$D$7+$D$8,TEXT(M11,"mmm-yy"),"FY"&amp;YEAR(M11))</f>
        <v>Jul-27</v>
      </c>
      <c r="N12" s="22" t="str">
        <f>IF(COLUMNS($G12:N12)&lt;=$D$7+$D$8,TEXT(N11,"mmm-yy"),"FY"&amp;YEAR(N11))</f>
        <v>Aug-27</v>
      </c>
      <c r="O12" s="22" t="str">
        <f>IF(COLUMNS($G12:O12)&lt;=$D$7+$D$8,TEXT(O11,"mmm-yy"),"FY"&amp;YEAR(O11))</f>
        <v>Sep-27</v>
      </c>
      <c r="P12" s="22" t="str">
        <f>IF(COLUMNS($G12:P12)&lt;=$D$7+$D$8,TEXT(P11,"mmm-yy"),"FY"&amp;YEAR(P11))</f>
        <v>Oct-27</v>
      </c>
      <c r="Q12" s="22" t="str">
        <f>IF(COLUMNS($G12:Q12)&lt;=$D$7+$D$8,TEXT(Q11,"mmm-yy"),"FY"&amp;YEAR(Q11))</f>
        <v>Nov-27</v>
      </c>
      <c r="R12" s="22" t="str">
        <f>IF(COLUMNS($G12:R12)&lt;=$D$7+$D$8,TEXT(R11,"mmm-yy"),"FY"&amp;YEAR(R11))</f>
        <v>Dec-27</v>
      </c>
      <c r="S12" s="22" t="str">
        <f>IF(COLUMNS($G12:S12)&lt;=$D$7+$D$8,TEXT(S11,"mmm-yy"),"FY"&amp;YEAR(S11))</f>
        <v>Jan-28</v>
      </c>
      <c r="T12" s="22" t="str">
        <f>IF(COLUMNS($G12:T12)&lt;=$D$7+$D$8,TEXT(T11,"mmm-yy"),"FY"&amp;YEAR(T11))</f>
        <v>Feb-28</v>
      </c>
      <c r="U12" s="22" t="str">
        <f>IF(COLUMNS($G12:U12)&lt;=$D$7+$D$8,TEXT(U11,"mmm-yy"),"FY"&amp;YEAR(U11))</f>
        <v>Mar-28</v>
      </c>
      <c r="V12" s="22" t="str">
        <f>IF(COLUMNS($G12:V12)&lt;=$D$7+$D$8,TEXT(V11,"mmm-yy"),"FY"&amp;YEAR(V11))</f>
        <v>Apr-28</v>
      </c>
      <c r="W12" s="22" t="str">
        <f>IF(COLUMNS($G12:W12)&lt;=$D$7+$D$8,TEXT(W11,"mmm-yy"),"FY"&amp;YEAR(W11))</f>
        <v>May-28</v>
      </c>
      <c r="X12" s="22" t="str">
        <f>IF(COLUMNS($G12:X12)&lt;=$D$7+$D$8,TEXT(X11,"mmm-yy"),"FY"&amp;YEAR(X11))</f>
        <v>Jun-28</v>
      </c>
      <c r="Y12" s="22" t="str">
        <f>IF(COLUMNS($G12:Y12)&lt;=$D$7+$D$8,TEXT(Y11,"mmm-yy"),"FY"&amp;YEAR(Y11))</f>
        <v>Jul-28</v>
      </c>
      <c r="Z12" s="22" t="str">
        <f>IF(COLUMNS($G12:Z12)&lt;=$D$7+$D$8,TEXT(Z11,"mmm-yy"),"FY"&amp;YEAR(Z11))</f>
        <v>Aug-28</v>
      </c>
      <c r="AA12" s="22" t="str">
        <f>IF(COLUMNS($G12:AA12)&lt;=$D$7+$D$8,TEXT(AA11,"mmm-yy"),"FY"&amp;YEAR(AA11))</f>
        <v>Sep-28</v>
      </c>
      <c r="AB12" s="22" t="str">
        <f>IF(COLUMNS($G12:AB12)&lt;=$D$7+$D$8,TEXT(AB11,"mmm-yy"),"FY"&amp;YEAR(AB11))</f>
        <v>Oct-28</v>
      </c>
      <c r="AC12" s="22" t="str">
        <f>IF(COLUMNS($G12:AC12)&lt;=$D$7+$D$8,TEXT(AC11,"mmm-yy"),"FY"&amp;YEAR(AC11))</f>
        <v>Nov-28</v>
      </c>
      <c r="AD12" s="22" t="str">
        <f>IF(COLUMNS($G12:AD12)&lt;=$D$7+$D$8,TEXT(AD11,"mmm-yy"),"FY"&amp;YEAR(AD11))</f>
        <v>Dec-28</v>
      </c>
      <c r="AE12" s="22" t="str">
        <f>IF(COLUMNS($G12:AE12)&lt;=$D$7+$D$8,TEXT(AE11,"mmm-yy"),"FY"&amp;YEAR(AE11))</f>
        <v>Jan-29</v>
      </c>
      <c r="AF12" s="22" t="str">
        <f>IF(COLUMNS($G12:AF12)&lt;=$D$7+$D$8,TEXT(AF11,"mmm-yy"),"FY"&amp;YEAR(AF11))</f>
        <v>Feb-29</v>
      </c>
      <c r="AG12" s="22" t="str">
        <f>IF(COLUMNS($G12:AG12)&lt;=$D$7+$D$8,TEXT(AG11,"mmm-yy"),"FY"&amp;YEAR(AG11))</f>
        <v>Mar-29</v>
      </c>
      <c r="AH12" s="22" t="str">
        <f>IF(COLUMNS($G12:AH12)&lt;=$D$7+$D$8,TEXT(AH11,"mmm-yy"),"FY"&amp;YEAR(AH11))</f>
        <v>Apr-29</v>
      </c>
      <c r="AI12" s="22" t="str">
        <f>IF(COLUMNS($G12:AI12)&lt;=$D$7+$D$8,TEXT(AI11,"mmm-yy"),"FY"&amp;YEAR(AI11))</f>
        <v>May-29</v>
      </c>
      <c r="AJ12" s="22" t="str">
        <f>IF(COLUMNS($G12:AJ12)&lt;=$D$7+$D$8,TEXT(AJ11,"mmm-yy"),"FY"&amp;YEAR(AJ11))</f>
        <v>Jun-29</v>
      </c>
      <c r="AK12" s="22" t="str">
        <f>IF(COLUMNS($G12:AK12)&lt;=$D$7+$D$8,TEXT(AK11,"mmm-yy"),"FY"&amp;YEAR(AK11))</f>
        <v>Jul-29</v>
      </c>
      <c r="AL12" s="22" t="str">
        <f>IF(COLUMNS($G12:AL12)&lt;=$D$7+$D$8,TEXT(AL11,"mmm-yy"),"FY"&amp;YEAR(AL11))</f>
        <v>Aug-29</v>
      </c>
      <c r="AM12" s="22" t="str">
        <f>IF(COLUMNS($G12:AM12)&lt;=$D$7+$D$8,TEXT(AM11,"mmm-yy"),"FY"&amp;YEAR(AM11))</f>
        <v>Sep-29</v>
      </c>
      <c r="AN12" s="22" t="str">
        <f>IF(COLUMNS($G12:AN12)&lt;=$D$7+$D$8,TEXT(AN11,"mmm-yy"),"FY"&amp;YEAR(AN11))</f>
        <v>Oct-29</v>
      </c>
      <c r="AO12" s="22" t="str">
        <f>IF(COLUMNS($G12:AO12)&lt;=$D$7+$D$8,TEXT(AO11,"mmm-yy"),"FY"&amp;YEAR(AO11))</f>
        <v>Nov-29</v>
      </c>
      <c r="AP12" s="22" t="str">
        <f>IF(COLUMNS($G12:AP12)&lt;=$D$7+$D$8,TEXT(AP11,"mmm-yy"),"FY"&amp;YEAR(AP11))</f>
        <v>Dec-29</v>
      </c>
      <c r="AQ12" s="22" t="str">
        <f>IF(COLUMNS($G12:AQ12)&lt;=$D$7+$D$8,TEXT(AQ11,"mmm-yy"),"FY"&amp;YEAR(AQ11))</f>
        <v>Jan-30</v>
      </c>
      <c r="AR12" s="22" t="str">
        <f>IF(COLUMNS($G12:AR12)&lt;=$D$7+$D$8,TEXT(AR11,"mmm-yy"),"FY"&amp;YEAR(AR11))</f>
        <v>Feb-30</v>
      </c>
      <c r="AS12" s="22" t="str">
        <f>IF(COLUMNS($G12:AS12)&lt;=$D$7+$D$8,TEXT(AS11,"mmm-yy"),"FY"&amp;YEAR(AS11))</f>
        <v>Mar-30</v>
      </c>
      <c r="AT12" s="22" t="str">
        <f>IF(COLUMNS($G12:AT12)&lt;=$D$7+$D$8,TEXT(AT11,"mmm-yy"),"FY"&amp;YEAR(AT11))</f>
        <v>Apr-30</v>
      </c>
      <c r="AU12" s="22" t="str">
        <f>IF(COLUMNS($G12:AU12)&lt;=$D$7+$D$8,TEXT(AU11,"mmm-yy"),"FY"&amp;YEAR(AU11))</f>
        <v>May-30</v>
      </c>
      <c r="AV12" s="22" t="str">
        <f>IF(COLUMNS($G12:AV12)&lt;=$D$7+$D$8,TEXT(AV11,"mmm-yy"),"FY"&amp;YEAR(AV11))</f>
        <v>Jun-30</v>
      </c>
      <c r="AW12" s="22" t="str">
        <f>IF(COLUMNS($G12:AW12)&lt;=$D$7+$D$8,TEXT(AW11,"mmm-yy"),"FY"&amp;YEAR(AW11))</f>
        <v>Jul-30</v>
      </c>
      <c r="AX12" s="22" t="str">
        <f>IF(COLUMNS($G12:AX12)&lt;=$D$7+$D$8,TEXT(AX11,"mmm-yy"),"FY"&amp;YEAR(AX11))</f>
        <v>Aug-30</v>
      </c>
      <c r="AY12" s="22" t="str">
        <f>IF(COLUMNS($G12:AY12)&lt;=$D$7+$D$8,TEXT(AY11,"mmm-yy"),"FY"&amp;YEAR(AY11))</f>
        <v>Sep-30</v>
      </c>
      <c r="AZ12" s="22" t="str">
        <f>IF(COLUMNS($G12:AZ12)&lt;=$D$7+$D$8,TEXT(AZ11,"mmm-yy"),"FY"&amp;YEAR(AZ11))</f>
        <v>Oct-30</v>
      </c>
      <c r="BA12" s="22" t="str">
        <f>IF(COLUMNS($G12:BA12)&lt;=$D$7+$D$8,TEXT(BA11,"mmm-yy"),"FY"&amp;YEAR(BA11))</f>
        <v>Nov-30</v>
      </c>
      <c r="BB12" s="22" t="str">
        <f>IF(COLUMNS($G12:BB12)&lt;=$D$7+$D$8,TEXT(BB11,"mmm-yy"),"FY"&amp;YEAR(BB11))</f>
        <v>Dec-30</v>
      </c>
      <c r="BC12" s="22" t="str">
        <f>IF(COLUMNS($G12:BC12)&lt;=$D$7+$D$8,TEXT(BC11,"mmm-yy"),"FY"&amp;YEAR(BC11))</f>
        <v>Jan-31</v>
      </c>
      <c r="BD12" s="22" t="str">
        <f>IF(COLUMNS($G12:BD12)&lt;=$D$7+$D$8,TEXT(BD11,"mmm-yy"),"FY"&amp;YEAR(BD11))</f>
        <v>Feb-31</v>
      </c>
      <c r="BE12" s="22" t="str">
        <f>IF(COLUMNS($G12:BE12)&lt;=$D$7+$D$8,TEXT(BE11,"mmm-yy"),"FY"&amp;YEAR(BE11))</f>
        <v>Mar-31</v>
      </c>
      <c r="BF12" s="22" t="str">
        <f>IF(COLUMNS($G12:BF12)&lt;=$D$7+$D$8,TEXT(BF11,"mmm-yy"),"FY"&amp;YEAR(BF11))</f>
        <v>Apr-31</v>
      </c>
      <c r="BG12" s="22" t="str">
        <f>IF(COLUMNS($G12:BG12)&lt;=$D$7+$D$8,TEXT(BG11,"mmm-yy"),"FY"&amp;YEAR(BG11))</f>
        <v>May-31</v>
      </c>
      <c r="BH12" s="22" t="str">
        <f>IF(COLUMNS($G12:BH12)&lt;=$D$7+$D$8,TEXT(BH11,"mmm-yy"),"FY"&amp;YEAR(BH11))</f>
        <v>Jun-31</v>
      </c>
      <c r="BI12" s="22" t="str">
        <f>IF(COLUMNS($G12:BI12)&lt;=$D$7+$D$8,TEXT(BI11,"mmm-yy"),"FY"&amp;YEAR(BI11))</f>
        <v>FY2032</v>
      </c>
      <c r="BJ12" s="22" t="str">
        <f>IF(COLUMNS($G12:BJ12)&lt;=$D$7+$D$8,TEXT(BJ11,"mmm-yy"),"FY"&amp;YEAR(BJ11))</f>
        <v>FY2033</v>
      </c>
      <c r="BK12" s="22" t="str">
        <f>IF(COLUMNS($G12:BK12)&lt;=$D$7+$D$8,TEXT(BK11,"mmm-yy"),"FY"&amp;YEAR(BK11))</f>
        <v>FY2034</v>
      </c>
      <c r="BL12" s="22" t="str">
        <f>IF(COLUMNS($G12:BL12)&lt;=$D$7+$D$8,TEXT(BL11,"mmm-yy"),"FY"&amp;YEAR(BL11))</f>
        <v>FY2035</v>
      </c>
      <c r="BM12" s="22" t="str">
        <f>IF(COLUMNS($G12:BM12)&lt;=$D$7+$D$8,TEXT(BM11,"mmm-yy"),"FY"&amp;YEAR(BM11))</f>
        <v>FY2036</v>
      </c>
      <c r="BN12" s="22" t="str">
        <f>IF(COLUMNS($G12:BN12)&lt;=$D$7+$D$8,TEXT(BN11,"mmm-yy"),"FY"&amp;YEAR(BN11))</f>
        <v>FY2037</v>
      </c>
      <c r="BO12" s="22" t="str">
        <f>IF(COLUMNS($G12:BO12)&lt;=$D$7+$D$8,TEXT(BO11,"mmm-yy"),"FY"&amp;YEAR(BO11))</f>
        <v>FY2038</v>
      </c>
    </row>
    <row r="13" spans="1:67">
      <c r="A13" s="11"/>
      <c r="B13" s="11" t="s">
        <v>38</v>
      </c>
      <c r="C13" s="11"/>
      <c r="D13" s="33"/>
      <c r="E13" s="33"/>
      <c r="F13" s="33"/>
      <c r="G13" s="90">
        <f>IF(COLUMNS($G13:G13)&lt;=$D$7+$D$8,DAY(G11),G11-EDATE(G11,-12))</f>
        <v>31</v>
      </c>
      <c r="H13" s="90">
        <f>IF(COLUMNS($G13:H13)&lt;=$D$7+$D$8,DAY(H11),H11-EDATE(H11,-12))</f>
        <v>28</v>
      </c>
      <c r="I13" s="90">
        <f>IF(COLUMNS($G13:I13)&lt;=$D$7+$D$8,DAY(I11),I11-EDATE(I11,-12))</f>
        <v>31</v>
      </c>
      <c r="J13" s="90">
        <f>IF(COLUMNS($G13:J13)&lt;=$D$7+$D$8,DAY(J11),J11-EDATE(J11,-12))</f>
        <v>30</v>
      </c>
      <c r="K13" s="90">
        <f>IF(COLUMNS($G13:K13)&lt;=$D$7+$D$8,DAY(K11),K11-EDATE(K11,-12))</f>
        <v>31</v>
      </c>
      <c r="L13" s="90">
        <f>IF(COLUMNS($G13:L13)&lt;=$D$7+$D$8,DAY(L11),L11-EDATE(L11,-12))</f>
        <v>30</v>
      </c>
      <c r="M13" s="90">
        <f>IF(COLUMNS($G13:M13)&lt;=$D$7+$D$8,DAY(M11),M11-EDATE(M11,-12))</f>
        <v>31</v>
      </c>
      <c r="N13" s="90">
        <f>IF(COLUMNS($G13:N13)&lt;=$D$7+$D$8,DAY(N11),N11-EDATE(N11,-12))</f>
        <v>31</v>
      </c>
      <c r="O13" s="90">
        <f>IF(COLUMNS($G13:O13)&lt;=$D$7+$D$8,DAY(O11),O11-EDATE(O11,-12))</f>
        <v>30</v>
      </c>
      <c r="P13" s="90">
        <f>IF(COLUMNS($G13:P13)&lt;=$D$7+$D$8,DAY(P11),P11-EDATE(P11,-12))</f>
        <v>31</v>
      </c>
      <c r="Q13" s="90">
        <f>IF(COLUMNS($G13:Q13)&lt;=$D$7+$D$8,DAY(Q11),Q11-EDATE(Q11,-12))</f>
        <v>30</v>
      </c>
      <c r="R13" s="90">
        <f>IF(COLUMNS($G13:R13)&lt;=$D$7+$D$8,DAY(R11),R11-EDATE(R11,-12))</f>
        <v>31</v>
      </c>
      <c r="S13" s="90">
        <f>IF(COLUMNS($G13:S13)&lt;=$D$7+$D$8,DAY(S11),S11-EDATE(S11,-12))</f>
        <v>31</v>
      </c>
      <c r="T13" s="90">
        <f>IF(COLUMNS($G13:T13)&lt;=$D$7+$D$8,DAY(T11),T11-EDATE(T11,-12))</f>
        <v>29</v>
      </c>
      <c r="U13" s="90">
        <f>IF(COLUMNS($G13:U13)&lt;=$D$7+$D$8,DAY(U11),U11-EDATE(U11,-12))</f>
        <v>31</v>
      </c>
      <c r="V13" s="90">
        <f>IF(COLUMNS($G13:V13)&lt;=$D$7+$D$8,DAY(V11),V11-EDATE(V11,-12))</f>
        <v>30</v>
      </c>
      <c r="W13" s="90">
        <f>IF(COLUMNS($G13:W13)&lt;=$D$7+$D$8,DAY(W11),W11-EDATE(W11,-12))</f>
        <v>31</v>
      </c>
      <c r="X13" s="90">
        <f>IF(COLUMNS($G13:X13)&lt;=$D$7+$D$8,DAY(X11),X11-EDATE(X11,-12))</f>
        <v>30</v>
      </c>
      <c r="Y13" s="90">
        <f>IF(COLUMNS($G13:Y13)&lt;=$D$7+$D$8,DAY(Y11),Y11-EDATE(Y11,-12))</f>
        <v>31</v>
      </c>
      <c r="Z13" s="90">
        <f>IF(COLUMNS($G13:Z13)&lt;=$D$7+$D$8,DAY(Z11),Z11-EDATE(Z11,-12))</f>
        <v>31</v>
      </c>
      <c r="AA13" s="90">
        <f>IF(COLUMNS($G13:AA13)&lt;=$D$7+$D$8,DAY(AA11),AA11-EDATE(AA11,-12))</f>
        <v>30</v>
      </c>
      <c r="AB13" s="90">
        <f>IF(COLUMNS($G13:AB13)&lt;=$D$7+$D$8,DAY(AB11),AB11-EDATE(AB11,-12))</f>
        <v>31</v>
      </c>
      <c r="AC13" s="90">
        <f>IF(COLUMNS($G13:AC13)&lt;=$D$7+$D$8,DAY(AC11),AC11-EDATE(AC11,-12))</f>
        <v>30</v>
      </c>
      <c r="AD13" s="90">
        <f>IF(COLUMNS($G13:AD13)&lt;=$D$7+$D$8,DAY(AD11),AD11-EDATE(AD11,-12))</f>
        <v>31</v>
      </c>
      <c r="AE13" s="90">
        <f>IF(COLUMNS($G13:AE13)&lt;=$D$7+$D$8,DAY(AE11),AE11-EDATE(AE11,-12))</f>
        <v>31</v>
      </c>
      <c r="AF13" s="90">
        <f>IF(COLUMNS($G13:AF13)&lt;=$D$7+$D$8,DAY(AF11),AF11-EDATE(AF11,-12))</f>
        <v>28</v>
      </c>
      <c r="AG13" s="90">
        <f>IF(COLUMNS($G13:AG13)&lt;=$D$7+$D$8,DAY(AG11),AG11-EDATE(AG11,-12))</f>
        <v>31</v>
      </c>
      <c r="AH13" s="90">
        <f>IF(COLUMNS($G13:AH13)&lt;=$D$7+$D$8,DAY(AH11),AH11-EDATE(AH11,-12))</f>
        <v>30</v>
      </c>
      <c r="AI13" s="90">
        <f>IF(COLUMNS($G13:AI13)&lt;=$D$7+$D$8,DAY(AI11),AI11-EDATE(AI11,-12))</f>
        <v>31</v>
      </c>
      <c r="AJ13" s="90">
        <f>IF(COLUMNS($G13:AJ13)&lt;=$D$7+$D$8,DAY(AJ11),AJ11-EDATE(AJ11,-12))</f>
        <v>30</v>
      </c>
      <c r="AK13" s="90">
        <f>IF(COLUMNS($G13:AK13)&lt;=$D$7+$D$8,DAY(AK11),AK11-EDATE(AK11,-12))</f>
        <v>31</v>
      </c>
      <c r="AL13" s="90">
        <f>IF(COLUMNS($G13:AL13)&lt;=$D$7+$D$8,DAY(AL11),AL11-EDATE(AL11,-12))</f>
        <v>31</v>
      </c>
      <c r="AM13" s="90">
        <f>IF(COLUMNS($G13:AM13)&lt;=$D$7+$D$8,DAY(AM11),AM11-EDATE(AM11,-12))</f>
        <v>30</v>
      </c>
      <c r="AN13" s="90">
        <f>IF(COLUMNS($G13:AN13)&lt;=$D$7+$D$8,DAY(AN11),AN11-EDATE(AN11,-12))</f>
        <v>31</v>
      </c>
      <c r="AO13" s="90">
        <f>IF(COLUMNS($G13:AO13)&lt;=$D$7+$D$8,DAY(AO11),AO11-EDATE(AO11,-12))</f>
        <v>30</v>
      </c>
      <c r="AP13" s="90">
        <f>IF(COLUMNS($G13:AP13)&lt;=$D$7+$D$8,DAY(AP11),AP11-EDATE(AP11,-12))</f>
        <v>31</v>
      </c>
      <c r="AQ13" s="90">
        <f>IF(COLUMNS($G13:AQ13)&lt;=$D$7+$D$8,DAY(AQ11),AQ11-EDATE(AQ11,-12))</f>
        <v>31</v>
      </c>
      <c r="AR13" s="90">
        <f>IF(COLUMNS($G13:AR13)&lt;=$D$7+$D$8,DAY(AR11),AR11-EDATE(AR11,-12))</f>
        <v>28</v>
      </c>
      <c r="AS13" s="90">
        <f>IF(COLUMNS($G13:AS13)&lt;=$D$7+$D$8,DAY(AS11),AS11-EDATE(AS11,-12))</f>
        <v>31</v>
      </c>
      <c r="AT13" s="90">
        <f>IF(COLUMNS($G13:AT13)&lt;=$D$7+$D$8,DAY(AT11),AT11-EDATE(AT11,-12))</f>
        <v>30</v>
      </c>
      <c r="AU13" s="90">
        <f>IF(COLUMNS($G13:AU13)&lt;=$D$7+$D$8,DAY(AU11),AU11-EDATE(AU11,-12))</f>
        <v>31</v>
      </c>
      <c r="AV13" s="90">
        <f>IF(COLUMNS($G13:AV13)&lt;=$D$7+$D$8,DAY(AV11),AV11-EDATE(AV11,-12))</f>
        <v>30</v>
      </c>
      <c r="AW13" s="90">
        <f>IF(COLUMNS($G13:AW13)&lt;=$D$7+$D$8,DAY(AW11),AW11-EDATE(AW11,-12))</f>
        <v>31</v>
      </c>
      <c r="AX13" s="90">
        <f>IF(COLUMNS($G13:AX13)&lt;=$D$7+$D$8,DAY(AX11),AX11-EDATE(AX11,-12))</f>
        <v>31</v>
      </c>
      <c r="AY13" s="90">
        <f>IF(COLUMNS($G13:AY13)&lt;=$D$7+$D$8,DAY(AY11),AY11-EDATE(AY11,-12))</f>
        <v>30</v>
      </c>
      <c r="AZ13" s="90">
        <f>IF(COLUMNS($G13:AZ13)&lt;=$D$7+$D$8,DAY(AZ11),AZ11-EDATE(AZ11,-12))</f>
        <v>31</v>
      </c>
      <c r="BA13" s="90">
        <f>IF(COLUMNS($G13:BA13)&lt;=$D$7+$D$8,DAY(BA11),BA11-EDATE(BA11,-12))</f>
        <v>30</v>
      </c>
      <c r="BB13" s="90">
        <f>IF(COLUMNS($G13:BB13)&lt;=$D$7+$D$8,DAY(BB11),BB11-EDATE(BB11,-12))</f>
        <v>31</v>
      </c>
      <c r="BC13" s="90">
        <f>IF(COLUMNS($G13:BC13)&lt;=$D$7+$D$8,DAY(BC11),BC11-EDATE(BC11,-12))</f>
        <v>31</v>
      </c>
      <c r="BD13" s="90">
        <f>IF(COLUMNS($G13:BD13)&lt;=$D$7+$D$8,DAY(BD11),BD11-EDATE(BD11,-12))</f>
        <v>28</v>
      </c>
      <c r="BE13" s="90">
        <f>IF(COLUMNS($G13:BE13)&lt;=$D$7+$D$8,DAY(BE11),BE11-EDATE(BE11,-12))</f>
        <v>31</v>
      </c>
      <c r="BF13" s="90">
        <f>IF(COLUMNS($G13:BF13)&lt;=$D$7+$D$8,DAY(BF11),BF11-EDATE(BF11,-12))</f>
        <v>30</v>
      </c>
      <c r="BG13" s="90">
        <f>IF(COLUMNS($G13:BG13)&lt;=$D$7+$D$8,DAY(BG11),BG11-EDATE(BG11,-12))</f>
        <v>31</v>
      </c>
      <c r="BH13" s="90">
        <f>IF(COLUMNS($G13:BH13)&lt;=$D$7+$D$8,DAY(BH11),BH11-EDATE(BH11,-12))</f>
        <v>30</v>
      </c>
      <c r="BI13" s="90">
        <f>IF(COLUMNS($G13:BI13)&lt;=$D$7+$D$8,DAY(BI11),BI11-EDATE(BI11,-12))</f>
        <v>366</v>
      </c>
      <c r="BJ13" s="90">
        <f>IF(COLUMNS($G13:BJ13)&lt;=$D$7+$D$8,DAY(BJ11),BJ11-EDATE(BJ11,-12))</f>
        <v>365</v>
      </c>
      <c r="BK13" s="90">
        <f>IF(COLUMNS($G13:BK13)&lt;=$D$7+$D$8,DAY(BK11),BK11-EDATE(BK11,-12))</f>
        <v>365</v>
      </c>
      <c r="BL13" s="90">
        <f>IF(COLUMNS($G13:BL13)&lt;=$D$7+$D$8,DAY(BL11),BL11-EDATE(BL11,-12))</f>
        <v>365</v>
      </c>
      <c r="BM13" s="90">
        <f>IF(COLUMNS($G13:BM13)&lt;=$D$7+$D$8,DAY(BM11),BM11-EDATE(BM11,-12))</f>
        <v>366</v>
      </c>
      <c r="BN13" s="90">
        <f>IF(COLUMNS($G13:BN13)&lt;=$D$7+$D$8,DAY(BN11),BN11-EDATE(BN11,-12))</f>
        <v>365</v>
      </c>
      <c r="BO13" s="90">
        <f>IF(COLUMNS($G13:BO13)&lt;=$D$7+$D$8,DAY(BO11),BO11-EDATE(BO11,-12))</f>
        <v>365</v>
      </c>
    </row>
    <row r="14" spans="1:67">
      <c r="A14" s="11"/>
      <c r="B14" s="11" t="s">
        <v>39</v>
      </c>
      <c r="C14" s="11"/>
      <c r="D14" s="33"/>
      <c r="E14" s="33"/>
      <c r="F14" s="33"/>
      <c r="G14" s="90">
        <f>IF(COLUMNS($G14:G14)&lt;=$D$7+$D$8,1,12)</f>
        <v>1</v>
      </c>
      <c r="H14" s="90">
        <f>IF(COLUMNS($G14:H14)&lt;=$D$7+$D$8,1,12)</f>
        <v>1</v>
      </c>
      <c r="I14" s="90">
        <f>IF(COLUMNS($G14:I14)&lt;=$D$7+$D$8,1,12)</f>
        <v>1</v>
      </c>
      <c r="J14" s="90">
        <f>IF(COLUMNS($G14:J14)&lt;=$D$7+$D$8,1,12)</f>
        <v>1</v>
      </c>
      <c r="K14" s="90">
        <f>IF(COLUMNS($G14:K14)&lt;=$D$7+$D$8,1,12)</f>
        <v>1</v>
      </c>
      <c r="L14" s="90">
        <f>IF(COLUMNS($G14:L14)&lt;=$D$7+$D$8,1,12)</f>
        <v>1</v>
      </c>
      <c r="M14" s="90">
        <f>IF(COLUMNS($G14:M14)&lt;=$D$7+$D$8,1,12)</f>
        <v>1</v>
      </c>
      <c r="N14" s="90">
        <f>IF(COLUMNS($G14:N14)&lt;=$D$7+$D$8,1,12)</f>
        <v>1</v>
      </c>
      <c r="O14" s="90">
        <f>IF(COLUMNS($G14:O14)&lt;=$D$7+$D$8,1,12)</f>
        <v>1</v>
      </c>
      <c r="P14" s="90">
        <f>IF(COLUMNS($G14:P14)&lt;=$D$7+$D$8,1,12)</f>
        <v>1</v>
      </c>
      <c r="Q14" s="90">
        <f>IF(COLUMNS($G14:Q14)&lt;=$D$7+$D$8,1,12)</f>
        <v>1</v>
      </c>
      <c r="R14" s="90">
        <f>IF(COLUMNS($G14:R14)&lt;=$D$7+$D$8,1,12)</f>
        <v>1</v>
      </c>
      <c r="S14" s="90">
        <f>IF(COLUMNS($G14:S14)&lt;=$D$7+$D$8,1,12)</f>
        <v>1</v>
      </c>
      <c r="T14" s="90">
        <f>IF(COLUMNS($G14:T14)&lt;=$D$7+$D$8,1,12)</f>
        <v>1</v>
      </c>
      <c r="U14" s="90">
        <f>IF(COLUMNS($G14:U14)&lt;=$D$7+$D$8,1,12)</f>
        <v>1</v>
      </c>
      <c r="V14" s="90">
        <f>IF(COLUMNS($G14:V14)&lt;=$D$7+$D$8,1,12)</f>
        <v>1</v>
      </c>
      <c r="W14" s="90">
        <f>IF(COLUMNS($G14:W14)&lt;=$D$7+$D$8,1,12)</f>
        <v>1</v>
      </c>
      <c r="X14" s="90">
        <f>IF(COLUMNS($G14:X14)&lt;=$D$7+$D$8,1,12)</f>
        <v>1</v>
      </c>
      <c r="Y14" s="90">
        <f>IF(COLUMNS($G14:Y14)&lt;=$D$7+$D$8,1,12)</f>
        <v>1</v>
      </c>
      <c r="Z14" s="90">
        <f>IF(COLUMNS($G14:Z14)&lt;=$D$7+$D$8,1,12)</f>
        <v>1</v>
      </c>
      <c r="AA14" s="90">
        <f>IF(COLUMNS($G14:AA14)&lt;=$D$7+$D$8,1,12)</f>
        <v>1</v>
      </c>
      <c r="AB14" s="90">
        <f>IF(COLUMNS($G14:AB14)&lt;=$D$7+$D$8,1,12)</f>
        <v>1</v>
      </c>
      <c r="AC14" s="90">
        <f>IF(COLUMNS($G14:AC14)&lt;=$D$7+$D$8,1,12)</f>
        <v>1</v>
      </c>
      <c r="AD14" s="90">
        <f>IF(COLUMNS($G14:AD14)&lt;=$D$7+$D$8,1,12)</f>
        <v>1</v>
      </c>
      <c r="AE14" s="90">
        <f>IF(COLUMNS($G14:AE14)&lt;=$D$7+$D$8,1,12)</f>
        <v>1</v>
      </c>
      <c r="AF14" s="90">
        <f>IF(COLUMNS($G14:AF14)&lt;=$D$7+$D$8,1,12)</f>
        <v>1</v>
      </c>
      <c r="AG14" s="90">
        <f>IF(COLUMNS($G14:AG14)&lt;=$D$7+$D$8,1,12)</f>
        <v>1</v>
      </c>
      <c r="AH14" s="90">
        <f>IF(COLUMNS($G14:AH14)&lt;=$D$7+$D$8,1,12)</f>
        <v>1</v>
      </c>
      <c r="AI14" s="90">
        <f>IF(COLUMNS($G14:AI14)&lt;=$D$7+$D$8,1,12)</f>
        <v>1</v>
      </c>
      <c r="AJ14" s="90">
        <f>IF(COLUMNS($G14:AJ14)&lt;=$D$7+$D$8,1,12)</f>
        <v>1</v>
      </c>
      <c r="AK14" s="90">
        <f>IF(COLUMNS($G14:AK14)&lt;=$D$7+$D$8,1,12)</f>
        <v>1</v>
      </c>
      <c r="AL14" s="90">
        <f>IF(COLUMNS($G14:AL14)&lt;=$D$7+$D$8,1,12)</f>
        <v>1</v>
      </c>
      <c r="AM14" s="90">
        <f>IF(COLUMNS($G14:AM14)&lt;=$D$7+$D$8,1,12)</f>
        <v>1</v>
      </c>
      <c r="AN14" s="90">
        <f>IF(COLUMNS($G14:AN14)&lt;=$D$7+$D$8,1,12)</f>
        <v>1</v>
      </c>
      <c r="AO14" s="90">
        <f>IF(COLUMNS($G14:AO14)&lt;=$D$7+$D$8,1,12)</f>
        <v>1</v>
      </c>
      <c r="AP14" s="90">
        <f>IF(COLUMNS($G14:AP14)&lt;=$D$7+$D$8,1,12)</f>
        <v>1</v>
      </c>
      <c r="AQ14" s="90">
        <f>IF(COLUMNS($G14:AQ14)&lt;=$D$7+$D$8,1,12)</f>
        <v>1</v>
      </c>
      <c r="AR14" s="90">
        <f>IF(COLUMNS($G14:AR14)&lt;=$D$7+$D$8,1,12)</f>
        <v>1</v>
      </c>
      <c r="AS14" s="90">
        <f>IF(COLUMNS($G14:AS14)&lt;=$D$7+$D$8,1,12)</f>
        <v>1</v>
      </c>
      <c r="AT14" s="90">
        <f>IF(COLUMNS($G14:AT14)&lt;=$D$7+$D$8,1,12)</f>
        <v>1</v>
      </c>
      <c r="AU14" s="90">
        <f>IF(COLUMNS($G14:AU14)&lt;=$D$7+$D$8,1,12)</f>
        <v>1</v>
      </c>
      <c r="AV14" s="90">
        <f>IF(COLUMNS($G14:AV14)&lt;=$D$7+$D$8,1,12)</f>
        <v>1</v>
      </c>
      <c r="AW14" s="90">
        <f>IF(COLUMNS($G14:AW14)&lt;=$D$7+$D$8,1,12)</f>
        <v>1</v>
      </c>
      <c r="AX14" s="90">
        <f>IF(COLUMNS($G14:AX14)&lt;=$D$7+$D$8,1,12)</f>
        <v>1</v>
      </c>
      <c r="AY14" s="90">
        <f>IF(COLUMNS($G14:AY14)&lt;=$D$7+$D$8,1,12)</f>
        <v>1</v>
      </c>
      <c r="AZ14" s="90">
        <f>IF(COLUMNS($G14:AZ14)&lt;=$D$7+$D$8,1,12)</f>
        <v>1</v>
      </c>
      <c r="BA14" s="90">
        <f>IF(COLUMNS($G14:BA14)&lt;=$D$7+$D$8,1,12)</f>
        <v>1</v>
      </c>
      <c r="BB14" s="90">
        <f>IF(COLUMNS($G14:BB14)&lt;=$D$7+$D$8,1,12)</f>
        <v>1</v>
      </c>
      <c r="BC14" s="90">
        <f>IF(COLUMNS($G14:BC14)&lt;=$D$7+$D$8,1,12)</f>
        <v>1</v>
      </c>
      <c r="BD14" s="90">
        <f>IF(COLUMNS($G14:BD14)&lt;=$D$7+$D$8,1,12)</f>
        <v>1</v>
      </c>
      <c r="BE14" s="90">
        <f>IF(COLUMNS($G14:BE14)&lt;=$D$7+$D$8,1,12)</f>
        <v>1</v>
      </c>
      <c r="BF14" s="90">
        <f>IF(COLUMNS($G14:BF14)&lt;=$D$7+$D$8,1,12)</f>
        <v>1</v>
      </c>
      <c r="BG14" s="90">
        <f>IF(COLUMNS($G14:BG14)&lt;=$D$7+$D$8,1,12)</f>
        <v>1</v>
      </c>
      <c r="BH14" s="90">
        <f>IF(COLUMNS($G14:BH14)&lt;=$D$7+$D$8,1,12)</f>
        <v>1</v>
      </c>
      <c r="BI14" s="90">
        <f>IF(COLUMNS($G14:BI14)&lt;=$D$7+$D$8,1,12)</f>
        <v>12</v>
      </c>
      <c r="BJ14" s="90">
        <f>IF(COLUMNS($G14:BJ14)&lt;=$D$7+$D$8,1,12)</f>
        <v>12</v>
      </c>
      <c r="BK14" s="90">
        <f>IF(COLUMNS($G14:BK14)&lt;=$D$7+$D$8,1,12)</f>
        <v>12</v>
      </c>
      <c r="BL14" s="90">
        <f>IF(COLUMNS($G14:BL14)&lt;=$D$7+$D$8,1,12)</f>
        <v>12</v>
      </c>
      <c r="BM14" s="90">
        <f>IF(COLUMNS($G14:BM14)&lt;=$D$7+$D$8,1,12)</f>
        <v>12</v>
      </c>
      <c r="BN14" s="90">
        <f>IF(COLUMNS($G14:BN14)&lt;=$D$7+$D$8,1,12)</f>
        <v>12</v>
      </c>
      <c r="BO14" s="90">
        <f>IF(COLUMNS($G14:BO14)&lt;=$D$7+$D$8,1,12)</f>
        <v>12</v>
      </c>
    </row>
    <row r="15" spans="1:67">
      <c r="A15" s="11"/>
      <c r="B15" s="11" t="s">
        <v>40</v>
      </c>
      <c r="C15" s="11"/>
      <c r="D15" s="33"/>
      <c r="E15" s="33"/>
      <c r="F15" s="33"/>
      <c r="G15" s="90">
        <f>IF(COLUMNS($G15:G15)&lt;=$D$7,0,1)</f>
        <v>0</v>
      </c>
      <c r="H15" s="90">
        <f>IF(COLUMNS($G15:H15)&lt;=$D$7,0,1)</f>
        <v>0</v>
      </c>
      <c r="I15" s="90">
        <f>IF(COLUMNS($G15:I15)&lt;=$D$7,0,1)</f>
        <v>0</v>
      </c>
      <c r="J15" s="90">
        <f>IF(COLUMNS($G15:J15)&lt;=$D$7,0,1)</f>
        <v>0</v>
      </c>
      <c r="K15" s="90">
        <f>IF(COLUMNS($G15:K15)&lt;=$D$7,0,1)</f>
        <v>0</v>
      </c>
      <c r="L15" s="90">
        <f>IF(COLUMNS($G15:L15)&lt;=$D$7,0,1)</f>
        <v>0</v>
      </c>
      <c r="M15" s="90">
        <f>IF(COLUMNS($G15:M15)&lt;=$D$7,0,1)</f>
        <v>0</v>
      </c>
      <c r="N15" s="90">
        <f>IF(COLUMNS($G15:N15)&lt;=$D$7,0,1)</f>
        <v>0</v>
      </c>
      <c r="O15" s="90">
        <f>IF(COLUMNS($G15:O15)&lt;=$D$7,0,1)</f>
        <v>0</v>
      </c>
      <c r="P15" s="90">
        <f>IF(COLUMNS($G15:P15)&lt;=$D$7,0,1)</f>
        <v>0</v>
      </c>
      <c r="Q15" s="90">
        <f>IF(COLUMNS($G15:Q15)&lt;=$D$7,0,1)</f>
        <v>0</v>
      </c>
      <c r="R15" s="90">
        <f>IF(COLUMNS($G15:R15)&lt;=$D$7,0,1)</f>
        <v>0</v>
      </c>
      <c r="S15" s="90">
        <f>IF(COLUMNS($G15:S15)&lt;=$D$7,0,1)</f>
        <v>0</v>
      </c>
      <c r="T15" s="90">
        <f>IF(COLUMNS($G15:T15)&lt;=$D$7,0,1)</f>
        <v>0</v>
      </c>
      <c r="U15" s="90">
        <f>IF(COLUMNS($G15:U15)&lt;=$D$7,0,1)</f>
        <v>0</v>
      </c>
      <c r="V15" s="90">
        <f>IF(COLUMNS($G15:V15)&lt;=$D$7,0,1)</f>
        <v>0</v>
      </c>
      <c r="W15" s="90">
        <f>IF(COLUMNS($G15:W15)&lt;=$D$7,0,1)</f>
        <v>0</v>
      </c>
      <c r="X15" s="90">
        <f>IF(COLUMNS($G15:X15)&lt;=$D$7,0,1)</f>
        <v>0</v>
      </c>
      <c r="Y15" s="90">
        <f>IF(COLUMNS($G15:Y15)&lt;=$D$7,0,1)</f>
        <v>0</v>
      </c>
      <c r="Z15" s="90">
        <f>IF(COLUMNS($G15:Z15)&lt;=$D$7,0,1)</f>
        <v>0</v>
      </c>
      <c r="AA15" s="90">
        <f>IF(COLUMNS($G15:AA15)&lt;=$D$7,0,1)</f>
        <v>0</v>
      </c>
      <c r="AB15" s="90">
        <f>IF(COLUMNS($G15:AB15)&lt;=$D$7,0,1)</f>
        <v>1</v>
      </c>
      <c r="AC15" s="90">
        <f>IF(COLUMNS($G15:AC15)&lt;=$D$7,0,1)</f>
        <v>1</v>
      </c>
      <c r="AD15" s="90">
        <f>IF(COLUMNS($G15:AD15)&lt;=$D$7,0,1)</f>
        <v>1</v>
      </c>
      <c r="AE15" s="90">
        <f>IF(COLUMNS($G15:AE15)&lt;=$D$7,0,1)</f>
        <v>1</v>
      </c>
      <c r="AF15" s="90">
        <f>IF(COLUMNS($G15:AF15)&lt;=$D$7,0,1)</f>
        <v>1</v>
      </c>
      <c r="AG15" s="90">
        <f>IF(COLUMNS($G15:AG15)&lt;=$D$7,0,1)</f>
        <v>1</v>
      </c>
      <c r="AH15" s="90">
        <f>IF(COLUMNS($G15:AH15)&lt;=$D$7,0,1)</f>
        <v>1</v>
      </c>
      <c r="AI15" s="90">
        <f>IF(COLUMNS($G15:AI15)&lt;=$D$7,0,1)</f>
        <v>1</v>
      </c>
      <c r="AJ15" s="90">
        <f>IF(COLUMNS($G15:AJ15)&lt;=$D$7,0,1)</f>
        <v>1</v>
      </c>
      <c r="AK15" s="90">
        <f>IF(COLUMNS($G15:AK15)&lt;=$D$7,0,1)</f>
        <v>1</v>
      </c>
      <c r="AL15" s="90">
        <f>IF(COLUMNS($G15:AL15)&lt;=$D$7,0,1)</f>
        <v>1</v>
      </c>
      <c r="AM15" s="90">
        <f>IF(COLUMNS($G15:AM15)&lt;=$D$7,0,1)</f>
        <v>1</v>
      </c>
      <c r="AN15" s="90">
        <f>IF(COLUMNS($G15:AN15)&lt;=$D$7,0,1)</f>
        <v>1</v>
      </c>
      <c r="AO15" s="90">
        <f>IF(COLUMNS($G15:AO15)&lt;=$D$7,0,1)</f>
        <v>1</v>
      </c>
      <c r="AP15" s="90">
        <f>IF(COLUMNS($G15:AP15)&lt;=$D$7,0,1)</f>
        <v>1</v>
      </c>
      <c r="AQ15" s="90">
        <f>IF(COLUMNS($G15:AQ15)&lt;=$D$7,0,1)</f>
        <v>1</v>
      </c>
      <c r="AR15" s="90">
        <f>IF(COLUMNS($G15:AR15)&lt;=$D$7,0,1)</f>
        <v>1</v>
      </c>
      <c r="AS15" s="90">
        <f>IF(COLUMNS($G15:AS15)&lt;=$D$7,0,1)</f>
        <v>1</v>
      </c>
      <c r="AT15" s="90">
        <f>IF(COLUMNS($G15:AT15)&lt;=$D$7,0,1)</f>
        <v>1</v>
      </c>
      <c r="AU15" s="90">
        <f>IF(COLUMNS($G15:AU15)&lt;=$D$7,0,1)</f>
        <v>1</v>
      </c>
      <c r="AV15" s="90">
        <f>IF(COLUMNS($G15:AV15)&lt;=$D$7,0,1)</f>
        <v>1</v>
      </c>
      <c r="AW15" s="90">
        <f>IF(COLUMNS($G15:AW15)&lt;=$D$7,0,1)</f>
        <v>1</v>
      </c>
      <c r="AX15" s="90">
        <f>IF(COLUMNS($G15:AX15)&lt;=$D$7,0,1)</f>
        <v>1</v>
      </c>
      <c r="AY15" s="90">
        <f>IF(COLUMNS($G15:AY15)&lt;=$D$7,0,1)</f>
        <v>1</v>
      </c>
      <c r="AZ15" s="90">
        <f>IF(COLUMNS($G15:AZ15)&lt;=$D$7,0,1)</f>
        <v>1</v>
      </c>
      <c r="BA15" s="90">
        <f>IF(COLUMNS($G15:BA15)&lt;=$D$7,0,1)</f>
        <v>1</v>
      </c>
      <c r="BB15" s="90">
        <f>IF(COLUMNS($G15:BB15)&lt;=$D$7,0,1)</f>
        <v>1</v>
      </c>
      <c r="BC15" s="90">
        <f>IF(COLUMNS($G15:BC15)&lt;=$D$7,0,1)</f>
        <v>1</v>
      </c>
      <c r="BD15" s="90">
        <f>IF(COLUMNS($G15:BD15)&lt;=$D$7,0,1)</f>
        <v>1</v>
      </c>
      <c r="BE15" s="90">
        <f>IF(COLUMNS($G15:BE15)&lt;=$D$7,0,1)</f>
        <v>1</v>
      </c>
      <c r="BF15" s="90">
        <f>IF(COLUMNS($G15:BF15)&lt;=$D$7,0,1)</f>
        <v>1</v>
      </c>
      <c r="BG15" s="90">
        <f>IF(COLUMNS($G15:BG15)&lt;=$D$7,0,1)</f>
        <v>1</v>
      </c>
      <c r="BH15" s="90">
        <f>IF(COLUMNS($G15:BH15)&lt;=$D$7,0,1)</f>
        <v>1</v>
      </c>
      <c r="BI15" s="90">
        <f>IF(COLUMNS($G15:BI15)&lt;=$D$7,0,1)</f>
        <v>1</v>
      </c>
      <c r="BJ15" s="90">
        <f>IF(COLUMNS($G15:BJ15)&lt;=$D$7,0,1)</f>
        <v>1</v>
      </c>
      <c r="BK15" s="90">
        <f>IF(COLUMNS($G15:BK15)&lt;=$D$7,0,1)</f>
        <v>1</v>
      </c>
      <c r="BL15" s="90">
        <f>IF(COLUMNS($G15:BL15)&lt;=$D$7,0,1)</f>
        <v>1</v>
      </c>
      <c r="BM15" s="90">
        <f>IF(COLUMNS($G15:BM15)&lt;=$D$7,0,1)</f>
        <v>1</v>
      </c>
      <c r="BN15" s="90">
        <f>IF(COLUMNS($G15:BN15)&lt;=$D$7,0,1)</f>
        <v>1</v>
      </c>
      <c r="BO15" s="90">
        <f>IF(COLUMNS($G15:BO15)&lt;=$D$7,0,1)</f>
        <v>1</v>
      </c>
    </row>
    <row r="16" spans="1:67">
      <c r="A16" s="11"/>
      <c r="B16" s="11" t="s">
        <v>41</v>
      </c>
      <c r="C16" s="11"/>
      <c r="D16" s="33"/>
      <c r="E16" s="33"/>
      <c r="F16" s="33"/>
      <c r="G16" s="90">
        <f>IF(G15=0,0,G14)</f>
        <v>0</v>
      </c>
      <c r="H16" s="90">
        <f>IF(H15=0,0,G16+H14)</f>
        <v>0</v>
      </c>
      <c r="I16" s="90">
        <f t="shared" ref="I16:BI16" si="0">IF(I15=0,0,H16+I14)</f>
        <v>0</v>
      </c>
      <c r="J16" s="90">
        <f t="shared" si="0"/>
        <v>0</v>
      </c>
      <c r="K16" s="90">
        <f t="shared" si="0"/>
        <v>0</v>
      </c>
      <c r="L16" s="90">
        <f t="shared" si="0"/>
        <v>0</v>
      </c>
      <c r="M16" s="90">
        <f t="shared" si="0"/>
        <v>0</v>
      </c>
      <c r="N16" s="90">
        <f t="shared" si="0"/>
        <v>0</v>
      </c>
      <c r="O16" s="90">
        <f t="shared" si="0"/>
        <v>0</v>
      </c>
      <c r="P16" s="90">
        <f t="shared" si="0"/>
        <v>0</v>
      </c>
      <c r="Q16" s="90">
        <f t="shared" si="0"/>
        <v>0</v>
      </c>
      <c r="R16" s="90">
        <f t="shared" si="0"/>
        <v>0</v>
      </c>
      <c r="S16" s="90">
        <f t="shared" si="0"/>
        <v>0</v>
      </c>
      <c r="T16" s="90">
        <f t="shared" si="0"/>
        <v>0</v>
      </c>
      <c r="U16" s="90">
        <f t="shared" si="0"/>
        <v>0</v>
      </c>
      <c r="V16" s="90">
        <f t="shared" si="0"/>
        <v>0</v>
      </c>
      <c r="W16" s="90">
        <f t="shared" si="0"/>
        <v>0</v>
      </c>
      <c r="X16" s="90">
        <f t="shared" si="0"/>
        <v>0</v>
      </c>
      <c r="Y16" s="90">
        <f t="shared" si="0"/>
        <v>0</v>
      </c>
      <c r="Z16" s="90">
        <f t="shared" si="0"/>
        <v>0</v>
      </c>
      <c r="AA16" s="90">
        <f t="shared" si="0"/>
        <v>0</v>
      </c>
      <c r="AB16" s="90">
        <f t="shared" si="0"/>
        <v>1</v>
      </c>
      <c r="AC16" s="90">
        <f t="shared" si="0"/>
        <v>2</v>
      </c>
      <c r="AD16" s="90">
        <f t="shared" si="0"/>
        <v>3</v>
      </c>
      <c r="AE16" s="90">
        <f t="shared" si="0"/>
        <v>4</v>
      </c>
      <c r="AF16" s="90">
        <f t="shared" si="0"/>
        <v>5</v>
      </c>
      <c r="AG16" s="90">
        <f t="shared" si="0"/>
        <v>6</v>
      </c>
      <c r="AH16" s="90">
        <f t="shared" si="0"/>
        <v>7</v>
      </c>
      <c r="AI16" s="90">
        <f t="shared" si="0"/>
        <v>8</v>
      </c>
      <c r="AJ16" s="90">
        <f t="shared" si="0"/>
        <v>9</v>
      </c>
      <c r="AK16" s="90">
        <f t="shared" si="0"/>
        <v>10</v>
      </c>
      <c r="AL16" s="90">
        <f t="shared" si="0"/>
        <v>11</v>
      </c>
      <c r="AM16" s="90">
        <f t="shared" si="0"/>
        <v>12</v>
      </c>
      <c r="AN16" s="90">
        <f t="shared" si="0"/>
        <v>13</v>
      </c>
      <c r="AO16" s="90">
        <f t="shared" si="0"/>
        <v>14</v>
      </c>
      <c r="AP16" s="90">
        <f t="shared" si="0"/>
        <v>15</v>
      </c>
      <c r="AQ16" s="90">
        <f t="shared" si="0"/>
        <v>16</v>
      </c>
      <c r="AR16" s="90">
        <f t="shared" si="0"/>
        <v>17</v>
      </c>
      <c r="AS16" s="90">
        <f t="shared" si="0"/>
        <v>18</v>
      </c>
      <c r="AT16" s="90">
        <f t="shared" si="0"/>
        <v>19</v>
      </c>
      <c r="AU16" s="90">
        <f t="shared" si="0"/>
        <v>20</v>
      </c>
      <c r="AV16" s="90">
        <f t="shared" si="0"/>
        <v>21</v>
      </c>
      <c r="AW16" s="90">
        <f t="shared" si="0"/>
        <v>22</v>
      </c>
      <c r="AX16" s="90">
        <f t="shared" si="0"/>
        <v>23</v>
      </c>
      <c r="AY16" s="90">
        <f t="shared" si="0"/>
        <v>24</v>
      </c>
      <c r="AZ16" s="90">
        <f t="shared" si="0"/>
        <v>25</v>
      </c>
      <c r="BA16" s="90">
        <f t="shared" si="0"/>
        <v>26</v>
      </c>
      <c r="BB16" s="90">
        <f t="shared" si="0"/>
        <v>27</v>
      </c>
      <c r="BC16" s="90">
        <f t="shared" si="0"/>
        <v>28</v>
      </c>
      <c r="BD16" s="90">
        <f t="shared" si="0"/>
        <v>29</v>
      </c>
      <c r="BE16" s="90">
        <f t="shared" si="0"/>
        <v>30</v>
      </c>
      <c r="BF16" s="90">
        <f t="shared" si="0"/>
        <v>31</v>
      </c>
      <c r="BG16" s="90">
        <f t="shared" si="0"/>
        <v>32</v>
      </c>
      <c r="BH16" s="90">
        <f t="shared" si="0"/>
        <v>33</v>
      </c>
      <c r="BI16" s="90">
        <f t="shared" si="0"/>
        <v>45</v>
      </c>
      <c r="BJ16" s="90">
        <f t="shared" ref="BJ16" si="1">IF(BJ15=0,0,BI16+BJ14)</f>
        <v>57</v>
      </c>
      <c r="BK16" s="90">
        <f t="shared" ref="BK16" si="2">IF(BK15=0,0,BJ16+BK14)</f>
        <v>69</v>
      </c>
      <c r="BL16" s="90">
        <f t="shared" ref="BL16" si="3">IF(BL15=0,0,BK16+BL14)</f>
        <v>81</v>
      </c>
      <c r="BM16" s="90">
        <f t="shared" ref="BM16" si="4">IF(BM15=0,0,BL16+BM14)</f>
        <v>93</v>
      </c>
      <c r="BN16" s="90">
        <f t="shared" ref="BN16" si="5">IF(BN15=0,0,BM16+BN14)</f>
        <v>105</v>
      </c>
      <c r="BO16" s="90">
        <f t="shared" ref="BO16" si="6">IF(BO15=0,0,BN16+BO14)</f>
        <v>117</v>
      </c>
    </row>
    <row r="17" spans="1:67">
      <c r="A17" s="11"/>
      <c r="B17" s="11" t="s">
        <v>42</v>
      </c>
      <c r="C17" s="11"/>
      <c r="D17" s="33"/>
      <c r="E17" s="33"/>
      <c r="F17" s="33"/>
      <c r="G17" s="90">
        <f>IF(G15=0,0,ROUNDUP(G16/12,0))</f>
        <v>0</v>
      </c>
      <c r="H17" s="90">
        <f t="shared" ref="H17:BI17" si="7">IF(H15=0,0,ROUNDUP(H16/12,0))</f>
        <v>0</v>
      </c>
      <c r="I17" s="90">
        <f t="shared" si="7"/>
        <v>0</v>
      </c>
      <c r="J17" s="90">
        <f t="shared" si="7"/>
        <v>0</v>
      </c>
      <c r="K17" s="90">
        <f t="shared" si="7"/>
        <v>0</v>
      </c>
      <c r="L17" s="90">
        <f t="shared" si="7"/>
        <v>0</v>
      </c>
      <c r="M17" s="90">
        <f t="shared" si="7"/>
        <v>0</v>
      </c>
      <c r="N17" s="90">
        <f t="shared" si="7"/>
        <v>0</v>
      </c>
      <c r="O17" s="90">
        <f t="shared" si="7"/>
        <v>0</v>
      </c>
      <c r="P17" s="90">
        <f t="shared" si="7"/>
        <v>0</v>
      </c>
      <c r="Q17" s="90">
        <f t="shared" si="7"/>
        <v>0</v>
      </c>
      <c r="R17" s="90">
        <f t="shared" si="7"/>
        <v>0</v>
      </c>
      <c r="S17" s="90">
        <f t="shared" si="7"/>
        <v>0</v>
      </c>
      <c r="T17" s="90">
        <f t="shared" si="7"/>
        <v>0</v>
      </c>
      <c r="U17" s="90">
        <f t="shared" si="7"/>
        <v>0</v>
      </c>
      <c r="V17" s="90">
        <f t="shared" si="7"/>
        <v>0</v>
      </c>
      <c r="W17" s="90">
        <f t="shared" si="7"/>
        <v>0</v>
      </c>
      <c r="X17" s="90">
        <f t="shared" si="7"/>
        <v>0</v>
      </c>
      <c r="Y17" s="90">
        <f t="shared" si="7"/>
        <v>0</v>
      </c>
      <c r="Z17" s="90">
        <f t="shared" si="7"/>
        <v>0</v>
      </c>
      <c r="AA17" s="90">
        <f t="shared" si="7"/>
        <v>0</v>
      </c>
      <c r="AB17" s="90">
        <f t="shared" si="7"/>
        <v>1</v>
      </c>
      <c r="AC17" s="90">
        <f t="shared" si="7"/>
        <v>1</v>
      </c>
      <c r="AD17" s="90">
        <f t="shared" si="7"/>
        <v>1</v>
      </c>
      <c r="AE17" s="90">
        <f t="shared" si="7"/>
        <v>1</v>
      </c>
      <c r="AF17" s="90">
        <f t="shared" si="7"/>
        <v>1</v>
      </c>
      <c r="AG17" s="90">
        <f t="shared" si="7"/>
        <v>1</v>
      </c>
      <c r="AH17" s="90">
        <f t="shared" si="7"/>
        <v>1</v>
      </c>
      <c r="AI17" s="90">
        <f t="shared" si="7"/>
        <v>1</v>
      </c>
      <c r="AJ17" s="90">
        <f t="shared" si="7"/>
        <v>1</v>
      </c>
      <c r="AK17" s="90">
        <f t="shared" si="7"/>
        <v>1</v>
      </c>
      <c r="AL17" s="90">
        <f t="shared" si="7"/>
        <v>1</v>
      </c>
      <c r="AM17" s="90">
        <f t="shared" si="7"/>
        <v>1</v>
      </c>
      <c r="AN17" s="90">
        <f t="shared" si="7"/>
        <v>2</v>
      </c>
      <c r="AO17" s="90">
        <f t="shared" si="7"/>
        <v>2</v>
      </c>
      <c r="AP17" s="90">
        <f t="shared" si="7"/>
        <v>2</v>
      </c>
      <c r="AQ17" s="90">
        <f t="shared" si="7"/>
        <v>2</v>
      </c>
      <c r="AR17" s="90">
        <f t="shared" si="7"/>
        <v>2</v>
      </c>
      <c r="AS17" s="90">
        <f t="shared" si="7"/>
        <v>2</v>
      </c>
      <c r="AT17" s="90">
        <f t="shared" si="7"/>
        <v>2</v>
      </c>
      <c r="AU17" s="90">
        <f t="shared" si="7"/>
        <v>2</v>
      </c>
      <c r="AV17" s="90">
        <f t="shared" si="7"/>
        <v>2</v>
      </c>
      <c r="AW17" s="90">
        <f t="shared" si="7"/>
        <v>2</v>
      </c>
      <c r="AX17" s="90">
        <f t="shared" si="7"/>
        <v>2</v>
      </c>
      <c r="AY17" s="90">
        <f t="shared" si="7"/>
        <v>2</v>
      </c>
      <c r="AZ17" s="90">
        <f t="shared" si="7"/>
        <v>3</v>
      </c>
      <c r="BA17" s="90">
        <f t="shared" si="7"/>
        <v>3</v>
      </c>
      <c r="BB17" s="90">
        <f t="shared" si="7"/>
        <v>3</v>
      </c>
      <c r="BC17" s="90">
        <f t="shared" si="7"/>
        <v>3</v>
      </c>
      <c r="BD17" s="90">
        <f t="shared" si="7"/>
        <v>3</v>
      </c>
      <c r="BE17" s="90">
        <f t="shared" si="7"/>
        <v>3</v>
      </c>
      <c r="BF17" s="90">
        <f t="shared" si="7"/>
        <v>3</v>
      </c>
      <c r="BG17" s="90">
        <f t="shared" si="7"/>
        <v>3</v>
      </c>
      <c r="BH17" s="90">
        <f t="shared" si="7"/>
        <v>3</v>
      </c>
      <c r="BI17" s="90">
        <f t="shared" si="7"/>
        <v>4</v>
      </c>
      <c r="BJ17" s="90">
        <f t="shared" ref="BJ17" si="8">IF(BJ15=0,0,ROUNDUP(BJ16/12,0))</f>
        <v>5</v>
      </c>
      <c r="BK17" s="90">
        <f t="shared" ref="BK17" si="9">IF(BK15=0,0,ROUNDUP(BK16/12,0))</f>
        <v>6</v>
      </c>
      <c r="BL17" s="90">
        <f t="shared" ref="BL17" si="10">IF(BL15=0,0,ROUNDUP(BL16/12,0))</f>
        <v>7</v>
      </c>
      <c r="BM17" s="90">
        <f t="shared" ref="BM17" si="11">IF(BM15=0,0,ROUNDUP(BM16/12,0))</f>
        <v>8</v>
      </c>
      <c r="BN17" s="90">
        <f t="shared" ref="BN17" si="12">IF(BN15=0,0,ROUNDUP(BN16/12,0))</f>
        <v>9</v>
      </c>
      <c r="BO17" s="90">
        <f t="shared" ref="BO17" si="13">IF(BO15=0,0,ROUNDUP(BO16/12,0))</f>
        <v>10</v>
      </c>
    </row>
    <row r="18" spans="1:67">
      <c r="A18" s="11"/>
      <c r="B18" s="11"/>
      <c r="C18" s="11"/>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row>
    <row r="19" spans="1:67">
      <c r="A19" s="18" t="s">
        <v>46</v>
      </c>
      <c r="B19" s="18"/>
      <c r="C19" s="18"/>
      <c r="D19" s="39"/>
      <c r="E19" s="39"/>
      <c r="F19" s="39"/>
      <c r="G19" s="39"/>
      <c r="H19" s="39"/>
      <c r="I19" s="39"/>
      <c r="J19" s="39"/>
      <c r="K19" s="39"/>
      <c r="L19" s="39"/>
      <c r="M19" s="39"/>
      <c r="N19" s="39"/>
      <c r="O19" s="39"/>
      <c r="P19" s="39"/>
      <c r="Q19" s="39"/>
      <c r="R19" s="39"/>
      <c r="S19" s="39"/>
      <c r="T19" s="39"/>
      <c r="U19" s="39"/>
      <c r="V19" s="39"/>
      <c r="W19" s="39"/>
      <c r="X19" s="39"/>
      <c r="Y19" s="39"/>
      <c r="Z19" s="39"/>
      <c r="AA19" s="39"/>
      <c r="AB19" s="39"/>
      <c r="AC19" s="39"/>
      <c r="AD19" s="39"/>
      <c r="AE19" s="39"/>
      <c r="AF19" s="39"/>
      <c r="AG19" s="39"/>
      <c r="AH19" s="39"/>
      <c r="AI19" s="39"/>
      <c r="AJ19" s="39"/>
      <c r="AK19" s="39"/>
      <c r="AL19" s="39"/>
      <c r="AM19" s="39"/>
      <c r="AN19" s="39"/>
      <c r="AO19" s="39"/>
      <c r="AP19" s="39"/>
      <c r="AQ19" s="39"/>
      <c r="AR19" s="39"/>
      <c r="AS19" s="39"/>
      <c r="AT19" s="39"/>
      <c r="AU19" s="39"/>
      <c r="AV19" s="39"/>
      <c r="AW19" s="39"/>
      <c r="AX19" s="39"/>
      <c r="AY19" s="39"/>
      <c r="AZ19" s="39"/>
      <c r="BA19" s="39"/>
      <c r="BB19" s="39"/>
      <c r="BC19" s="39"/>
      <c r="BD19" s="39"/>
      <c r="BE19" s="39"/>
      <c r="BF19" s="39"/>
      <c r="BG19" s="39"/>
      <c r="BH19" s="39"/>
      <c r="BI19" s="39"/>
      <c r="BJ19" s="39"/>
      <c r="BK19" s="39"/>
      <c r="BL19" s="39"/>
      <c r="BM19" s="39"/>
      <c r="BN19" s="39"/>
      <c r="BO19" s="39"/>
    </row>
    <row r="20" spans="1:67">
      <c r="A20" s="11"/>
      <c r="B20" s="11" t="s">
        <v>50</v>
      </c>
      <c r="C20" s="11"/>
      <c r="D20" s="66">
        <v>32.5</v>
      </c>
      <c r="E20" s="10" t="s">
        <v>51</v>
      </c>
      <c r="F20" s="10"/>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row>
    <row r="21" spans="1:67">
      <c r="A21" s="11"/>
      <c r="B21" s="11" t="s">
        <v>52</v>
      </c>
      <c r="C21" s="11"/>
      <c r="D21" s="16">
        <v>0</v>
      </c>
      <c r="E21" s="10" t="s">
        <v>53</v>
      </c>
      <c r="F21" s="10"/>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row>
    <row r="22" spans="1:67">
      <c r="A22" s="11"/>
      <c r="B22" s="11" t="s">
        <v>54</v>
      </c>
      <c r="C22" s="11"/>
      <c r="D22" s="4"/>
      <c r="E22" s="10" t="s">
        <v>51</v>
      </c>
      <c r="F22" s="10"/>
      <c r="G22" s="63">
        <f>$D$20</f>
        <v>32.5</v>
      </c>
      <c r="H22" s="63">
        <f>G22*(1+$D$21)^(H$14/12)</f>
        <v>32.5</v>
      </c>
      <c r="I22" s="63">
        <f t="shared" ref="I22:BI22" si="14">H22*(1+$D$21)^(I$14/12)</f>
        <v>32.5</v>
      </c>
      <c r="J22" s="63">
        <f t="shared" si="14"/>
        <v>32.5</v>
      </c>
      <c r="K22" s="63">
        <f t="shared" si="14"/>
        <v>32.5</v>
      </c>
      <c r="L22" s="63">
        <f t="shared" si="14"/>
        <v>32.5</v>
      </c>
      <c r="M22" s="63">
        <f t="shared" si="14"/>
        <v>32.5</v>
      </c>
      <c r="N22" s="63">
        <f t="shared" si="14"/>
        <v>32.5</v>
      </c>
      <c r="O22" s="63">
        <f t="shared" si="14"/>
        <v>32.5</v>
      </c>
      <c r="P22" s="63">
        <f t="shared" si="14"/>
        <v>32.5</v>
      </c>
      <c r="Q22" s="63">
        <f t="shared" si="14"/>
        <v>32.5</v>
      </c>
      <c r="R22" s="63">
        <f t="shared" si="14"/>
        <v>32.5</v>
      </c>
      <c r="S22" s="63">
        <f t="shared" si="14"/>
        <v>32.5</v>
      </c>
      <c r="T22" s="63">
        <f t="shared" si="14"/>
        <v>32.5</v>
      </c>
      <c r="U22" s="63">
        <f t="shared" si="14"/>
        <v>32.5</v>
      </c>
      <c r="V22" s="63">
        <f t="shared" si="14"/>
        <v>32.5</v>
      </c>
      <c r="W22" s="63">
        <f t="shared" si="14"/>
        <v>32.5</v>
      </c>
      <c r="X22" s="63">
        <f t="shared" si="14"/>
        <v>32.5</v>
      </c>
      <c r="Y22" s="63">
        <f t="shared" si="14"/>
        <v>32.5</v>
      </c>
      <c r="Z22" s="63">
        <f t="shared" si="14"/>
        <v>32.5</v>
      </c>
      <c r="AA22" s="63">
        <f t="shared" si="14"/>
        <v>32.5</v>
      </c>
      <c r="AB22" s="63">
        <f t="shared" si="14"/>
        <v>32.5</v>
      </c>
      <c r="AC22" s="63">
        <f t="shared" si="14"/>
        <v>32.5</v>
      </c>
      <c r="AD22" s="63">
        <f t="shared" si="14"/>
        <v>32.5</v>
      </c>
      <c r="AE22" s="63">
        <f t="shared" si="14"/>
        <v>32.5</v>
      </c>
      <c r="AF22" s="63">
        <f t="shared" si="14"/>
        <v>32.5</v>
      </c>
      <c r="AG22" s="63">
        <f t="shared" si="14"/>
        <v>32.5</v>
      </c>
      <c r="AH22" s="63">
        <f t="shared" si="14"/>
        <v>32.5</v>
      </c>
      <c r="AI22" s="63">
        <f t="shared" si="14"/>
        <v>32.5</v>
      </c>
      <c r="AJ22" s="63">
        <f t="shared" si="14"/>
        <v>32.5</v>
      </c>
      <c r="AK22" s="63">
        <f t="shared" si="14"/>
        <v>32.5</v>
      </c>
      <c r="AL22" s="63">
        <f t="shared" si="14"/>
        <v>32.5</v>
      </c>
      <c r="AM22" s="63">
        <f t="shared" si="14"/>
        <v>32.5</v>
      </c>
      <c r="AN22" s="63">
        <f t="shared" si="14"/>
        <v>32.5</v>
      </c>
      <c r="AO22" s="63">
        <f t="shared" si="14"/>
        <v>32.5</v>
      </c>
      <c r="AP22" s="63">
        <f t="shared" si="14"/>
        <v>32.5</v>
      </c>
      <c r="AQ22" s="63">
        <f t="shared" si="14"/>
        <v>32.5</v>
      </c>
      <c r="AR22" s="63">
        <f t="shared" si="14"/>
        <v>32.5</v>
      </c>
      <c r="AS22" s="63">
        <f t="shared" si="14"/>
        <v>32.5</v>
      </c>
      <c r="AT22" s="63">
        <f t="shared" si="14"/>
        <v>32.5</v>
      </c>
      <c r="AU22" s="63">
        <f t="shared" si="14"/>
        <v>32.5</v>
      </c>
      <c r="AV22" s="63">
        <f t="shared" si="14"/>
        <v>32.5</v>
      </c>
      <c r="AW22" s="63">
        <f t="shared" si="14"/>
        <v>32.5</v>
      </c>
      <c r="AX22" s="63">
        <f t="shared" si="14"/>
        <v>32.5</v>
      </c>
      <c r="AY22" s="63">
        <f t="shared" si="14"/>
        <v>32.5</v>
      </c>
      <c r="AZ22" s="63">
        <f t="shared" si="14"/>
        <v>32.5</v>
      </c>
      <c r="BA22" s="63">
        <f t="shared" si="14"/>
        <v>32.5</v>
      </c>
      <c r="BB22" s="63">
        <f t="shared" si="14"/>
        <v>32.5</v>
      </c>
      <c r="BC22" s="63">
        <f t="shared" si="14"/>
        <v>32.5</v>
      </c>
      <c r="BD22" s="63">
        <f t="shared" si="14"/>
        <v>32.5</v>
      </c>
      <c r="BE22" s="63">
        <f t="shared" si="14"/>
        <v>32.5</v>
      </c>
      <c r="BF22" s="63">
        <f t="shared" si="14"/>
        <v>32.5</v>
      </c>
      <c r="BG22" s="63">
        <f t="shared" si="14"/>
        <v>32.5</v>
      </c>
      <c r="BH22" s="63">
        <f t="shared" si="14"/>
        <v>32.5</v>
      </c>
      <c r="BI22" s="63">
        <f t="shared" si="14"/>
        <v>32.5</v>
      </c>
      <c r="BJ22" s="63">
        <f t="shared" ref="BJ22:BO22" si="15">BI22*(1+$D$21)^(BJ$14/12)</f>
        <v>32.5</v>
      </c>
      <c r="BK22" s="63">
        <f t="shared" si="15"/>
        <v>32.5</v>
      </c>
      <c r="BL22" s="63">
        <f t="shared" si="15"/>
        <v>32.5</v>
      </c>
      <c r="BM22" s="63">
        <f t="shared" si="15"/>
        <v>32.5</v>
      </c>
      <c r="BN22" s="63">
        <f t="shared" si="15"/>
        <v>32.5</v>
      </c>
      <c r="BO22" s="63">
        <f t="shared" si="15"/>
        <v>32.5</v>
      </c>
    </row>
    <row r="23" spans="1:67">
      <c r="A23" s="11"/>
      <c r="B23" s="11" t="s">
        <v>55</v>
      </c>
      <c r="C23" s="11"/>
      <c r="D23" s="16">
        <v>2.3E-2</v>
      </c>
      <c r="E23" s="10" t="s">
        <v>53</v>
      </c>
      <c r="F23" s="10"/>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row>
    <row r="24" spans="1:67">
      <c r="A24" s="11"/>
      <c r="B24" s="11" t="s">
        <v>56</v>
      </c>
      <c r="C24" s="11"/>
      <c r="D24" s="16">
        <v>0.01</v>
      </c>
      <c r="E24" s="10" t="s">
        <v>53</v>
      </c>
      <c r="F24" s="10"/>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row>
    <row r="25" spans="1:67">
      <c r="A25" s="11"/>
      <c r="B25" s="11" t="s">
        <v>57</v>
      </c>
      <c r="C25" s="11"/>
      <c r="D25" s="16">
        <v>0.05</v>
      </c>
      <c r="E25" s="10" t="s">
        <v>53</v>
      </c>
      <c r="F25" s="10"/>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row>
    <row r="26" spans="1:67">
      <c r="A26" s="11"/>
      <c r="B26" s="11" t="s">
        <v>58</v>
      </c>
      <c r="C26" s="11"/>
      <c r="D26" s="16">
        <v>0.02</v>
      </c>
      <c r="E26" s="10" t="s">
        <v>53</v>
      </c>
      <c r="F26" s="10"/>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row>
    <row r="27" spans="1:67">
      <c r="A27" s="11"/>
      <c r="B27" s="11"/>
      <c r="C27" s="11"/>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row>
    <row r="28" spans="1:67">
      <c r="A28" s="18" t="s">
        <v>47</v>
      </c>
      <c r="B28" s="18"/>
      <c r="C28" s="18"/>
      <c r="D28" s="39"/>
      <c r="E28" s="39"/>
      <c r="F28" s="39"/>
      <c r="G28" s="39"/>
      <c r="H28" s="39"/>
      <c r="I28" s="39"/>
      <c r="J28" s="39"/>
      <c r="K28" s="39"/>
      <c r="L28" s="39"/>
      <c r="M28" s="39"/>
      <c r="N28" s="39"/>
      <c r="O28" s="39"/>
      <c r="P28" s="39"/>
      <c r="Q28" s="39"/>
      <c r="R28" s="39"/>
      <c r="S28" s="39"/>
      <c r="T28" s="39"/>
      <c r="U28" s="39"/>
      <c r="V28" s="39"/>
      <c r="W28" s="39"/>
      <c r="X28" s="39"/>
      <c r="Y28" s="39"/>
      <c r="Z28" s="39"/>
      <c r="AA28" s="39"/>
      <c r="AB28" s="39"/>
      <c r="AC28" s="39"/>
      <c r="AD28" s="39"/>
      <c r="AE28" s="39"/>
      <c r="AF28" s="39"/>
      <c r="AG28" s="39"/>
      <c r="AH28" s="39"/>
      <c r="AI28" s="39"/>
      <c r="AJ28" s="39"/>
      <c r="AK28" s="39"/>
      <c r="AL28" s="39"/>
      <c r="AM28" s="39"/>
      <c r="AN28" s="39"/>
      <c r="AO28" s="39"/>
      <c r="AP28" s="39"/>
      <c r="AQ28" s="39"/>
      <c r="AR28" s="39"/>
      <c r="AS28" s="39"/>
      <c r="AT28" s="39"/>
      <c r="AU28" s="39"/>
      <c r="AV28" s="39"/>
      <c r="AW28" s="39"/>
      <c r="AX28" s="39"/>
      <c r="AY28" s="39"/>
      <c r="AZ28" s="39"/>
      <c r="BA28" s="39"/>
      <c r="BB28" s="39"/>
      <c r="BC28" s="39"/>
      <c r="BD28" s="39"/>
      <c r="BE28" s="39"/>
      <c r="BF28" s="39"/>
      <c r="BG28" s="39"/>
      <c r="BH28" s="39"/>
      <c r="BI28" s="39"/>
      <c r="BJ28" s="39"/>
      <c r="BK28" s="39"/>
      <c r="BL28" s="39"/>
      <c r="BM28" s="39"/>
      <c r="BN28" s="39"/>
      <c r="BO28" s="39"/>
    </row>
    <row r="29" spans="1:67">
      <c r="A29" s="11"/>
      <c r="B29" s="11" t="s">
        <v>59</v>
      </c>
      <c r="C29" s="11"/>
      <c r="D29" s="92">
        <v>8</v>
      </c>
      <c r="E29" s="10" t="s">
        <v>60</v>
      </c>
      <c r="F29" s="10"/>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row>
    <row r="30" spans="1:67">
      <c r="A30" s="11"/>
      <c r="B30" s="11" t="s">
        <v>61</v>
      </c>
      <c r="C30" s="11"/>
      <c r="D30" s="92">
        <v>15</v>
      </c>
      <c r="E30" s="10" t="s">
        <v>62</v>
      </c>
      <c r="F30" s="10"/>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row>
    <row r="31" spans="1:67">
      <c r="A31" s="11"/>
      <c r="B31" s="11" t="s">
        <v>63</v>
      </c>
      <c r="C31" s="11"/>
      <c r="D31" s="90">
        <f>D29*D30</f>
        <v>120</v>
      </c>
      <c r="E31" s="10" t="s">
        <v>64</v>
      </c>
      <c r="F31" s="10"/>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row>
    <row r="32" spans="1:67">
      <c r="A32" s="11"/>
      <c r="B32" s="11" t="s">
        <v>1484</v>
      </c>
      <c r="C32" s="11"/>
      <c r="D32" s="92">
        <v>341</v>
      </c>
      <c r="E32" s="10" t="s">
        <v>66</v>
      </c>
      <c r="F32" s="10"/>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row>
    <row r="33" spans="1:67">
      <c r="A33" s="11"/>
      <c r="B33" s="11" t="s">
        <v>67</v>
      </c>
      <c r="C33" s="11"/>
      <c r="D33" s="90">
        <f>D31*D32</f>
        <v>40920</v>
      </c>
      <c r="E33" s="10" t="s">
        <v>68</v>
      </c>
      <c r="F33" s="10"/>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row>
    <row r="34" spans="1:67">
      <c r="A34" s="11"/>
      <c r="B34" s="11" t="s">
        <v>69</v>
      </c>
      <c r="C34" s="11"/>
      <c r="D34" s="6"/>
      <c r="E34" s="10" t="s">
        <v>7</v>
      </c>
      <c r="F34" s="10"/>
      <c r="G34" s="67">
        <f>IF(G$15=0,0,IF((G$16-G$14/2+0.5)&lt;=$D$193,$D$194,MIN($D$195,$D$194+($D$195-$D$194)*((G$16-G$14/2+0.5)-$D$193)/$D$196)))</f>
        <v>0</v>
      </c>
      <c r="H34" s="67">
        <f t="shared" ref="H34:BO34" si="16">IF(H$15=0,0,IF((H$16-H$14/2+0.5)&lt;=$D$193,$D$194,MIN($D$195,$D$194+($D$195-$D$194)*((H$16-H$14/2+0.5)-$D$193)/$D$196)))</f>
        <v>0</v>
      </c>
      <c r="I34" s="67">
        <f t="shared" si="16"/>
        <v>0</v>
      </c>
      <c r="J34" s="67">
        <f t="shared" si="16"/>
        <v>0</v>
      </c>
      <c r="K34" s="67">
        <f t="shared" si="16"/>
        <v>0</v>
      </c>
      <c r="L34" s="67">
        <f t="shared" si="16"/>
        <v>0</v>
      </c>
      <c r="M34" s="67">
        <f t="shared" si="16"/>
        <v>0</v>
      </c>
      <c r="N34" s="67">
        <f t="shared" si="16"/>
        <v>0</v>
      </c>
      <c r="O34" s="67">
        <f t="shared" si="16"/>
        <v>0</v>
      </c>
      <c r="P34" s="67">
        <f t="shared" si="16"/>
        <v>0</v>
      </c>
      <c r="Q34" s="67">
        <f t="shared" si="16"/>
        <v>0</v>
      </c>
      <c r="R34" s="67">
        <f t="shared" si="16"/>
        <v>0</v>
      </c>
      <c r="S34" s="67">
        <f t="shared" si="16"/>
        <v>0</v>
      </c>
      <c r="T34" s="67">
        <f t="shared" si="16"/>
        <v>0</v>
      </c>
      <c r="U34" s="67">
        <f t="shared" si="16"/>
        <v>0</v>
      </c>
      <c r="V34" s="67">
        <f t="shared" si="16"/>
        <v>0</v>
      </c>
      <c r="W34" s="67">
        <f t="shared" si="16"/>
        <v>0</v>
      </c>
      <c r="X34" s="67">
        <f t="shared" si="16"/>
        <v>0</v>
      </c>
      <c r="Y34" s="67">
        <f t="shared" si="16"/>
        <v>0</v>
      </c>
      <c r="Z34" s="67">
        <f t="shared" si="16"/>
        <v>0</v>
      </c>
      <c r="AA34" s="67">
        <f t="shared" si="16"/>
        <v>0</v>
      </c>
      <c r="AB34" s="67">
        <f t="shared" si="16"/>
        <v>0.2</v>
      </c>
      <c r="AC34" s="67">
        <f t="shared" si="16"/>
        <v>0.26500000000000001</v>
      </c>
      <c r="AD34" s="67">
        <f t="shared" si="16"/>
        <v>0.33</v>
      </c>
      <c r="AE34" s="67">
        <f t="shared" si="16"/>
        <v>0.39500000000000002</v>
      </c>
      <c r="AF34" s="67">
        <f t="shared" si="16"/>
        <v>0.46</v>
      </c>
      <c r="AG34" s="67">
        <f t="shared" si="16"/>
        <v>0.52500000000000002</v>
      </c>
      <c r="AH34" s="67">
        <f t="shared" si="16"/>
        <v>0.59</v>
      </c>
      <c r="AI34" s="67">
        <f t="shared" si="16"/>
        <v>0.65500000000000003</v>
      </c>
      <c r="AJ34" s="67">
        <f t="shared" si="16"/>
        <v>0.72</v>
      </c>
      <c r="AK34" s="67">
        <f t="shared" si="16"/>
        <v>0.78500000000000014</v>
      </c>
      <c r="AL34" s="67">
        <f t="shared" si="16"/>
        <v>0.85000000000000009</v>
      </c>
      <c r="AM34" s="67">
        <f t="shared" si="16"/>
        <v>0.91500000000000004</v>
      </c>
      <c r="AN34" s="67">
        <f t="shared" si="16"/>
        <v>0.98</v>
      </c>
      <c r="AO34" s="67">
        <f t="shared" si="16"/>
        <v>0.98</v>
      </c>
      <c r="AP34" s="67">
        <f t="shared" si="16"/>
        <v>0.98</v>
      </c>
      <c r="AQ34" s="67">
        <f t="shared" si="16"/>
        <v>0.98</v>
      </c>
      <c r="AR34" s="67">
        <f t="shared" si="16"/>
        <v>0.98</v>
      </c>
      <c r="AS34" s="67">
        <f t="shared" si="16"/>
        <v>0.98</v>
      </c>
      <c r="AT34" s="67">
        <f t="shared" si="16"/>
        <v>0.98</v>
      </c>
      <c r="AU34" s="67">
        <f t="shared" si="16"/>
        <v>0.98</v>
      </c>
      <c r="AV34" s="67">
        <f t="shared" si="16"/>
        <v>0.98</v>
      </c>
      <c r="AW34" s="67">
        <f t="shared" si="16"/>
        <v>0.98</v>
      </c>
      <c r="AX34" s="67">
        <f t="shared" si="16"/>
        <v>0.98</v>
      </c>
      <c r="AY34" s="67">
        <f t="shared" si="16"/>
        <v>0.98</v>
      </c>
      <c r="AZ34" s="67">
        <f t="shared" si="16"/>
        <v>0.98</v>
      </c>
      <c r="BA34" s="67">
        <f t="shared" si="16"/>
        <v>0.98</v>
      </c>
      <c r="BB34" s="67">
        <f t="shared" si="16"/>
        <v>0.98</v>
      </c>
      <c r="BC34" s="67">
        <f t="shared" si="16"/>
        <v>0.98</v>
      </c>
      <c r="BD34" s="67">
        <f t="shared" si="16"/>
        <v>0.98</v>
      </c>
      <c r="BE34" s="67">
        <f t="shared" si="16"/>
        <v>0.98</v>
      </c>
      <c r="BF34" s="67">
        <f t="shared" si="16"/>
        <v>0.98</v>
      </c>
      <c r="BG34" s="67">
        <f t="shared" si="16"/>
        <v>0.98</v>
      </c>
      <c r="BH34" s="67">
        <f t="shared" si="16"/>
        <v>0.98</v>
      </c>
      <c r="BI34" s="67">
        <f t="shared" si="16"/>
        <v>0.98</v>
      </c>
      <c r="BJ34" s="67">
        <f t="shared" si="16"/>
        <v>0.98</v>
      </c>
      <c r="BK34" s="67">
        <f t="shared" si="16"/>
        <v>0.98</v>
      </c>
      <c r="BL34" s="67">
        <f t="shared" si="16"/>
        <v>0.98</v>
      </c>
      <c r="BM34" s="67">
        <f t="shared" si="16"/>
        <v>0.98</v>
      </c>
      <c r="BN34" s="67">
        <f t="shared" si="16"/>
        <v>0.98</v>
      </c>
      <c r="BO34" s="67">
        <f t="shared" si="16"/>
        <v>0.98</v>
      </c>
    </row>
    <row r="35" spans="1:67">
      <c r="A35" s="11"/>
      <c r="B35" s="11" t="s">
        <v>759</v>
      </c>
      <c r="C35" s="11"/>
      <c r="D35" s="93">
        <f>'10 RM Sourcing &amp; Landed Cost'!$D$33</f>
        <v>4646.9742774035403</v>
      </c>
      <c r="E35" s="10" t="s">
        <v>70</v>
      </c>
      <c r="F35" s="10"/>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row>
    <row r="36" spans="1:67">
      <c r="A36" s="11"/>
      <c r="B36" s="11" t="s">
        <v>760</v>
      </c>
      <c r="C36" s="11"/>
      <c r="D36" s="94">
        <v>0</v>
      </c>
      <c r="E36" s="10" t="s">
        <v>70</v>
      </c>
      <c r="F36" s="10"/>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row>
    <row r="37" spans="1:67">
      <c r="A37" s="11"/>
      <c r="B37" s="11" t="s">
        <v>71</v>
      </c>
      <c r="C37" s="11"/>
      <c r="D37" s="92">
        <v>30</v>
      </c>
      <c r="E37" s="10" t="s">
        <v>6</v>
      </c>
      <c r="F37" s="10"/>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c r="BI37" s="33"/>
      <c r="BJ37" s="33"/>
      <c r="BK37" s="33"/>
      <c r="BL37" s="33"/>
      <c r="BM37" s="33"/>
      <c r="BN37" s="33"/>
      <c r="BO37" s="33"/>
    </row>
    <row r="38" spans="1:67">
      <c r="A38" s="11"/>
      <c r="B38" s="11"/>
      <c r="C38" s="11"/>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row>
    <row r="39" spans="1:67">
      <c r="A39" s="18" t="s">
        <v>48</v>
      </c>
      <c r="B39" s="18"/>
      <c r="C39" s="18"/>
      <c r="D39" s="39"/>
      <c r="E39" s="39"/>
      <c r="F39" s="39"/>
      <c r="G39" s="39"/>
      <c r="H39" s="39"/>
      <c r="I39" s="39"/>
      <c r="J39" s="39"/>
      <c r="K39" s="39"/>
      <c r="L39" s="39"/>
      <c r="M39" s="39"/>
      <c r="N39" s="39"/>
      <c r="O39" s="39"/>
      <c r="P39" s="39"/>
      <c r="Q39" s="39"/>
      <c r="R39" s="39"/>
      <c r="S39" s="39"/>
      <c r="T39" s="39"/>
      <c r="U39" s="39"/>
      <c r="V39" s="39"/>
      <c r="W39" s="39"/>
      <c r="X39" s="39"/>
      <c r="Y39" s="39"/>
      <c r="Z39" s="39"/>
      <c r="AA39" s="39"/>
      <c r="AB39" s="39"/>
      <c r="AC39" s="39"/>
      <c r="AD39" s="39"/>
      <c r="AE39" s="39"/>
      <c r="AF39" s="39"/>
      <c r="AG39" s="39"/>
      <c r="AH39" s="39"/>
      <c r="AI39" s="39"/>
      <c r="AJ39" s="39"/>
      <c r="AK39" s="39"/>
      <c r="AL39" s="39"/>
      <c r="AM39" s="39"/>
      <c r="AN39" s="39"/>
      <c r="AO39" s="39"/>
      <c r="AP39" s="39"/>
      <c r="AQ39" s="39"/>
      <c r="AR39" s="39"/>
      <c r="AS39" s="39"/>
      <c r="AT39" s="39"/>
      <c r="AU39" s="39"/>
      <c r="AV39" s="39"/>
      <c r="AW39" s="39"/>
      <c r="AX39" s="39"/>
      <c r="AY39" s="39"/>
      <c r="AZ39" s="39"/>
      <c r="BA39" s="39"/>
      <c r="BB39" s="39"/>
      <c r="BC39" s="39"/>
      <c r="BD39" s="39"/>
      <c r="BE39" s="39"/>
      <c r="BF39" s="39"/>
      <c r="BG39" s="39"/>
      <c r="BH39" s="39"/>
      <c r="BI39" s="39"/>
      <c r="BJ39" s="39"/>
      <c r="BK39" s="39"/>
      <c r="BL39" s="39"/>
      <c r="BM39" s="39"/>
      <c r="BN39" s="39"/>
      <c r="BO39" s="39"/>
    </row>
    <row r="40" spans="1:67">
      <c r="A40" s="11"/>
      <c r="B40" s="11" t="s">
        <v>72</v>
      </c>
      <c r="C40" s="11"/>
      <c r="D40" s="16">
        <v>0.38</v>
      </c>
      <c r="E40" s="10" t="s">
        <v>73</v>
      </c>
      <c r="F40" s="10"/>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row>
    <row r="41" spans="1:67">
      <c r="A41" s="11"/>
      <c r="B41" s="11" t="s">
        <v>74</v>
      </c>
      <c r="C41" s="11"/>
      <c r="D41" s="16">
        <v>0.3</v>
      </c>
      <c r="E41" s="10" t="s">
        <v>73</v>
      </c>
      <c r="F41" s="10"/>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row>
    <row r="42" spans="1:67">
      <c r="A42" s="11"/>
      <c r="B42" s="11" t="s">
        <v>75</v>
      </c>
      <c r="C42" s="11"/>
      <c r="D42" s="16">
        <v>0.11</v>
      </c>
      <c r="E42" s="10" t="s">
        <v>73</v>
      </c>
      <c r="F42" s="10"/>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row>
    <row r="43" spans="1:67">
      <c r="A43" s="11"/>
      <c r="B43" s="11" t="s">
        <v>76</v>
      </c>
      <c r="C43" s="11"/>
      <c r="D43" s="6">
        <f>1-D40-D41-D42</f>
        <v>0.21000000000000002</v>
      </c>
      <c r="E43" s="10" t="s">
        <v>73</v>
      </c>
      <c r="F43" s="10"/>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row>
    <row r="44" spans="1:67">
      <c r="A44" s="11"/>
      <c r="B44" s="11" t="s">
        <v>1737</v>
      </c>
      <c r="C44" s="11"/>
      <c r="D44" s="16">
        <v>0.14560000000000001</v>
      </c>
      <c r="E44" s="10" t="s">
        <v>73</v>
      </c>
      <c r="F44" s="10"/>
      <c r="G44" s="33"/>
      <c r="H44" s="33"/>
      <c r="I44" s="33"/>
      <c r="J44" s="33"/>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row>
    <row r="45" spans="1:67">
      <c r="A45" s="11"/>
      <c r="B45" s="11" t="s">
        <v>1738</v>
      </c>
      <c r="C45" s="11"/>
      <c r="D45" s="16">
        <v>6.7199999999999996E-2</v>
      </c>
      <c r="E45" s="10" t="s">
        <v>73</v>
      </c>
      <c r="F45" s="10"/>
      <c r="G45" s="33"/>
      <c r="H45" s="33"/>
      <c r="I45" s="33"/>
      <c r="J45" s="33"/>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row>
    <row r="46" spans="1:67">
      <c r="A46" s="11"/>
      <c r="B46" s="11" t="s">
        <v>1733</v>
      </c>
      <c r="C46" s="11"/>
      <c r="D46" s="6">
        <f>D44/(D44+D45)</f>
        <v>0.68421052631578949</v>
      </c>
      <c r="E46" s="10" t="s">
        <v>7</v>
      </c>
      <c r="F46" s="10"/>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row>
    <row r="47" spans="1:67">
      <c r="A47" s="11"/>
      <c r="B47" s="11" t="s">
        <v>77</v>
      </c>
      <c r="C47" s="11"/>
      <c r="D47" s="6">
        <f>D43*D46</f>
        <v>0.1436842105263158</v>
      </c>
      <c r="E47" s="10" t="s">
        <v>73</v>
      </c>
      <c r="F47" s="10"/>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row>
    <row r="48" spans="1:67">
      <c r="A48" s="11"/>
      <c r="B48" s="11" t="s">
        <v>78</v>
      </c>
      <c r="C48" s="11"/>
      <c r="D48" s="6">
        <f>D43*(1-D46)</f>
        <v>6.6315789473684217E-2</v>
      </c>
      <c r="E48" s="10" t="s">
        <v>73</v>
      </c>
      <c r="F48" s="10"/>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row>
    <row r="49" spans="1:67">
      <c r="A49" s="11"/>
      <c r="B49" s="11" t="s">
        <v>79</v>
      </c>
      <c r="C49" s="11"/>
      <c r="D49" s="6">
        <f>D40+D41+D42+D47+D48</f>
        <v>0.99999999999999989</v>
      </c>
      <c r="E49" s="10" t="s">
        <v>73</v>
      </c>
      <c r="F49" s="10"/>
      <c r="G49" s="33"/>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row>
    <row r="50" spans="1:67">
      <c r="A50" s="11"/>
      <c r="B50" s="11"/>
      <c r="C50" s="11"/>
      <c r="D50" s="33"/>
      <c r="E50" s="33"/>
      <c r="F50" s="33"/>
      <c r="G50" s="33"/>
      <c r="H50" s="33"/>
      <c r="I50" s="33"/>
      <c r="J50" s="33"/>
      <c r="K50" s="33"/>
      <c r="L50" s="33"/>
      <c r="M50" s="33"/>
      <c r="N50" s="33"/>
      <c r="O50" s="33"/>
      <c r="P50" s="33"/>
      <c r="Q50" s="33"/>
      <c r="R50" s="33"/>
      <c r="S50" s="33"/>
      <c r="T50" s="33"/>
      <c r="U50" s="33"/>
      <c r="V50" s="33"/>
      <c r="W50" s="33"/>
      <c r="X50" s="33"/>
      <c r="Y50" s="33"/>
      <c r="Z50" s="33"/>
      <c r="AA50" s="33"/>
      <c r="AB50" s="33"/>
      <c r="AC50" s="33"/>
      <c r="AD50" s="33"/>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3"/>
      <c r="BN50" s="33"/>
      <c r="BO50" s="33"/>
    </row>
    <row r="51" spans="1:67">
      <c r="A51" s="18" t="s">
        <v>49</v>
      </c>
      <c r="B51" s="18"/>
      <c r="C51" s="18"/>
      <c r="D51" s="39"/>
      <c r="E51" s="39"/>
      <c r="F51" s="39"/>
      <c r="G51" s="39"/>
      <c r="H51" s="39"/>
      <c r="I51" s="39"/>
      <c r="J51" s="39"/>
      <c r="K51" s="39"/>
      <c r="L51" s="39"/>
      <c r="M51" s="39"/>
      <c r="N51" s="39"/>
      <c r="O51" s="39"/>
      <c r="P51" s="39"/>
      <c r="Q51" s="39"/>
      <c r="R51" s="39"/>
      <c r="S51" s="39"/>
      <c r="T51" s="39"/>
      <c r="U51" s="39"/>
      <c r="V51" s="39"/>
      <c r="W51" s="39"/>
      <c r="X51" s="39"/>
      <c r="Y51" s="39"/>
      <c r="Z51" s="39"/>
      <c r="AA51" s="39"/>
      <c r="AB51" s="39"/>
      <c r="AC51" s="39"/>
      <c r="AD51" s="39"/>
      <c r="AE51" s="39"/>
      <c r="AF51" s="39"/>
      <c r="AG51" s="39"/>
      <c r="AH51" s="39"/>
      <c r="AI51" s="39"/>
      <c r="AJ51" s="39"/>
      <c r="AK51" s="39"/>
      <c r="AL51" s="39"/>
      <c r="AM51" s="39"/>
      <c r="AN51" s="39"/>
      <c r="AO51" s="39"/>
      <c r="AP51" s="39"/>
      <c r="AQ51" s="39"/>
      <c r="AR51" s="39"/>
      <c r="AS51" s="39"/>
      <c r="AT51" s="39"/>
      <c r="AU51" s="39"/>
      <c r="AV51" s="39"/>
      <c r="AW51" s="39"/>
      <c r="AX51" s="39"/>
      <c r="AY51" s="39"/>
      <c r="AZ51" s="39"/>
      <c r="BA51" s="39"/>
      <c r="BB51" s="39"/>
      <c r="BC51" s="39"/>
      <c r="BD51" s="39"/>
      <c r="BE51" s="39"/>
      <c r="BF51" s="39"/>
      <c r="BG51" s="39"/>
      <c r="BH51" s="39"/>
      <c r="BI51" s="39"/>
      <c r="BJ51" s="39"/>
      <c r="BK51" s="39"/>
      <c r="BL51" s="39"/>
      <c r="BM51" s="39"/>
      <c r="BN51" s="39"/>
      <c r="BO51" s="39"/>
    </row>
    <row r="52" spans="1:67">
      <c r="A52" s="11"/>
      <c r="B52" s="11" t="s">
        <v>80</v>
      </c>
      <c r="C52" s="11"/>
      <c r="D52" s="16">
        <v>1</v>
      </c>
      <c r="E52" s="10" t="s">
        <v>81</v>
      </c>
      <c r="F52" s="10"/>
      <c r="G52" s="33"/>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c r="BK52" s="33"/>
      <c r="BL52" s="33"/>
      <c r="BM52" s="33"/>
      <c r="BN52" s="33"/>
      <c r="BO52" s="33"/>
    </row>
    <row r="53" spans="1:67">
      <c r="A53" s="11"/>
      <c r="B53" s="11" t="s">
        <v>82</v>
      </c>
      <c r="C53" s="11"/>
      <c r="D53" s="6">
        <f>1-D52</f>
        <v>0</v>
      </c>
      <c r="E53" s="10" t="s">
        <v>81</v>
      </c>
      <c r="F53" s="10"/>
      <c r="G53" s="33"/>
      <c r="H53" s="33"/>
      <c r="I53" s="33"/>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3"/>
      <c r="AP53" s="33"/>
      <c r="AQ53" s="33"/>
      <c r="AR53" s="33"/>
      <c r="AS53" s="33"/>
      <c r="AT53" s="33"/>
      <c r="AU53" s="33"/>
      <c r="AV53" s="33"/>
      <c r="AW53" s="33"/>
      <c r="AX53" s="33"/>
      <c r="AY53" s="33"/>
      <c r="AZ53" s="33"/>
      <c r="BA53" s="33"/>
      <c r="BB53" s="33"/>
      <c r="BC53" s="33"/>
      <c r="BD53" s="33"/>
      <c r="BE53" s="33"/>
      <c r="BF53" s="33"/>
      <c r="BG53" s="33"/>
      <c r="BH53" s="33"/>
      <c r="BI53" s="33"/>
      <c r="BJ53" s="33"/>
      <c r="BK53" s="33"/>
      <c r="BL53" s="33"/>
      <c r="BM53" s="33"/>
      <c r="BN53" s="33"/>
      <c r="BO53" s="33"/>
    </row>
    <row r="54" spans="1:67">
      <c r="A54" s="11"/>
      <c r="B54" s="11" t="s">
        <v>83</v>
      </c>
      <c r="C54" s="11"/>
      <c r="D54" s="16">
        <v>0.99</v>
      </c>
      <c r="E54" s="10" t="s">
        <v>7</v>
      </c>
      <c r="F54" s="10"/>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row>
    <row r="55" spans="1:67">
      <c r="A55" s="11"/>
      <c r="B55" s="11" t="s">
        <v>1734</v>
      </c>
      <c r="C55" s="11"/>
      <c r="D55" s="92">
        <v>2000</v>
      </c>
      <c r="E55" s="10" t="s">
        <v>68</v>
      </c>
      <c r="F55" s="10"/>
      <c r="G55" s="33"/>
      <c r="H55" s="33"/>
      <c r="I55" s="33"/>
      <c r="J55" s="33"/>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3"/>
      <c r="BF55" s="33"/>
      <c r="BG55" s="33"/>
      <c r="BH55" s="33"/>
      <c r="BI55" s="33"/>
      <c r="BJ55" s="33"/>
      <c r="BK55" s="33"/>
      <c r="BL55" s="33"/>
      <c r="BM55" s="33"/>
      <c r="BN55" s="33"/>
      <c r="BO55" s="33"/>
    </row>
    <row r="56" spans="1:67">
      <c r="A56" s="11"/>
      <c r="B56" s="11"/>
      <c r="C56" s="11"/>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33"/>
      <c r="BG56" s="33"/>
      <c r="BH56" s="33"/>
      <c r="BI56" s="33"/>
      <c r="BJ56" s="33"/>
      <c r="BK56" s="33"/>
      <c r="BL56" s="33"/>
      <c r="BM56" s="33"/>
      <c r="BN56" s="33"/>
      <c r="BO56" s="33"/>
    </row>
    <row r="57" spans="1:67">
      <c r="A57" s="18" t="s">
        <v>1681</v>
      </c>
      <c r="B57" s="18"/>
      <c r="C57" s="18"/>
      <c r="D57" s="39"/>
      <c r="E57" s="39"/>
      <c r="F57" s="39"/>
      <c r="G57" s="39"/>
      <c r="H57" s="39"/>
      <c r="I57" s="39"/>
      <c r="J57" s="39"/>
      <c r="K57" s="39"/>
      <c r="L57" s="39"/>
      <c r="M57" s="39"/>
      <c r="N57" s="39"/>
      <c r="O57" s="39"/>
      <c r="P57" s="39"/>
      <c r="Q57" s="39"/>
      <c r="R57" s="39"/>
      <c r="S57" s="39"/>
      <c r="T57" s="39"/>
      <c r="U57" s="39"/>
      <c r="V57" s="39"/>
      <c r="W57" s="39"/>
      <c r="X57" s="39"/>
      <c r="Y57" s="39"/>
      <c r="Z57" s="39"/>
      <c r="AA57" s="39"/>
      <c r="AB57" s="39"/>
      <c r="AC57" s="39"/>
      <c r="AD57" s="39"/>
      <c r="AE57" s="39"/>
      <c r="AF57" s="39"/>
      <c r="AG57" s="39"/>
      <c r="AH57" s="39"/>
      <c r="AI57" s="39"/>
      <c r="AJ57" s="39"/>
      <c r="AK57" s="39"/>
      <c r="AL57" s="39"/>
      <c r="AM57" s="39"/>
      <c r="AN57" s="39"/>
      <c r="AO57" s="39"/>
      <c r="AP57" s="39"/>
      <c r="AQ57" s="39"/>
      <c r="AR57" s="39"/>
      <c r="AS57" s="39"/>
      <c r="AT57" s="39"/>
      <c r="AU57" s="39"/>
      <c r="AV57" s="39"/>
      <c r="AW57" s="39"/>
      <c r="AX57" s="39"/>
      <c r="AY57" s="39"/>
      <c r="AZ57" s="39"/>
      <c r="BA57" s="39"/>
      <c r="BB57" s="39"/>
      <c r="BC57" s="39"/>
      <c r="BD57" s="39"/>
      <c r="BE57" s="39"/>
      <c r="BF57" s="39"/>
      <c r="BG57" s="39"/>
      <c r="BH57" s="39"/>
      <c r="BI57" s="39"/>
      <c r="BJ57" s="39"/>
      <c r="BK57" s="39"/>
      <c r="BL57" s="39"/>
      <c r="BM57" s="39"/>
      <c r="BN57" s="39"/>
      <c r="BO57" s="39"/>
    </row>
    <row r="58" spans="1:67">
      <c r="A58" s="11"/>
      <c r="B58" s="11" t="s">
        <v>1683</v>
      </c>
      <c r="C58" s="11"/>
      <c r="D58" s="66">
        <v>29.8</v>
      </c>
      <c r="E58" s="10" t="s">
        <v>86</v>
      </c>
      <c r="F58" s="10"/>
      <c r="G58" s="33"/>
      <c r="H58" s="33"/>
      <c r="I58" s="33"/>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row>
    <row r="59" spans="1:67">
      <c r="A59" s="11"/>
      <c r="B59" s="11" t="s">
        <v>87</v>
      </c>
      <c r="C59" s="11"/>
      <c r="D59" s="92">
        <v>15000</v>
      </c>
      <c r="E59" s="10" t="s">
        <v>88</v>
      </c>
      <c r="F59" s="10"/>
      <c r="G59" s="33"/>
      <c r="H59" s="33"/>
      <c r="I59" s="33"/>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row>
    <row r="60" spans="1:67">
      <c r="A60" s="11"/>
      <c r="B60" s="11" t="s">
        <v>1682</v>
      </c>
      <c r="C60" s="11"/>
      <c r="D60" s="16">
        <v>7.0000000000000007E-2</v>
      </c>
      <c r="E60" s="10" t="s">
        <v>7</v>
      </c>
      <c r="F60" s="10"/>
      <c r="G60" s="33"/>
      <c r="H60" s="33"/>
      <c r="I60" s="33"/>
      <c r="J60" s="33"/>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3"/>
      <c r="AP60" s="33"/>
      <c r="AQ60" s="33"/>
      <c r="AR60" s="33"/>
      <c r="AS60" s="33"/>
      <c r="AT60" s="33"/>
      <c r="AU60" s="33"/>
      <c r="AV60" s="33"/>
      <c r="AW60" s="33"/>
      <c r="AX60" s="33"/>
      <c r="AY60" s="33"/>
      <c r="AZ60" s="33"/>
      <c r="BA60" s="33"/>
      <c r="BB60" s="33"/>
      <c r="BC60" s="33"/>
      <c r="BD60" s="33"/>
      <c r="BE60" s="33"/>
      <c r="BF60" s="33"/>
      <c r="BG60" s="33"/>
      <c r="BH60" s="33"/>
      <c r="BI60" s="33"/>
      <c r="BJ60" s="33"/>
      <c r="BK60" s="33"/>
      <c r="BL60" s="33"/>
      <c r="BM60" s="33"/>
      <c r="BN60" s="33"/>
      <c r="BO60" s="33"/>
    </row>
    <row r="61" spans="1:67">
      <c r="A61" s="11"/>
      <c r="B61" s="11" t="s">
        <v>89</v>
      </c>
      <c r="C61" s="11"/>
      <c r="D61" s="92">
        <v>5</v>
      </c>
      <c r="E61" s="10" t="s">
        <v>45</v>
      </c>
      <c r="F61" s="10"/>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row>
    <row r="62" spans="1:67">
      <c r="A62" s="11"/>
      <c r="B62" s="11" t="s">
        <v>90</v>
      </c>
      <c r="C62" s="11"/>
      <c r="D62" s="16">
        <v>0.1</v>
      </c>
      <c r="E62" s="10" t="s">
        <v>91</v>
      </c>
      <c r="F62" s="10"/>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row>
    <row r="63" spans="1:67">
      <c r="A63" s="11"/>
      <c r="B63" s="11" t="s">
        <v>92</v>
      </c>
      <c r="C63" s="11"/>
      <c r="D63" s="92">
        <v>30</v>
      </c>
      <c r="E63" s="10" t="s">
        <v>45</v>
      </c>
      <c r="F63" s="10"/>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3"/>
      <c r="BN63" s="33"/>
      <c r="BO63" s="33"/>
    </row>
    <row r="64" spans="1:67">
      <c r="A64" s="11"/>
      <c r="B64" s="11" t="s">
        <v>1689</v>
      </c>
      <c r="C64" s="11"/>
      <c r="D64" s="92">
        <v>0</v>
      </c>
      <c r="E64" s="10" t="s">
        <v>93</v>
      </c>
      <c r="F64" s="10"/>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3"/>
      <c r="BN64" s="33"/>
      <c r="BO64" s="33"/>
    </row>
    <row r="65" spans="1:67">
      <c r="A65" s="11"/>
      <c r="B65" s="11" t="s">
        <v>94</v>
      </c>
      <c r="C65" s="11"/>
      <c r="D65" s="92">
        <v>1000</v>
      </c>
      <c r="E65" s="10" t="s">
        <v>88</v>
      </c>
      <c r="F65" s="10"/>
      <c r="G65" s="33"/>
      <c r="H65" s="33"/>
      <c r="I65" s="33"/>
      <c r="J65" s="33"/>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3"/>
      <c r="BN65" s="33"/>
      <c r="BO65" s="33"/>
    </row>
    <row r="66" spans="1:67">
      <c r="A66" s="11"/>
      <c r="B66" s="11" t="s">
        <v>1739</v>
      </c>
      <c r="C66" s="11"/>
      <c r="D66" s="92">
        <v>18000000</v>
      </c>
      <c r="E66" s="10" t="s">
        <v>13</v>
      </c>
      <c r="F66" s="10"/>
      <c r="G66" s="33"/>
      <c r="H66" s="33"/>
      <c r="I66" s="33"/>
      <c r="J66" s="33"/>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c r="BE66" s="33"/>
      <c r="BF66" s="33"/>
      <c r="BG66" s="33"/>
      <c r="BH66" s="33"/>
      <c r="BI66" s="33"/>
      <c r="BJ66" s="33"/>
      <c r="BK66" s="33"/>
      <c r="BL66" s="33"/>
      <c r="BM66" s="33"/>
      <c r="BN66" s="33"/>
      <c r="BO66" s="33"/>
    </row>
    <row r="67" spans="1:67">
      <c r="A67" s="11"/>
      <c r="B67" s="11"/>
      <c r="C67" s="11"/>
      <c r="D67" s="33"/>
      <c r="E67" s="33"/>
      <c r="F67" s="33"/>
      <c r="G67" s="33"/>
      <c r="H67" s="33"/>
      <c r="I67" s="33"/>
      <c r="J67" s="33"/>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3"/>
      <c r="BE67" s="33"/>
      <c r="BF67" s="33"/>
      <c r="BG67" s="33"/>
      <c r="BH67" s="33"/>
      <c r="BI67" s="33"/>
      <c r="BJ67" s="33"/>
      <c r="BK67" s="33"/>
      <c r="BL67" s="33"/>
      <c r="BM67" s="33"/>
      <c r="BN67" s="33"/>
      <c r="BO67" s="33"/>
    </row>
    <row r="68" spans="1:67">
      <c r="A68" s="18" t="s">
        <v>84</v>
      </c>
      <c r="B68" s="18"/>
      <c r="C68" s="18"/>
      <c r="D68" s="39"/>
      <c r="E68" s="39"/>
      <c r="F68" s="39"/>
      <c r="G68" s="39"/>
      <c r="H68" s="39"/>
      <c r="I68" s="39"/>
      <c r="J68" s="39"/>
      <c r="K68" s="39"/>
      <c r="L68" s="39"/>
      <c r="M68" s="39"/>
      <c r="N68" s="39"/>
      <c r="O68" s="39"/>
      <c r="P68" s="39"/>
      <c r="Q68" s="39"/>
      <c r="R68" s="39"/>
      <c r="S68" s="39"/>
      <c r="T68" s="39"/>
      <c r="U68" s="39"/>
      <c r="V68" s="39"/>
      <c r="W68" s="39"/>
      <c r="X68" s="39"/>
      <c r="Y68" s="39"/>
      <c r="Z68" s="39"/>
      <c r="AA68" s="39"/>
      <c r="AB68" s="39"/>
      <c r="AC68" s="39"/>
      <c r="AD68" s="39"/>
      <c r="AE68" s="39"/>
      <c r="AF68" s="39"/>
      <c r="AG68" s="39"/>
      <c r="AH68" s="39"/>
      <c r="AI68" s="39"/>
      <c r="AJ68" s="39"/>
      <c r="AK68" s="39"/>
      <c r="AL68" s="39"/>
      <c r="AM68" s="39"/>
      <c r="AN68" s="39"/>
      <c r="AO68" s="39"/>
      <c r="AP68" s="39"/>
      <c r="AQ68" s="39"/>
      <c r="AR68" s="39"/>
      <c r="AS68" s="39"/>
      <c r="AT68" s="39"/>
      <c r="AU68" s="39"/>
      <c r="AV68" s="39"/>
      <c r="AW68" s="39"/>
      <c r="AX68" s="39"/>
      <c r="AY68" s="39"/>
      <c r="AZ68" s="39"/>
      <c r="BA68" s="39"/>
      <c r="BB68" s="39"/>
      <c r="BC68" s="39"/>
      <c r="BD68" s="39"/>
      <c r="BE68" s="39"/>
      <c r="BF68" s="39"/>
      <c r="BG68" s="39"/>
      <c r="BH68" s="39"/>
      <c r="BI68" s="39"/>
      <c r="BJ68" s="39"/>
      <c r="BK68" s="39"/>
      <c r="BL68" s="39"/>
      <c r="BM68" s="39"/>
      <c r="BN68" s="39"/>
      <c r="BO68" s="39"/>
    </row>
    <row r="69" spans="1:67">
      <c r="A69" s="11"/>
      <c r="B69" s="11" t="s">
        <v>95</v>
      </c>
      <c r="C69" s="11"/>
      <c r="D69" s="69">
        <v>4.2</v>
      </c>
      <c r="E69" s="10" t="s">
        <v>96</v>
      </c>
      <c r="F69" s="10"/>
      <c r="G69" s="33"/>
      <c r="H69" s="33"/>
      <c r="I69" s="33"/>
      <c r="J69" s="33"/>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3"/>
      <c r="AP69" s="33"/>
      <c r="AQ69" s="33"/>
      <c r="AR69" s="33"/>
      <c r="AS69" s="33"/>
      <c r="AT69" s="33"/>
      <c r="AU69" s="33"/>
      <c r="AV69" s="33"/>
      <c r="AW69" s="33"/>
      <c r="AX69" s="33"/>
      <c r="AY69" s="33"/>
      <c r="AZ69" s="33"/>
      <c r="BA69" s="33"/>
      <c r="BB69" s="33"/>
      <c r="BC69" s="33"/>
      <c r="BD69" s="33"/>
      <c r="BE69" s="33"/>
      <c r="BF69" s="33"/>
      <c r="BG69" s="33"/>
      <c r="BH69" s="33"/>
      <c r="BI69" s="33"/>
      <c r="BJ69" s="33"/>
      <c r="BK69" s="33"/>
      <c r="BL69" s="33"/>
      <c r="BM69" s="33"/>
      <c r="BN69" s="33"/>
      <c r="BO69" s="33"/>
    </row>
    <row r="70" spans="1:67">
      <c r="A70" s="11"/>
      <c r="B70" s="11" t="s">
        <v>1100</v>
      </c>
      <c r="C70" s="11"/>
      <c r="D70" s="68">
        <f>'12 Site, Civil &amp; Utilities'!$D$89</f>
        <v>513.04799519999995</v>
      </c>
      <c r="E70" s="10" t="s">
        <v>98</v>
      </c>
      <c r="F70" s="10"/>
      <c r="G70" s="33"/>
      <c r="H70" s="33"/>
      <c r="I70" s="33"/>
      <c r="J70" s="33"/>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33"/>
      <c r="BK70" s="33"/>
      <c r="BL70" s="33"/>
      <c r="BM70" s="33"/>
      <c r="BN70" s="33"/>
      <c r="BO70" s="33"/>
    </row>
    <row r="71" spans="1:67">
      <c r="A71" s="11"/>
      <c r="B71" s="11" t="s">
        <v>1667</v>
      </c>
      <c r="C71" s="11"/>
      <c r="D71" s="95">
        <v>25</v>
      </c>
      <c r="E71" s="10" t="s">
        <v>99</v>
      </c>
      <c r="F71" s="10"/>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3"/>
      <c r="BE71" s="33"/>
      <c r="BF71" s="33"/>
      <c r="BG71" s="33"/>
      <c r="BH71" s="33"/>
      <c r="BI71" s="33"/>
      <c r="BJ71" s="33"/>
      <c r="BK71" s="33"/>
      <c r="BL71" s="33"/>
      <c r="BM71" s="33"/>
      <c r="BN71" s="33"/>
      <c r="BO71" s="33"/>
    </row>
    <row r="72" spans="1:67">
      <c r="A72" s="11"/>
      <c r="B72" s="11" t="s">
        <v>1101</v>
      </c>
      <c r="C72" s="11"/>
      <c r="D72" s="68">
        <f>'12 Site, Civil &amp; Utilities'!$D$107</f>
        <v>0.67316229116945103</v>
      </c>
      <c r="E72" s="10" t="s">
        <v>100</v>
      </c>
      <c r="F72" s="10"/>
      <c r="G72" s="33"/>
      <c r="H72" s="33"/>
      <c r="I72" s="33"/>
      <c r="J72" s="33"/>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3"/>
      <c r="AP72" s="33"/>
      <c r="AQ72" s="33"/>
      <c r="AR72" s="33"/>
      <c r="AS72" s="33"/>
      <c r="AT72" s="33"/>
      <c r="AU72" s="33"/>
      <c r="AV72" s="33"/>
      <c r="AW72" s="33"/>
      <c r="AX72" s="33"/>
      <c r="AY72" s="33"/>
      <c r="AZ72" s="33"/>
      <c r="BA72" s="33"/>
      <c r="BB72" s="33"/>
      <c r="BC72" s="33"/>
      <c r="BD72" s="33"/>
      <c r="BE72" s="33"/>
      <c r="BF72" s="33"/>
      <c r="BG72" s="33"/>
      <c r="BH72" s="33"/>
      <c r="BI72" s="33"/>
      <c r="BJ72" s="33"/>
      <c r="BK72" s="33"/>
      <c r="BL72" s="33"/>
      <c r="BM72" s="33"/>
      <c r="BN72" s="33"/>
      <c r="BO72" s="33"/>
    </row>
    <row r="73" spans="1:67">
      <c r="A73" s="11"/>
      <c r="B73" s="11" t="s">
        <v>1668</v>
      </c>
      <c r="C73" s="11"/>
      <c r="D73" s="95">
        <v>15</v>
      </c>
      <c r="E73" s="10" t="s">
        <v>99</v>
      </c>
      <c r="F73" s="10"/>
      <c r="G73" s="33"/>
      <c r="H73" s="33"/>
      <c r="I73" s="33"/>
      <c r="J73" s="33"/>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33"/>
      <c r="BE73" s="33"/>
      <c r="BF73" s="33"/>
      <c r="BG73" s="33"/>
      <c r="BH73" s="33"/>
      <c r="BI73" s="33"/>
      <c r="BJ73" s="33"/>
      <c r="BK73" s="33"/>
      <c r="BL73" s="33"/>
      <c r="BM73" s="33"/>
      <c r="BN73" s="33"/>
      <c r="BO73" s="33"/>
    </row>
    <row r="74" spans="1:67">
      <c r="A74" s="11"/>
      <c r="B74" s="11" t="s">
        <v>101</v>
      </c>
      <c r="C74" s="11"/>
      <c r="D74" s="19">
        <v>0.6</v>
      </c>
      <c r="E74" s="10" t="s">
        <v>7</v>
      </c>
      <c r="F74" s="10"/>
      <c r="G74" s="33"/>
      <c r="H74" s="33"/>
      <c r="I74" s="33"/>
      <c r="J74" s="33"/>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33"/>
      <c r="BE74" s="33"/>
      <c r="BF74" s="33"/>
      <c r="BG74" s="33"/>
      <c r="BH74" s="33"/>
      <c r="BI74" s="33"/>
      <c r="BJ74" s="33"/>
      <c r="BK74" s="33"/>
      <c r="BL74" s="33"/>
      <c r="BM74" s="33"/>
      <c r="BN74" s="33"/>
      <c r="BO74" s="33"/>
    </row>
    <row r="75" spans="1:67">
      <c r="A75" s="11"/>
      <c r="B75" s="11" t="s">
        <v>1214</v>
      </c>
      <c r="C75" s="11"/>
      <c r="D75" s="68">
        <f>'02 Oil Price Analysis'!$D$72</f>
        <v>31.98261006289308</v>
      </c>
      <c r="E75" s="10" t="s">
        <v>102</v>
      </c>
      <c r="F75" s="10"/>
      <c r="G75" s="33"/>
      <c r="H75" s="33"/>
      <c r="I75" s="33"/>
      <c r="J75" s="33"/>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3"/>
      <c r="AP75" s="33"/>
      <c r="AQ75" s="33"/>
      <c r="AR75" s="33"/>
      <c r="AS75" s="33"/>
      <c r="AT75" s="33"/>
      <c r="AU75" s="33"/>
      <c r="AV75" s="33"/>
      <c r="AW75" s="33"/>
      <c r="AX75" s="33"/>
      <c r="AY75" s="33"/>
      <c r="AZ75" s="33"/>
      <c r="BA75" s="33"/>
      <c r="BB75" s="33"/>
      <c r="BC75" s="33"/>
      <c r="BD75" s="33"/>
      <c r="BE75" s="33"/>
      <c r="BF75" s="33"/>
      <c r="BG75" s="33"/>
      <c r="BH75" s="33"/>
      <c r="BI75" s="33"/>
      <c r="BJ75" s="33"/>
      <c r="BK75" s="33"/>
      <c r="BL75" s="33"/>
      <c r="BM75" s="33"/>
      <c r="BN75" s="33"/>
      <c r="BO75" s="33"/>
    </row>
    <row r="76" spans="1:67">
      <c r="A76" s="11"/>
      <c r="B76" s="11" t="s">
        <v>103</v>
      </c>
      <c r="C76" s="11"/>
      <c r="D76" s="69">
        <v>1.2</v>
      </c>
      <c r="E76" s="10" t="s">
        <v>104</v>
      </c>
      <c r="F76" s="10"/>
      <c r="G76" s="33"/>
      <c r="H76" s="33"/>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33"/>
      <c r="BM76" s="33"/>
      <c r="BN76" s="33"/>
      <c r="BO76" s="33"/>
    </row>
    <row r="77" spans="1:67">
      <c r="A77" s="11"/>
      <c r="B77" s="11"/>
      <c r="C77" s="11"/>
      <c r="D77" s="33"/>
      <c r="E77" s="33"/>
      <c r="F77" s="33"/>
      <c r="G77" s="33"/>
      <c r="H77" s="33"/>
      <c r="I77" s="33"/>
      <c r="J77" s="33"/>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3"/>
      <c r="BN77" s="33"/>
      <c r="BO77" s="33"/>
    </row>
    <row r="78" spans="1:67">
      <c r="A78" s="18" t="s">
        <v>85</v>
      </c>
      <c r="B78" s="18"/>
      <c r="C78" s="18"/>
      <c r="D78" s="39"/>
      <c r="E78" s="39"/>
      <c r="F78" s="39"/>
      <c r="G78" s="39"/>
      <c r="H78" s="39"/>
      <c r="I78" s="39"/>
      <c r="J78" s="39"/>
      <c r="K78" s="39"/>
      <c r="L78" s="39"/>
      <c r="M78" s="39"/>
      <c r="N78" s="39"/>
      <c r="O78" s="39"/>
      <c r="P78" s="39"/>
      <c r="Q78" s="39"/>
      <c r="R78" s="39"/>
      <c r="S78" s="39"/>
      <c r="T78" s="39"/>
      <c r="U78" s="39"/>
      <c r="V78" s="39"/>
      <c r="W78" s="39"/>
      <c r="X78" s="39"/>
      <c r="Y78" s="39"/>
      <c r="Z78" s="39"/>
      <c r="AA78" s="39"/>
      <c r="AB78" s="39"/>
      <c r="AC78" s="39"/>
      <c r="AD78" s="39"/>
      <c r="AE78" s="39"/>
      <c r="AF78" s="39"/>
      <c r="AG78" s="39"/>
      <c r="AH78" s="39"/>
      <c r="AI78" s="39"/>
      <c r="AJ78" s="39"/>
      <c r="AK78" s="39"/>
      <c r="AL78" s="39"/>
      <c r="AM78" s="39"/>
      <c r="AN78" s="39"/>
      <c r="AO78" s="39"/>
      <c r="AP78" s="39"/>
      <c r="AQ78" s="39"/>
      <c r="AR78" s="39"/>
      <c r="AS78" s="39"/>
      <c r="AT78" s="39"/>
      <c r="AU78" s="39"/>
      <c r="AV78" s="39"/>
      <c r="AW78" s="39"/>
      <c r="AX78" s="39"/>
      <c r="AY78" s="39"/>
      <c r="AZ78" s="39"/>
      <c r="BA78" s="39"/>
      <c r="BB78" s="39"/>
      <c r="BC78" s="39"/>
      <c r="BD78" s="39"/>
      <c r="BE78" s="39"/>
      <c r="BF78" s="39"/>
      <c r="BG78" s="39"/>
      <c r="BH78" s="39"/>
      <c r="BI78" s="39"/>
      <c r="BJ78" s="39"/>
      <c r="BK78" s="39"/>
      <c r="BL78" s="39"/>
      <c r="BM78" s="39"/>
      <c r="BN78" s="39"/>
      <c r="BO78" s="39"/>
    </row>
    <row r="79" spans="1:67">
      <c r="A79" s="11"/>
      <c r="B79" s="11"/>
      <c r="C79" s="22" t="s">
        <v>105</v>
      </c>
      <c r="D79" s="22" t="s">
        <v>106</v>
      </c>
      <c r="E79" s="33"/>
      <c r="F79" s="33"/>
      <c r="G79" s="33"/>
      <c r="H79" s="33"/>
      <c r="I79" s="33"/>
      <c r="J79" s="33"/>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3"/>
      <c r="AP79" s="33"/>
      <c r="AQ79" s="33"/>
      <c r="AR79" s="33"/>
      <c r="AS79" s="33"/>
      <c r="AT79" s="33"/>
      <c r="AU79" s="33"/>
      <c r="AV79" s="33"/>
      <c r="AW79" s="33"/>
      <c r="AX79" s="33"/>
      <c r="AY79" s="33"/>
      <c r="AZ79" s="33"/>
      <c r="BA79" s="33"/>
      <c r="BB79" s="33"/>
      <c r="BC79" s="33"/>
      <c r="BD79" s="33"/>
      <c r="BE79" s="33"/>
      <c r="BF79" s="33"/>
      <c r="BG79" s="33"/>
      <c r="BH79" s="33"/>
      <c r="BI79" s="33"/>
      <c r="BJ79" s="33"/>
      <c r="BK79" s="33"/>
      <c r="BL79" s="33"/>
      <c r="BM79" s="33"/>
      <c r="BN79" s="33"/>
      <c r="BO79" s="33"/>
    </row>
    <row r="80" spans="1:67">
      <c r="A80" s="11"/>
      <c r="B80" s="11" t="s">
        <v>107</v>
      </c>
      <c r="C80" s="95">
        <v>1</v>
      </c>
      <c r="D80" s="95">
        <v>150000</v>
      </c>
      <c r="E80" s="33"/>
      <c r="F80" s="33"/>
      <c r="G80" s="33"/>
      <c r="H80" s="33"/>
      <c r="I80" s="33"/>
      <c r="J80" s="33"/>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33"/>
      <c r="BN80" s="33"/>
      <c r="BO80" s="33"/>
    </row>
    <row r="81" spans="1:67">
      <c r="A81" s="11"/>
      <c r="B81" s="11" t="s">
        <v>108</v>
      </c>
      <c r="C81" s="95">
        <v>1</v>
      </c>
      <c r="D81" s="95">
        <v>90000</v>
      </c>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3"/>
      <c r="AP81" s="33"/>
      <c r="AQ81" s="33"/>
      <c r="AR81" s="33"/>
      <c r="AS81" s="33"/>
      <c r="AT81" s="33"/>
      <c r="AU81" s="33"/>
      <c r="AV81" s="33"/>
      <c r="AW81" s="33"/>
      <c r="AX81" s="33"/>
      <c r="AY81" s="33"/>
      <c r="AZ81" s="33"/>
      <c r="BA81" s="33"/>
      <c r="BB81" s="33"/>
      <c r="BC81" s="33"/>
      <c r="BD81" s="33"/>
      <c r="BE81" s="33"/>
      <c r="BF81" s="33"/>
      <c r="BG81" s="33"/>
      <c r="BH81" s="33"/>
      <c r="BI81" s="33"/>
      <c r="BJ81" s="33"/>
      <c r="BK81" s="33"/>
      <c r="BL81" s="33"/>
      <c r="BM81" s="33"/>
      <c r="BN81" s="33"/>
      <c r="BO81" s="33"/>
    </row>
    <row r="82" spans="1:67">
      <c r="A82" s="11"/>
      <c r="B82" s="11" t="s">
        <v>109</v>
      </c>
      <c r="C82" s="95">
        <v>4</v>
      </c>
      <c r="D82" s="95">
        <v>45000</v>
      </c>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3"/>
      <c r="AP82" s="33"/>
      <c r="AQ82" s="33"/>
      <c r="AR82" s="33"/>
      <c r="AS82" s="33"/>
      <c r="AT82" s="33"/>
      <c r="AU82" s="33"/>
      <c r="AV82" s="33"/>
      <c r="AW82" s="33"/>
      <c r="AX82" s="33"/>
      <c r="AY82" s="33"/>
      <c r="AZ82" s="33"/>
      <c r="BA82" s="33"/>
      <c r="BB82" s="33"/>
      <c r="BC82" s="33"/>
      <c r="BD82" s="33"/>
      <c r="BE82" s="33"/>
      <c r="BF82" s="33"/>
      <c r="BG82" s="33"/>
      <c r="BH82" s="33"/>
      <c r="BI82" s="33"/>
      <c r="BJ82" s="33"/>
      <c r="BK82" s="33"/>
      <c r="BL82" s="33"/>
      <c r="BM82" s="33"/>
      <c r="BN82" s="33"/>
      <c r="BO82" s="33"/>
    </row>
    <row r="83" spans="1:67">
      <c r="A83" s="11"/>
      <c r="B83" s="11" t="s">
        <v>110</v>
      </c>
      <c r="C83" s="95">
        <v>32</v>
      </c>
      <c r="D83" s="95">
        <v>22000</v>
      </c>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row>
    <row r="84" spans="1:67">
      <c r="A84" s="11"/>
      <c r="B84" s="11" t="s">
        <v>111</v>
      </c>
      <c r="C84" s="95">
        <v>8</v>
      </c>
      <c r="D84" s="95">
        <v>20000</v>
      </c>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row>
    <row r="85" spans="1:67">
      <c r="A85" s="11"/>
      <c r="B85" s="11" t="s">
        <v>112</v>
      </c>
      <c r="C85" s="95">
        <v>8</v>
      </c>
      <c r="D85" s="95">
        <v>20000</v>
      </c>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3"/>
      <c r="AP85" s="33"/>
      <c r="AQ85" s="33"/>
      <c r="AR85" s="33"/>
      <c r="AS85" s="33"/>
      <c r="AT85" s="33"/>
      <c r="AU85" s="33"/>
      <c r="AV85" s="33"/>
      <c r="AW85" s="33"/>
      <c r="AX85" s="33"/>
      <c r="AY85" s="33"/>
      <c r="AZ85" s="33"/>
      <c r="BA85" s="33"/>
      <c r="BB85" s="33"/>
      <c r="BC85" s="33"/>
      <c r="BD85" s="33"/>
      <c r="BE85" s="33"/>
      <c r="BF85" s="33"/>
      <c r="BG85" s="33"/>
      <c r="BH85" s="33"/>
      <c r="BI85" s="33"/>
      <c r="BJ85" s="33"/>
      <c r="BK85" s="33"/>
      <c r="BL85" s="33"/>
      <c r="BM85" s="33"/>
      <c r="BN85" s="33"/>
      <c r="BO85" s="33"/>
    </row>
    <row r="86" spans="1:67">
      <c r="A86" s="11"/>
      <c r="B86" s="11" t="s">
        <v>113</v>
      </c>
      <c r="C86" s="95">
        <v>3</v>
      </c>
      <c r="D86" s="95">
        <v>55000</v>
      </c>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c r="BG86" s="33"/>
      <c r="BH86" s="33"/>
      <c r="BI86" s="33"/>
      <c r="BJ86" s="33"/>
      <c r="BK86" s="33"/>
      <c r="BL86" s="33"/>
      <c r="BM86" s="33"/>
      <c r="BN86" s="33"/>
      <c r="BO86" s="33"/>
    </row>
    <row r="87" spans="1:67">
      <c r="A87" s="11"/>
      <c r="B87" s="11" t="s">
        <v>114</v>
      </c>
      <c r="C87" s="95">
        <v>12</v>
      </c>
      <c r="D87" s="95">
        <v>25000</v>
      </c>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3"/>
      <c r="AP87" s="33"/>
      <c r="AQ87" s="33"/>
      <c r="AR87" s="33"/>
      <c r="AS87" s="33"/>
      <c r="AT87" s="33"/>
      <c r="AU87" s="33"/>
      <c r="AV87" s="33"/>
      <c r="AW87" s="33"/>
      <c r="AX87" s="33"/>
      <c r="AY87" s="33"/>
      <c r="AZ87" s="33"/>
      <c r="BA87" s="33"/>
      <c r="BB87" s="33"/>
      <c r="BC87" s="33"/>
      <c r="BD87" s="33"/>
      <c r="BE87" s="33"/>
      <c r="BF87" s="33"/>
      <c r="BG87" s="33"/>
      <c r="BH87" s="33"/>
      <c r="BI87" s="33"/>
      <c r="BJ87" s="33"/>
      <c r="BK87" s="33"/>
      <c r="BL87" s="33"/>
      <c r="BM87" s="33"/>
      <c r="BN87" s="33"/>
      <c r="BO87" s="33"/>
    </row>
    <row r="88" spans="1:67">
      <c r="A88" s="11"/>
      <c r="B88" s="11" t="s">
        <v>115</v>
      </c>
      <c r="C88" s="95">
        <v>6</v>
      </c>
      <c r="D88" s="95">
        <v>28000</v>
      </c>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3"/>
      <c r="AP88" s="33"/>
      <c r="AQ88" s="33"/>
      <c r="AR88" s="33"/>
      <c r="AS88" s="33"/>
      <c r="AT88" s="33"/>
      <c r="AU88" s="33"/>
      <c r="AV88" s="33"/>
      <c r="AW88" s="33"/>
      <c r="AX88" s="33"/>
      <c r="AY88" s="33"/>
      <c r="AZ88" s="33"/>
      <c r="BA88" s="33"/>
      <c r="BB88" s="33"/>
      <c r="BC88" s="33"/>
      <c r="BD88" s="33"/>
      <c r="BE88" s="33"/>
      <c r="BF88" s="33"/>
      <c r="BG88" s="33"/>
      <c r="BH88" s="33"/>
      <c r="BI88" s="33"/>
      <c r="BJ88" s="33"/>
      <c r="BK88" s="33"/>
      <c r="BL88" s="33"/>
      <c r="BM88" s="33"/>
      <c r="BN88" s="33"/>
      <c r="BO88" s="33"/>
    </row>
    <row r="89" spans="1:67">
      <c r="A89" s="11"/>
      <c r="B89" s="11" t="s">
        <v>116</v>
      </c>
      <c r="C89" s="95">
        <v>4</v>
      </c>
      <c r="D89" s="95">
        <v>30000</v>
      </c>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3"/>
      <c r="AP89" s="33"/>
      <c r="AQ89" s="33"/>
      <c r="AR89" s="33"/>
      <c r="AS89" s="33"/>
      <c r="AT89" s="33"/>
      <c r="AU89" s="33"/>
      <c r="AV89" s="33"/>
      <c r="AW89" s="33"/>
      <c r="AX89" s="33"/>
      <c r="AY89" s="33"/>
      <c r="AZ89" s="33"/>
      <c r="BA89" s="33"/>
      <c r="BB89" s="33"/>
      <c r="BC89" s="33"/>
      <c r="BD89" s="33"/>
      <c r="BE89" s="33"/>
      <c r="BF89" s="33"/>
      <c r="BG89" s="33"/>
      <c r="BH89" s="33"/>
      <c r="BI89" s="33"/>
      <c r="BJ89" s="33"/>
      <c r="BK89" s="33"/>
      <c r="BL89" s="33"/>
      <c r="BM89" s="33"/>
      <c r="BN89" s="33"/>
      <c r="BO89" s="33"/>
    </row>
    <row r="90" spans="1:67">
      <c r="A90" s="11"/>
      <c r="B90" s="11" t="s">
        <v>117</v>
      </c>
      <c r="C90" s="95">
        <v>2</v>
      </c>
      <c r="D90" s="95">
        <v>35000</v>
      </c>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3"/>
      <c r="AP90" s="33"/>
      <c r="AQ90" s="33"/>
      <c r="AR90" s="33"/>
      <c r="AS90" s="33"/>
      <c r="AT90" s="33"/>
      <c r="AU90" s="33"/>
      <c r="AV90" s="33"/>
      <c r="AW90" s="33"/>
      <c r="AX90" s="33"/>
      <c r="AY90" s="33"/>
      <c r="AZ90" s="33"/>
      <c r="BA90" s="33"/>
      <c r="BB90" s="33"/>
      <c r="BC90" s="33"/>
      <c r="BD90" s="33"/>
      <c r="BE90" s="33"/>
      <c r="BF90" s="33"/>
      <c r="BG90" s="33"/>
      <c r="BH90" s="33"/>
      <c r="BI90" s="33"/>
      <c r="BJ90" s="33"/>
      <c r="BK90" s="33"/>
      <c r="BL90" s="33"/>
      <c r="BM90" s="33"/>
      <c r="BN90" s="33"/>
      <c r="BO90" s="33"/>
    </row>
    <row r="91" spans="1:67">
      <c r="A91" s="11"/>
      <c r="B91" s="11" t="s">
        <v>118</v>
      </c>
      <c r="C91" s="95">
        <v>6</v>
      </c>
      <c r="D91" s="95">
        <v>20000</v>
      </c>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3"/>
      <c r="AP91" s="33"/>
      <c r="AQ91" s="33"/>
      <c r="AR91" s="33"/>
      <c r="AS91" s="33"/>
      <c r="AT91" s="33"/>
      <c r="AU91" s="33"/>
      <c r="AV91" s="33"/>
      <c r="AW91" s="33"/>
      <c r="AX91" s="33"/>
      <c r="AY91" s="33"/>
      <c r="AZ91" s="33"/>
      <c r="BA91" s="33"/>
      <c r="BB91" s="33"/>
      <c r="BC91" s="33"/>
      <c r="BD91" s="33"/>
      <c r="BE91" s="33"/>
      <c r="BF91" s="33"/>
      <c r="BG91" s="33"/>
      <c r="BH91" s="33"/>
      <c r="BI91" s="33"/>
      <c r="BJ91" s="33"/>
      <c r="BK91" s="33"/>
      <c r="BL91" s="33"/>
      <c r="BM91" s="33"/>
      <c r="BN91" s="33"/>
      <c r="BO91" s="33"/>
    </row>
    <row r="92" spans="1:67">
      <c r="A92" s="11"/>
      <c r="B92" s="11" t="s">
        <v>119</v>
      </c>
      <c r="C92" s="95">
        <v>8</v>
      </c>
      <c r="D92" s="95">
        <v>15000</v>
      </c>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3"/>
      <c r="AP92" s="33"/>
      <c r="AQ92" s="33"/>
      <c r="AR92" s="33"/>
      <c r="AS92" s="33"/>
      <c r="AT92" s="33"/>
      <c r="AU92" s="33"/>
      <c r="AV92" s="33"/>
      <c r="AW92" s="33"/>
      <c r="AX92" s="33"/>
      <c r="AY92" s="33"/>
      <c r="AZ92" s="33"/>
      <c r="BA92" s="33"/>
      <c r="BB92" s="33"/>
      <c r="BC92" s="33"/>
      <c r="BD92" s="33"/>
      <c r="BE92" s="33"/>
      <c r="BF92" s="33"/>
      <c r="BG92" s="33"/>
      <c r="BH92" s="33"/>
      <c r="BI92" s="33"/>
      <c r="BJ92" s="33"/>
      <c r="BK92" s="33"/>
      <c r="BL92" s="33"/>
      <c r="BM92" s="33"/>
      <c r="BN92" s="33"/>
      <c r="BO92" s="33"/>
    </row>
    <row r="93" spans="1:67">
      <c r="A93" s="11"/>
      <c r="B93" s="11" t="s">
        <v>120</v>
      </c>
      <c r="C93" s="95">
        <v>3</v>
      </c>
      <c r="D93" s="95">
        <v>40000</v>
      </c>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row>
    <row r="94" spans="1:67">
      <c r="A94" s="11"/>
      <c r="B94" s="11" t="s">
        <v>121</v>
      </c>
      <c r="C94" s="95">
        <v>4</v>
      </c>
      <c r="D94" s="95">
        <v>40000</v>
      </c>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c r="BG94" s="33"/>
      <c r="BH94" s="33"/>
      <c r="BI94" s="33"/>
      <c r="BJ94" s="33"/>
      <c r="BK94" s="33"/>
      <c r="BL94" s="33"/>
      <c r="BM94" s="33"/>
      <c r="BN94" s="33"/>
      <c r="BO94" s="33"/>
    </row>
    <row r="95" spans="1:67">
      <c r="A95" s="11"/>
      <c r="B95" s="11" t="s">
        <v>122</v>
      </c>
      <c r="C95" s="95">
        <v>3</v>
      </c>
      <c r="D95" s="95">
        <v>35000</v>
      </c>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3"/>
      <c r="AP95" s="33"/>
      <c r="AQ95" s="33"/>
      <c r="AR95" s="33"/>
      <c r="AS95" s="33"/>
      <c r="AT95" s="33"/>
      <c r="AU95" s="33"/>
      <c r="AV95" s="33"/>
      <c r="AW95" s="33"/>
      <c r="AX95" s="33"/>
      <c r="AY95" s="33"/>
      <c r="AZ95" s="33"/>
      <c r="BA95" s="33"/>
      <c r="BB95" s="33"/>
      <c r="BC95" s="33"/>
      <c r="BD95" s="33"/>
      <c r="BE95" s="33"/>
      <c r="BF95" s="33"/>
      <c r="BG95" s="33"/>
      <c r="BH95" s="33"/>
      <c r="BI95" s="33"/>
      <c r="BJ95" s="33"/>
      <c r="BK95" s="33"/>
      <c r="BL95" s="33"/>
      <c r="BM95" s="33"/>
      <c r="BN95" s="33"/>
      <c r="BO95" s="33"/>
    </row>
    <row r="96" spans="1:67">
      <c r="A96" s="11"/>
      <c r="B96" s="22" t="s">
        <v>123</v>
      </c>
      <c r="C96" s="89">
        <f>SUM(C80:C95)</f>
        <v>105</v>
      </c>
      <c r="D96" s="89">
        <f>SUMPRODUCT(C80:C95,D80:D95)</f>
        <v>2892000</v>
      </c>
      <c r="E96" s="10" t="s">
        <v>124</v>
      </c>
      <c r="F96" s="10"/>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3"/>
      <c r="AP96" s="33"/>
      <c r="AQ96" s="33"/>
      <c r="AR96" s="33"/>
      <c r="AS96" s="33"/>
      <c r="AT96" s="33"/>
      <c r="AU96" s="33"/>
      <c r="AV96" s="33"/>
      <c r="AW96" s="33"/>
      <c r="AX96" s="33"/>
      <c r="AY96" s="33"/>
      <c r="AZ96" s="33"/>
      <c r="BA96" s="33"/>
      <c r="BB96" s="33"/>
      <c r="BC96" s="33"/>
      <c r="BD96" s="33"/>
      <c r="BE96" s="33"/>
      <c r="BF96" s="33"/>
      <c r="BG96" s="33"/>
      <c r="BH96" s="33"/>
      <c r="BI96" s="33"/>
      <c r="BJ96" s="33"/>
      <c r="BK96" s="33"/>
      <c r="BL96" s="33"/>
      <c r="BM96" s="33"/>
      <c r="BN96" s="33"/>
      <c r="BO96" s="33"/>
    </row>
    <row r="97" spans="1:67">
      <c r="A97" s="11"/>
      <c r="B97" s="11" t="s">
        <v>125</v>
      </c>
      <c r="C97" s="11"/>
      <c r="D97" s="16">
        <v>0.05</v>
      </c>
      <c r="E97" s="10" t="s">
        <v>126</v>
      </c>
      <c r="F97" s="10"/>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3"/>
      <c r="AY97" s="33"/>
      <c r="AZ97" s="33"/>
      <c r="BA97" s="33"/>
      <c r="BB97" s="33"/>
      <c r="BC97" s="33"/>
      <c r="BD97" s="33"/>
      <c r="BE97" s="33"/>
      <c r="BF97" s="33"/>
      <c r="BG97" s="33"/>
      <c r="BH97" s="33"/>
      <c r="BI97" s="33"/>
      <c r="BJ97" s="33"/>
      <c r="BK97" s="33"/>
      <c r="BL97" s="33"/>
      <c r="BM97" s="33"/>
      <c r="BN97" s="33"/>
      <c r="BO97" s="33"/>
    </row>
    <row r="98" spans="1:67">
      <c r="A98" s="11"/>
      <c r="B98" s="11" t="s">
        <v>127</v>
      </c>
      <c r="C98" s="11"/>
      <c r="D98" s="92">
        <v>1</v>
      </c>
      <c r="E98" s="10" t="s">
        <v>44</v>
      </c>
      <c r="F98" s="10"/>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3"/>
      <c r="AY98" s="33"/>
      <c r="AZ98" s="33"/>
      <c r="BA98" s="33"/>
      <c r="BB98" s="33"/>
      <c r="BC98" s="33"/>
      <c r="BD98" s="33"/>
      <c r="BE98" s="33"/>
      <c r="BF98" s="33"/>
      <c r="BG98" s="33"/>
      <c r="BH98" s="33"/>
      <c r="BI98" s="33"/>
      <c r="BJ98" s="33"/>
      <c r="BK98" s="33"/>
      <c r="BL98" s="33"/>
      <c r="BM98" s="33"/>
      <c r="BN98" s="33"/>
      <c r="BO98" s="33"/>
    </row>
    <row r="99" spans="1:67">
      <c r="A99" s="11"/>
      <c r="B99" s="11" t="s">
        <v>128</v>
      </c>
      <c r="C99" s="11"/>
      <c r="D99" s="16">
        <v>0.08</v>
      </c>
      <c r="E99" s="10" t="s">
        <v>126</v>
      </c>
      <c r="F99" s="10"/>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3"/>
      <c r="AP99" s="33"/>
      <c r="AQ99" s="33"/>
      <c r="AR99" s="33"/>
      <c r="AS99" s="33"/>
      <c r="AT99" s="33"/>
      <c r="AU99" s="33"/>
      <c r="AV99" s="33"/>
      <c r="AW99" s="33"/>
      <c r="AX99" s="33"/>
      <c r="AY99" s="33"/>
      <c r="AZ99" s="33"/>
      <c r="BA99" s="33"/>
      <c r="BB99" s="33"/>
      <c r="BC99" s="33"/>
      <c r="BD99" s="33"/>
      <c r="BE99" s="33"/>
      <c r="BF99" s="33"/>
      <c r="BG99" s="33"/>
      <c r="BH99" s="33"/>
      <c r="BI99" s="33"/>
      <c r="BJ99" s="33"/>
      <c r="BK99" s="33"/>
      <c r="BL99" s="33"/>
      <c r="BM99" s="33"/>
      <c r="BN99" s="33"/>
      <c r="BO99" s="33"/>
    </row>
    <row r="100" spans="1:67">
      <c r="A100" s="11"/>
      <c r="B100" s="11"/>
      <c r="C100" s="11"/>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c r="BM100" s="33"/>
      <c r="BN100" s="33"/>
      <c r="BO100" s="33"/>
    </row>
    <row r="101" spans="1:67">
      <c r="A101" s="18" t="s">
        <v>129</v>
      </c>
      <c r="B101" s="18"/>
      <c r="C101" s="18"/>
      <c r="D101" s="39"/>
      <c r="E101" s="39"/>
      <c r="F101" s="39"/>
      <c r="G101" s="39"/>
      <c r="H101" s="39"/>
      <c r="I101" s="39"/>
      <c r="J101" s="39"/>
      <c r="K101" s="39"/>
      <c r="L101" s="39"/>
      <c r="M101" s="39"/>
      <c r="N101" s="39"/>
      <c r="O101" s="39"/>
      <c r="P101" s="39"/>
      <c r="Q101" s="39"/>
      <c r="R101" s="39"/>
      <c r="S101" s="39"/>
      <c r="T101" s="39"/>
      <c r="U101" s="39"/>
      <c r="V101" s="39"/>
      <c r="W101" s="39"/>
      <c r="X101" s="39"/>
      <c r="Y101" s="39"/>
      <c r="Z101" s="39"/>
      <c r="AA101" s="39"/>
      <c r="AB101" s="39"/>
      <c r="AC101" s="39"/>
      <c r="AD101" s="39"/>
      <c r="AE101" s="39"/>
      <c r="AF101" s="39"/>
      <c r="AG101" s="39"/>
      <c r="AH101" s="39"/>
      <c r="AI101" s="39"/>
      <c r="AJ101" s="39"/>
      <c r="AK101" s="39"/>
      <c r="AL101" s="39"/>
      <c r="AM101" s="39"/>
      <c r="AN101" s="39"/>
      <c r="AO101" s="39"/>
      <c r="AP101" s="39"/>
      <c r="AQ101" s="39"/>
      <c r="AR101" s="39"/>
      <c r="AS101" s="39"/>
      <c r="AT101" s="39"/>
      <c r="AU101" s="39"/>
      <c r="AV101" s="39"/>
      <c r="AW101" s="39"/>
      <c r="AX101" s="39"/>
      <c r="AY101" s="39"/>
      <c r="AZ101" s="39"/>
      <c r="BA101" s="39"/>
      <c r="BB101" s="39"/>
      <c r="BC101" s="39"/>
      <c r="BD101" s="39"/>
      <c r="BE101" s="39"/>
      <c r="BF101" s="39"/>
      <c r="BG101" s="39"/>
      <c r="BH101" s="39"/>
      <c r="BI101" s="39"/>
      <c r="BJ101" s="39"/>
      <c r="BK101" s="39"/>
      <c r="BL101" s="39"/>
      <c r="BM101" s="39"/>
      <c r="BN101" s="39"/>
      <c r="BO101" s="39"/>
    </row>
    <row r="102" spans="1:67">
      <c r="A102" s="11"/>
      <c r="B102" s="11" t="s">
        <v>137</v>
      </c>
      <c r="C102" s="11"/>
      <c r="D102" s="19">
        <v>2.5000000000000001E-2</v>
      </c>
      <c r="E102" s="10" t="s">
        <v>7</v>
      </c>
      <c r="F102" s="10"/>
      <c r="G102" s="33"/>
      <c r="H102" s="33"/>
      <c r="I102" s="33"/>
      <c r="J102" s="33"/>
      <c r="K102" s="33"/>
      <c r="L102" s="33"/>
      <c r="M102" s="33"/>
      <c r="N102" s="33"/>
      <c r="O102" s="33"/>
      <c r="P102" s="33"/>
      <c r="Q102" s="33"/>
      <c r="R102" s="33"/>
      <c r="S102" s="33"/>
      <c r="T102" s="33"/>
      <c r="U102" s="33"/>
      <c r="V102" s="33"/>
      <c r="W102" s="33"/>
      <c r="X102" s="33"/>
      <c r="Y102" s="33"/>
      <c r="Z102" s="33"/>
      <c r="AA102" s="33"/>
      <c r="AB102" s="33"/>
      <c r="AC102" s="33"/>
      <c r="AD102" s="33"/>
      <c r="AE102" s="33"/>
      <c r="AF102" s="33"/>
      <c r="AG102" s="33"/>
      <c r="AH102" s="33"/>
      <c r="AI102" s="33"/>
      <c r="AJ102" s="33"/>
      <c r="AK102" s="33"/>
      <c r="AL102" s="33"/>
      <c r="AM102" s="33"/>
      <c r="AN102" s="33"/>
      <c r="AO102" s="33"/>
      <c r="AP102" s="33"/>
      <c r="AQ102" s="33"/>
      <c r="AR102" s="33"/>
      <c r="AS102" s="33"/>
      <c r="AT102" s="33"/>
      <c r="AU102" s="33"/>
      <c r="AV102" s="33"/>
      <c r="AW102" s="33"/>
      <c r="AX102" s="33"/>
      <c r="AY102" s="33"/>
      <c r="AZ102" s="33"/>
      <c r="BA102" s="33"/>
      <c r="BB102" s="33"/>
      <c r="BC102" s="33"/>
      <c r="BD102" s="33"/>
      <c r="BE102" s="33"/>
      <c r="BF102" s="33"/>
      <c r="BG102" s="33"/>
      <c r="BH102" s="33"/>
      <c r="BI102" s="33"/>
      <c r="BJ102" s="33"/>
      <c r="BK102" s="33"/>
      <c r="BL102" s="33"/>
      <c r="BM102" s="33"/>
      <c r="BN102" s="33"/>
      <c r="BO102" s="33"/>
    </row>
    <row r="103" spans="1:67">
      <c r="A103" s="11"/>
      <c r="B103" s="11"/>
      <c r="C103" s="11"/>
      <c r="D103" s="95">
        <v>120</v>
      </c>
      <c r="E103" s="10" t="s">
        <v>139</v>
      </c>
      <c r="F103" s="10"/>
      <c r="G103" s="33"/>
      <c r="H103" s="33"/>
      <c r="I103" s="33"/>
      <c r="J103" s="33"/>
      <c r="K103" s="33"/>
      <c r="L103" s="33"/>
      <c r="M103" s="33"/>
      <c r="N103" s="33"/>
      <c r="O103" s="33"/>
      <c r="P103" s="33"/>
      <c r="Q103" s="33"/>
      <c r="R103" s="33"/>
      <c r="S103" s="33"/>
      <c r="T103" s="33"/>
      <c r="U103" s="33"/>
      <c r="V103" s="33"/>
      <c r="W103" s="33"/>
      <c r="X103" s="33"/>
      <c r="Y103" s="33"/>
      <c r="Z103" s="33"/>
      <c r="AA103" s="33"/>
      <c r="AB103" s="33"/>
      <c r="AC103" s="33"/>
      <c r="AD103" s="33"/>
      <c r="AE103" s="33"/>
      <c r="AF103" s="33"/>
      <c r="AG103" s="33"/>
      <c r="AH103" s="33"/>
      <c r="AI103" s="33"/>
      <c r="AJ103" s="33"/>
      <c r="AK103" s="33"/>
      <c r="AL103" s="33"/>
      <c r="AM103" s="33"/>
      <c r="AN103" s="33"/>
      <c r="AO103" s="33"/>
      <c r="AP103" s="33"/>
      <c r="AQ103" s="33"/>
      <c r="AR103" s="33"/>
      <c r="AS103" s="33"/>
      <c r="AT103" s="33"/>
      <c r="AU103" s="33"/>
      <c r="AV103" s="33"/>
      <c r="AW103" s="33"/>
      <c r="AX103" s="33"/>
      <c r="AY103" s="33"/>
      <c r="AZ103" s="33"/>
      <c r="BA103" s="33"/>
      <c r="BB103" s="33"/>
      <c r="BC103" s="33"/>
      <c r="BD103" s="33"/>
      <c r="BE103" s="33"/>
      <c r="BF103" s="33"/>
      <c r="BG103" s="33"/>
      <c r="BH103" s="33"/>
      <c r="BI103" s="33"/>
      <c r="BJ103" s="33"/>
      <c r="BK103" s="33"/>
      <c r="BL103" s="33"/>
      <c r="BM103" s="33"/>
      <c r="BN103" s="33"/>
      <c r="BO103" s="33"/>
    </row>
    <row r="104" spans="1:67">
      <c r="A104" s="11"/>
      <c r="B104" s="11" t="s">
        <v>140</v>
      </c>
      <c r="C104" s="11"/>
      <c r="D104" s="19">
        <v>5.0000000000000001E-3</v>
      </c>
      <c r="E104" s="10" t="s">
        <v>7</v>
      </c>
      <c r="F104" s="10"/>
      <c r="G104" s="33"/>
      <c r="H104" s="33"/>
      <c r="I104" s="33"/>
      <c r="J104" s="33"/>
      <c r="K104" s="33"/>
      <c r="L104" s="33"/>
      <c r="M104" s="33"/>
      <c r="N104" s="33"/>
      <c r="O104" s="33"/>
      <c r="P104" s="33"/>
      <c r="Q104" s="33"/>
      <c r="R104" s="33"/>
      <c r="S104" s="33"/>
      <c r="T104" s="33"/>
      <c r="U104" s="33"/>
      <c r="V104" s="33"/>
      <c r="W104" s="33"/>
      <c r="X104" s="33"/>
      <c r="Y104" s="33"/>
      <c r="Z104" s="33"/>
      <c r="AA104" s="33"/>
      <c r="AB104" s="33"/>
      <c r="AC104" s="33"/>
      <c r="AD104" s="33"/>
      <c r="AE104" s="33"/>
      <c r="AF104" s="33"/>
      <c r="AG104" s="33"/>
      <c r="AH104" s="33"/>
      <c r="AI104" s="33"/>
      <c r="AJ104" s="33"/>
      <c r="AK104" s="33"/>
      <c r="AL104" s="33"/>
      <c r="AM104" s="33"/>
      <c r="AN104" s="33"/>
      <c r="AO104" s="33"/>
      <c r="AP104" s="33"/>
      <c r="AQ104" s="33"/>
      <c r="AR104" s="33"/>
      <c r="AS104" s="33"/>
      <c r="AT104" s="33"/>
      <c r="AU104" s="33"/>
      <c r="AV104" s="33"/>
      <c r="AW104" s="33"/>
      <c r="AX104" s="33"/>
      <c r="AY104" s="33"/>
      <c r="AZ104" s="33"/>
      <c r="BA104" s="33"/>
      <c r="BB104" s="33"/>
      <c r="BC104" s="33"/>
      <c r="BD104" s="33"/>
      <c r="BE104" s="33"/>
      <c r="BF104" s="33"/>
      <c r="BG104" s="33"/>
      <c r="BH104" s="33"/>
      <c r="BI104" s="33"/>
      <c r="BJ104" s="33"/>
      <c r="BK104" s="33"/>
      <c r="BL104" s="33"/>
      <c r="BM104" s="33"/>
      <c r="BN104" s="33"/>
      <c r="BO104" s="33"/>
    </row>
    <row r="105" spans="1:67">
      <c r="A105" s="11"/>
      <c r="B105" s="11" t="s">
        <v>141</v>
      </c>
      <c r="C105" s="11"/>
      <c r="D105" s="95">
        <v>450</v>
      </c>
      <c r="E105" s="10" t="s">
        <v>70</v>
      </c>
      <c r="F105" s="10"/>
      <c r="G105" s="33"/>
      <c r="H105" s="33"/>
      <c r="I105" s="33"/>
      <c r="J105" s="33"/>
      <c r="K105" s="33"/>
      <c r="L105" s="33"/>
      <c r="M105" s="33"/>
      <c r="N105" s="33"/>
      <c r="O105" s="33"/>
      <c r="P105" s="33"/>
      <c r="Q105" s="33"/>
      <c r="R105" s="33"/>
      <c r="S105" s="33"/>
      <c r="T105" s="33"/>
      <c r="U105" s="33"/>
      <c r="V105" s="33"/>
      <c r="W105" s="33"/>
      <c r="X105" s="33"/>
      <c r="Y105" s="33"/>
      <c r="Z105" s="33"/>
      <c r="AA105" s="33"/>
      <c r="AB105" s="33"/>
      <c r="AC105" s="33"/>
      <c r="AD105" s="33"/>
      <c r="AE105" s="33"/>
      <c r="AF105" s="33"/>
      <c r="AG105" s="33"/>
      <c r="AH105" s="33"/>
      <c r="AI105" s="33"/>
      <c r="AJ105" s="33"/>
      <c r="AK105" s="33"/>
      <c r="AL105" s="33"/>
      <c r="AM105" s="33"/>
      <c r="AN105" s="33"/>
      <c r="AO105" s="33"/>
      <c r="AP105" s="33"/>
      <c r="AQ105" s="33"/>
      <c r="AR105" s="33"/>
      <c r="AS105" s="33"/>
      <c r="AT105" s="33"/>
      <c r="AU105" s="33"/>
      <c r="AV105" s="33"/>
      <c r="AW105" s="33"/>
      <c r="AX105" s="33"/>
      <c r="AY105" s="33"/>
      <c r="AZ105" s="33"/>
      <c r="BA105" s="33"/>
      <c r="BB105" s="33"/>
      <c r="BC105" s="33"/>
      <c r="BD105" s="33"/>
      <c r="BE105" s="33"/>
      <c r="BF105" s="33"/>
      <c r="BG105" s="33"/>
      <c r="BH105" s="33"/>
      <c r="BI105" s="33"/>
      <c r="BJ105" s="33"/>
      <c r="BK105" s="33"/>
      <c r="BL105" s="33"/>
      <c r="BM105" s="33"/>
      <c r="BN105" s="33"/>
      <c r="BO105" s="33"/>
    </row>
    <row r="106" spans="1:67">
      <c r="A106" s="11"/>
      <c r="B106" s="11" t="s">
        <v>142</v>
      </c>
      <c r="C106" s="11"/>
      <c r="D106" s="95">
        <v>700</v>
      </c>
      <c r="E106" s="10" t="s">
        <v>70</v>
      </c>
      <c r="F106" s="10"/>
      <c r="G106" s="33"/>
      <c r="H106" s="33"/>
      <c r="I106" s="33"/>
      <c r="J106" s="33"/>
      <c r="K106" s="33"/>
      <c r="L106" s="33"/>
      <c r="M106" s="33"/>
      <c r="N106" s="33"/>
      <c r="O106" s="33"/>
      <c r="P106" s="33"/>
      <c r="Q106" s="33"/>
      <c r="R106" s="33"/>
      <c r="S106" s="33"/>
      <c r="T106" s="33"/>
      <c r="U106" s="33"/>
      <c r="V106" s="33"/>
      <c r="W106" s="33"/>
      <c r="X106" s="33"/>
      <c r="Y106" s="33"/>
      <c r="Z106" s="33"/>
      <c r="AA106" s="33"/>
      <c r="AB106" s="33"/>
      <c r="AC106" s="33"/>
      <c r="AD106" s="33"/>
      <c r="AE106" s="33"/>
      <c r="AF106" s="33"/>
      <c r="AG106" s="33"/>
      <c r="AH106" s="33"/>
      <c r="AI106" s="33"/>
      <c r="AJ106" s="33"/>
      <c r="AK106" s="33"/>
      <c r="AL106" s="33"/>
      <c r="AM106" s="33"/>
      <c r="AN106" s="33"/>
      <c r="AO106" s="33"/>
      <c r="AP106" s="33"/>
      <c r="AQ106" s="33"/>
      <c r="AR106" s="33"/>
      <c r="AS106" s="33"/>
      <c r="AT106" s="33"/>
      <c r="AU106" s="33"/>
      <c r="AV106" s="33"/>
      <c r="AW106" s="33"/>
      <c r="AX106" s="33"/>
      <c r="AY106" s="33"/>
      <c r="AZ106" s="33"/>
      <c r="BA106" s="33"/>
      <c r="BB106" s="33"/>
      <c r="BC106" s="33"/>
      <c r="BD106" s="33"/>
      <c r="BE106" s="33"/>
      <c r="BF106" s="33"/>
      <c r="BG106" s="33"/>
      <c r="BH106" s="33"/>
      <c r="BI106" s="33"/>
      <c r="BJ106" s="33"/>
      <c r="BK106" s="33"/>
      <c r="BL106" s="33"/>
      <c r="BM106" s="33"/>
      <c r="BN106" s="33"/>
      <c r="BO106" s="33"/>
    </row>
    <row r="107" spans="1:67">
      <c r="A107" s="11"/>
      <c r="B107" s="11" t="s">
        <v>1740</v>
      </c>
      <c r="C107" s="11"/>
      <c r="D107" s="95">
        <v>3000</v>
      </c>
      <c r="E107" s="10" t="s">
        <v>70</v>
      </c>
      <c r="F107" s="10"/>
      <c r="G107" s="33"/>
      <c r="H107" s="33"/>
      <c r="I107" s="33"/>
      <c r="J107" s="33"/>
      <c r="K107" s="33"/>
      <c r="L107" s="33"/>
      <c r="M107" s="33"/>
      <c r="N107" s="33"/>
      <c r="O107" s="33"/>
      <c r="P107" s="33"/>
      <c r="Q107" s="33"/>
      <c r="R107" s="33"/>
      <c r="S107" s="33"/>
      <c r="T107" s="33"/>
      <c r="U107" s="33"/>
      <c r="V107" s="33"/>
      <c r="W107" s="33"/>
      <c r="X107" s="33"/>
      <c r="Y107" s="33"/>
      <c r="Z107" s="33"/>
      <c r="AA107" s="33"/>
      <c r="AB107" s="33"/>
      <c r="AC107" s="33"/>
      <c r="AD107" s="33"/>
      <c r="AE107" s="33"/>
      <c r="AF107" s="33"/>
      <c r="AG107" s="33"/>
      <c r="AH107" s="33"/>
      <c r="AI107" s="33"/>
      <c r="AJ107" s="33"/>
      <c r="AK107" s="33"/>
      <c r="AL107" s="33"/>
      <c r="AM107" s="33"/>
      <c r="AN107" s="33"/>
      <c r="AO107" s="33"/>
      <c r="AP107" s="33"/>
      <c r="AQ107" s="33"/>
      <c r="AR107" s="33"/>
      <c r="AS107" s="33"/>
      <c r="AT107" s="33"/>
      <c r="AU107" s="33"/>
      <c r="AV107" s="33"/>
      <c r="AW107" s="33"/>
      <c r="AX107" s="33"/>
      <c r="AY107" s="33"/>
      <c r="AZ107" s="33"/>
      <c r="BA107" s="33"/>
      <c r="BB107" s="33"/>
      <c r="BC107" s="33"/>
      <c r="BD107" s="33"/>
      <c r="BE107" s="33"/>
      <c r="BF107" s="33"/>
      <c r="BG107" s="33"/>
      <c r="BH107" s="33"/>
      <c r="BI107" s="33"/>
      <c r="BJ107" s="33"/>
      <c r="BK107" s="33"/>
      <c r="BL107" s="33"/>
      <c r="BM107" s="33"/>
      <c r="BN107" s="33"/>
      <c r="BO107" s="33"/>
    </row>
    <row r="108" spans="1:67">
      <c r="A108" s="11"/>
      <c r="B108" s="11" t="s">
        <v>143</v>
      </c>
      <c r="C108" s="11"/>
      <c r="D108" s="95">
        <v>40</v>
      </c>
      <c r="E108" s="10" t="s">
        <v>139</v>
      </c>
      <c r="F108" s="10"/>
      <c r="G108" s="33"/>
      <c r="H108" s="33"/>
      <c r="I108" s="33"/>
      <c r="J108" s="33"/>
      <c r="K108" s="33"/>
      <c r="L108" s="33"/>
      <c r="M108" s="33"/>
      <c r="N108" s="33"/>
      <c r="O108" s="33"/>
      <c r="P108" s="33"/>
      <c r="Q108" s="33"/>
      <c r="R108" s="33"/>
      <c r="S108" s="33"/>
      <c r="T108" s="33"/>
      <c r="U108" s="33"/>
      <c r="V108" s="33"/>
      <c r="W108" s="33"/>
      <c r="X108" s="33"/>
      <c r="Y108" s="33"/>
      <c r="Z108" s="33"/>
      <c r="AA108" s="33"/>
      <c r="AB108" s="33"/>
      <c r="AC108" s="33"/>
      <c r="AD108" s="33"/>
      <c r="AE108" s="33"/>
      <c r="AF108" s="33"/>
      <c r="AG108" s="33"/>
      <c r="AH108" s="33"/>
      <c r="AI108" s="33"/>
      <c r="AJ108" s="33"/>
      <c r="AK108" s="33"/>
      <c r="AL108" s="33"/>
      <c r="AM108" s="33"/>
      <c r="AN108" s="33"/>
      <c r="AO108" s="33"/>
      <c r="AP108" s="33"/>
      <c r="AQ108" s="33"/>
      <c r="AR108" s="33"/>
      <c r="AS108" s="33"/>
      <c r="AT108" s="33"/>
      <c r="AU108" s="33"/>
      <c r="AV108" s="33"/>
      <c r="AW108" s="33"/>
      <c r="AX108" s="33"/>
      <c r="AY108" s="33"/>
      <c r="AZ108" s="33"/>
      <c r="BA108" s="33"/>
      <c r="BB108" s="33"/>
      <c r="BC108" s="33"/>
      <c r="BD108" s="33"/>
      <c r="BE108" s="33"/>
      <c r="BF108" s="33"/>
      <c r="BG108" s="33"/>
      <c r="BH108" s="33"/>
      <c r="BI108" s="33"/>
      <c r="BJ108" s="33"/>
      <c r="BK108" s="33"/>
      <c r="BL108" s="33"/>
      <c r="BM108" s="33"/>
      <c r="BN108" s="33"/>
      <c r="BO108" s="33"/>
    </row>
    <row r="109" spans="1:67">
      <c r="A109" s="11"/>
      <c r="B109" s="11" t="s">
        <v>144</v>
      </c>
      <c r="C109" s="11"/>
      <c r="D109" s="95">
        <v>250000</v>
      </c>
      <c r="E109" s="10" t="s">
        <v>106</v>
      </c>
      <c r="F109" s="10"/>
      <c r="G109" s="33"/>
      <c r="H109" s="33"/>
      <c r="I109" s="33"/>
      <c r="J109" s="33"/>
      <c r="K109" s="33"/>
      <c r="L109" s="33"/>
      <c r="M109" s="33"/>
      <c r="N109" s="33"/>
      <c r="O109" s="33"/>
      <c r="P109" s="33"/>
      <c r="Q109" s="33"/>
      <c r="R109" s="33"/>
      <c r="S109" s="33"/>
      <c r="T109" s="33"/>
      <c r="U109" s="33"/>
      <c r="V109" s="33"/>
      <c r="W109" s="33"/>
      <c r="X109" s="33"/>
      <c r="Y109" s="33"/>
      <c r="Z109" s="33"/>
      <c r="AA109" s="33"/>
      <c r="AB109" s="33"/>
      <c r="AC109" s="33"/>
      <c r="AD109" s="33"/>
      <c r="AE109" s="33"/>
      <c r="AF109" s="33"/>
      <c r="AG109" s="33"/>
      <c r="AH109" s="33"/>
      <c r="AI109" s="33"/>
      <c r="AJ109" s="33"/>
      <c r="AK109" s="33"/>
      <c r="AL109" s="33"/>
      <c r="AM109" s="33"/>
      <c r="AN109" s="33"/>
      <c r="AO109" s="33"/>
      <c r="AP109" s="33"/>
      <c r="AQ109" s="33"/>
      <c r="AR109" s="33"/>
      <c r="AS109" s="33"/>
      <c r="AT109" s="33"/>
      <c r="AU109" s="33"/>
      <c r="AV109" s="33"/>
      <c r="AW109" s="33"/>
      <c r="AX109" s="33"/>
      <c r="AY109" s="33"/>
      <c r="AZ109" s="33"/>
      <c r="BA109" s="33"/>
      <c r="BB109" s="33"/>
      <c r="BC109" s="33"/>
      <c r="BD109" s="33"/>
      <c r="BE109" s="33"/>
      <c r="BF109" s="33"/>
      <c r="BG109" s="33"/>
      <c r="BH109" s="33"/>
      <c r="BI109" s="33"/>
      <c r="BJ109" s="33"/>
      <c r="BK109" s="33"/>
      <c r="BL109" s="33"/>
      <c r="BM109" s="33"/>
      <c r="BN109" s="33"/>
      <c r="BO109" s="33"/>
    </row>
    <row r="110" spans="1:67">
      <c r="A110" s="11"/>
      <c r="B110" s="11"/>
      <c r="C110" s="11"/>
      <c r="D110" s="33"/>
      <c r="E110" s="33"/>
      <c r="F110" s="33"/>
      <c r="G110" s="33"/>
      <c r="H110" s="33"/>
      <c r="I110" s="33"/>
      <c r="J110" s="33"/>
      <c r="K110" s="33"/>
      <c r="L110" s="33"/>
      <c r="M110" s="33"/>
      <c r="N110" s="33"/>
      <c r="O110" s="33"/>
      <c r="P110" s="33"/>
      <c r="Q110" s="33"/>
      <c r="R110" s="33"/>
      <c r="S110" s="33"/>
      <c r="T110" s="33"/>
      <c r="U110" s="33"/>
      <c r="V110" s="33"/>
      <c r="W110" s="33"/>
      <c r="X110" s="33"/>
      <c r="Y110" s="33"/>
      <c r="Z110" s="33"/>
      <c r="AA110" s="33"/>
      <c r="AB110" s="33"/>
      <c r="AC110" s="33"/>
      <c r="AD110" s="33"/>
      <c r="AE110" s="33"/>
      <c r="AF110" s="33"/>
      <c r="AG110" s="33"/>
      <c r="AH110" s="33"/>
      <c r="AI110" s="33"/>
      <c r="AJ110" s="33"/>
      <c r="AK110" s="33"/>
      <c r="AL110" s="33"/>
      <c r="AM110" s="33"/>
      <c r="AN110" s="33"/>
      <c r="AO110" s="33"/>
      <c r="AP110" s="33"/>
      <c r="AQ110" s="33"/>
      <c r="AR110" s="33"/>
      <c r="AS110" s="33"/>
      <c r="AT110" s="33"/>
      <c r="AU110" s="33"/>
      <c r="AV110" s="33"/>
      <c r="AW110" s="33"/>
      <c r="AX110" s="33"/>
      <c r="AY110" s="33"/>
      <c r="AZ110" s="33"/>
      <c r="BA110" s="33"/>
      <c r="BB110" s="33"/>
      <c r="BC110" s="33"/>
      <c r="BD110" s="33"/>
      <c r="BE110" s="33"/>
      <c r="BF110" s="33"/>
      <c r="BG110" s="33"/>
      <c r="BH110" s="33"/>
      <c r="BI110" s="33"/>
      <c r="BJ110" s="33"/>
      <c r="BK110" s="33"/>
      <c r="BL110" s="33"/>
      <c r="BM110" s="33"/>
      <c r="BN110" s="33"/>
      <c r="BO110" s="33"/>
    </row>
    <row r="111" spans="1:67">
      <c r="A111" s="18" t="s">
        <v>130</v>
      </c>
      <c r="B111" s="18"/>
      <c r="C111" s="18"/>
      <c r="D111" s="39"/>
      <c r="E111" s="39"/>
      <c r="F111" s="39"/>
      <c r="G111" s="39"/>
      <c r="H111" s="39"/>
      <c r="I111" s="39"/>
      <c r="J111" s="39"/>
      <c r="K111" s="39"/>
      <c r="L111" s="39"/>
      <c r="M111" s="39"/>
      <c r="N111" s="39"/>
      <c r="O111" s="39"/>
      <c r="P111" s="39"/>
      <c r="Q111" s="39"/>
      <c r="R111" s="39"/>
      <c r="S111" s="39"/>
      <c r="T111" s="39"/>
      <c r="U111" s="39"/>
      <c r="V111" s="39"/>
      <c r="W111" s="39"/>
      <c r="X111" s="39"/>
      <c r="Y111" s="39"/>
      <c r="Z111" s="39"/>
      <c r="AA111" s="39"/>
      <c r="AB111" s="39"/>
      <c r="AC111" s="39"/>
      <c r="AD111" s="39"/>
      <c r="AE111" s="39"/>
      <c r="AF111" s="39"/>
      <c r="AG111" s="39"/>
      <c r="AH111" s="39"/>
      <c r="AI111" s="39"/>
      <c r="AJ111" s="39"/>
      <c r="AK111" s="39"/>
      <c r="AL111" s="39"/>
      <c r="AM111" s="39"/>
      <c r="AN111" s="39"/>
      <c r="AO111" s="39"/>
      <c r="AP111" s="39"/>
      <c r="AQ111" s="39"/>
      <c r="AR111" s="39"/>
      <c r="AS111" s="39"/>
      <c r="AT111" s="39"/>
      <c r="AU111" s="39"/>
      <c r="AV111" s="39"/>
      <c r="AW111" s="39"/>
      <c r="AX111" s="39"/>
      <c r="AY111" s="39"/>
      <c r="AZ111" s="39"/>
      <c r="BA111" s="39"/>
      <c r="BB111" s="39"/>
      <c r="BC111" s="39"/>
      <c r="BD111" s="39"/>
      <c r="BE111" s="39"/>
      <c r="BF111" s="39"/>
      <c r="BG111" s="39"/>
      <c r="BH111" s="39"/>
      <c r="BI111" s="39"/>
      <c r="BJ111" s="39"/>
      <c r="BK111" s="39"/>
      <c r="BL111" s="39"/>
      <c r="BM111" s="39"/>
      <c r="BN111" s="39"/>
      <c r="BO111" s="39"/>
    </row>
    <row r="112" spans="1:67">
      <c r="A112" s="11"/>
      <c r="B112" s="11" t="s">
        <v>145</v>
      </c>
      <c r="C112" s="11"/>
      <c r="D112" s="19">
        <v>3.5000000000000001E-3</v>
      </c>
      <c r="E112" s="10" t="s">
        <v>7</v>
      </c>
      <c r="F112" s="10"/>
      <c r="G112" s="33"/>
      <c r="H112" s="33"/>
      <c r="I112" s="33"/>
      <c r="J112" s="33"/>
      <c r="K112" s="33"/>
      <c r="L112" s="33"/>
      <c r="M112" s="33"/>
      <c r="N112" s="33"/>
      <c r="O112" s="33"/>
      <c r="P112" s="33"/>
      <c r="Q112" s="33"/>
      <c r="R112" s="33"/>
      <c r="S112" s="33"/>
      <c r="T112" s="33"/>
      <c r="U112" s="33"/>
      <c r="V112" s="33"/>
      <c r="W112" s="33"/>
      <c r="X112" s="33"/>
      <c r="Y112" s="33"/>
      <c r="Z112" s="33"/>
      <c r="AA112" s="33"/>
      <c r="AB112" s="33"/>
      <c r="AC112" s="33"/>
      <c r="AD112" s="33"/>
      <c r="AE112" s="33"/>
      <c r="AF112" s="33"/>
      <c r="AG112" s="33"/>
      <c r="AH112" s="33"/>
      <c r="AI112" s="33"/>
      <c r="AJ112" s="33"/>
      <c r="AK112" s="33"/>
      <c r="AL112" s="33"/>
      <c r="AM112" s="33"/>
      <c r="AN112" s="33"/>
      <c r="AO112" s="33"/>
      <c r="AP112" s="33"/>
      <c r="AQ112" s="33"/>
      <c r="AR112" s="33"/>
      <c r="AS112" s="33"/>
      <c r="AT112" s="33"/>
      <c r="AU112" s="33"/>
      <c r="AV112" s="33"/>
      <c r="AW112" s="33"/>
      <c r="AX112" s="33"/>
      <c r="AY112" s="33"/>
      <c r="AZ112" s="33"/>
      <c r="BA112" s="33"/>
      <c r="BB112" s="33"/>
      <c r="BC112" s="33"/>
      <c r="BD112" s="33"/>
      <c r="BE112" s="33"/>
      <c r="BF112" s="33"/>
      <c r="BG112" s="33"/>
      <c r="BH112" s="33"/>
      <c r="BI112" s="33"/>
      <c r="BJ112" s="33"/>
      <c r="BK112" s="33"/>
      <c r="BL112" s="33"/>
      <c r="BM112" s="33"/>
      <c r="BN112" s="33"/>
      <c r="BO112" s="33"/>
    </row>
    <row r="113" spans="1:67">
      <c r="A113" s="11"/>
      <c r="B113" s="11" t="s">
        <v>146</v>
      </c>
      <c r="C113" s="11"/>
      <c r="D113" s="95">
        <v>600</v>
      </c>
      <c r="E113" s="10" t="s">
        <v>147</v>
      </c>
      <c r="F113" s="10"/>
      <c r="G113" s="33"/>
      <c r="H113" s="33"/>
      <c r="I113" s="33"/>
      <c r="J113" s="33"/>
      <c r="K113" s="33"/>
      <c r="L113" s="33"/>
      <c r="M113" s="33"/>
      <c r="N113" s="33"/>
      <c r="O113" s="33"/>
      <c r="P113" s="33"/>
      <c r="Q113" s="33"/>
      <c r="R113" s="33"/>
      <c r="S113" s="33"/>
      <c r="T113" s="33"/>
      <c r="U113" s="33"/>
      <c r="V113" s="33"/>
      <c r="W113" s="33"/>
      <c r="X113" s="33"/>
      <c r="Y113" s="33"/>
      <c r="Z113" s="33"/>
      <c r="AA113" s="33"/>
      <c r="AB113" s="33"/>
      <c r="AC113" s="33"/>
      <c r="AD113" s="33"/>
      <c r="AE113" s="33"/>
      <c r="AF113" s="33"/>
      <c r="AG113" s="33"/>
      <c r="AH113" s="33"/>
      <c r="AI113" s="33"/>
      <c r="AJ113" s="33"/>
      <c r="AK113" s="33"/>
      <c r="AL113" s="33"/>
      <c r="AM113" s="33"/>
      <c r="AN113" s="33"/>
      <c r="AO113" s="33"/>
      <c r="AP113" s="33"/>
      <c r="AQ113" s="33"/>
      <c r="AR113" s="33"/>
      <c r="AS113" s="33"/>
      <c r="AT113" s="33"/>
      <c r="AU113" s="33"/>
      <c r="AV113" s="33"/>
      <c r="AW113" s="33"/>
      <c r="AX113" s="33"/>
      <c r="AY113" s="33"/>
      <c r="AZ113" s="33"/>
      <c r="BA113" s="33"/>
      <c r="BB113" s="33"/>
      <c r="BC113" s="33"/>
      <c r="BD113" s="33"/>
      <c r="BE113" s="33"/>
      <c r="BF113" s="33"/>
      <c r="BG113" s="33"/>
      <c r="BH113" s="33"/>
      <c r="BI113" s="33"/>
      <c r="BJ113" s="33"/>
      <c r="BK113" s="33"/>
      <c r="BL113" s="33"/>
      <c r="BM113" s="33"/>
      <c r="BN113" s="33"/>
      <c r="BO113" s="33"/>
    </row>
    <row r="114" spans="1:67">
      <c r="A114" s="11"/>
      <c r="B114" s="11" t="s">
        <v>148</v>
      </c>
      <c r="C114" s="11"/>
      <c r="D114" s="19">
        <v>0.01</v>
      </c>
      <c r="E114" s="10" t="s">
        <v>149</v>
      </c>
      <c r="F114" s="10"/>
      <c r="G114" s="33"/>
      <c r="H114" s="33"/>
      <c r="I114" s="33"/>
      <c r="J114" s="33"/>
      <c r="K114" s="33"/>
      <c r="L114" s="33"/>
      <c r="M114" s="33"/>
      <c r="N114" s="33"/>
      <c r="O114" s="33"/>
      <c r="P114" s="33"/>
      <c r="Q114" s="33"/>
      <c r="R114" s="33"/>
      <c r="S114" s="33"/>
      <c r="T114" s="33"/>
      <c r="U114" s="33"/>
      <c r="V114" s="33"/>
      <c r="W114" s="33"/>
      <c r="X114" s="33"/>
      <c r="Y114" s="33"/>
      <c r="Z114" s="33"/>
      <c r="AA114" s="33"/>
      <c r="AB114" s="33"/>
      <c r="AC114" s="33"/>
      <c r="AD114" s="33"/>
      <c r="AE114" s="33"/>
      <c r="AF114" s="33"/>
      <c r="AG114" s="33"/>
      <c r="AH114" s="33"/>
      <c r="AI114" s="33"/>
      <c r="AJ114" s="33"/>
      <c r="AK114" s="33"/>
      <c r="AL114" s="33"/>
      <c r="AM114" s="33"/>
      <c r="AN114" s="33"/>
      <c r="AO114" s="33"/>
      <c r="AP114" s="33"/>
      <c r="AQ114" s="33"/>
      <c r="AR114" s="33"/>
      <c r="AS114" s="33"/>
      <c r="AT114" s="33"/>
      <c r="AU114" s="33"/>
      <c r="AV114" s="33"/>
      <c r="AW114" s="33"/>
      <c r="AX114" s="33"/>
      <c r="AY114" s="33"/>
      <c r="AZ114" s="33"/>
      <c r="BA114" s="33"/>
      <c r="BB114" s="33"/>
      <c r="BC114" s="33"/>
      <c r="BD114" s="33"/>
      <c r="BE114" s="33"/>
      <c r="BF114" s="33"/>
      <c r="BG114" s="33"/>
      <c r="BH114" s="33"/>
      <c r="BI114" s="33"/>
      <c r="BJ114" s="33"/>
      <c r="BK114" s="33"/>
      <c r="BL114" s="33"/>
      <c r="BM114" s="33"/>
      <c r="BN114" s="33"/>
      <c r="BO114" s="33"/>
    </row>
    <row r="115" spans="1:67">
      <c r="A115" s="11"/>
      <c r="B115" s="11" t="s">
        <v>150</v>
      </c>
      <c r="C115" s="11"/>
      <c r="D115" s="95">
        <v>400000</v>
      </c>
      <c r="E115" s="10" t="s">
        <v>106</v>
      </c>
      <c r="F115" s="10"/>
      <c r="G115" s="33"/>
      <c r="H115" s="33"/>
      <c r="I115" s="33"/>
      <c r="J115" s="33"/>
      <c r="K115" s="33"/>
      <c r="L115" s="33"/>
      <c r="M115" s="33"/>
      <c r="N115" s="33"/>
      <c r="O115" s="33"/>
      <c r="P115" s="33"/>
      <c r="Q115" s="33"/>
      <c r="R115" s="33"/>
      <c r="S115" s="33"/>
      <c r="T115" s="33"/>
      <c r="U115" s="33"/>
      <c r="V115" s="33"/>
      <c r="W115" s="33"/>
      <c r="X115" s="33"/>
      <c r="Y115" s="33"/>
      <c r="Z115" s="33"/>
      <c r="AA115" s="33"/>
      <c r="AB115" s="33"/>
      <c r="AC115" s="33"/>
      <c r="AD115" s="33"/>
      <c r="AE115" s="33"/>
      <c r="AF115" s="33"/>
      <c r="AG115" s="33"/>
      <c r="AH115" s="33"/>
      <c r="AI115" s="33"/>
      <c r="AJ115" s="33"/>
      <c r="AK115" s="33"/>
      <c r="AL115" s="33"/>
      <c r="AM115" s="33"/>
      <c r="AN115" s="33"/>
      <c r="AO115" s="33"/>
      <c r="AP115" s="33"/>
      <c r="AQ115" s="33"/>
      <c r="AR115" s="33"/>
      <c r="AS115" s="33"/>
      <c r="AT115" s="33"/>
      <c r="AU115" s="33"/>
      <c r="AV115" s="33"/>
      <c r="AW115" s="33"/>
      <c r="AX115" s="33"/>
      <c r="AY115" s="33"/>
      <c r="AZ115" s="33"/>
      <c r="BA115" s="33"/>
      <c r="BB115" s="33"/>
      <c r="BC115" s="33"/>
      <c r="BD115" s="33"/>
      <c r="BE115" s="33"/>
      <c r="BF115" s="33"/>
      <c r="BG115" s="33"/>
      <c r="BH115" s="33"/>
      <c r="BI115" s="33"/>
      <c r="BJ115" s="33"/>
      <c r="BK115" s="33"/>
      <c r="BL115" s="33"/>
      <c r="BM115" s="33"/>
      <c r="BN115" s="33"/>
      <c r="BO115" s="33"/>
    </row>
    <row r="116" spans="1:67">
      <c r="A116" s="11"/>
      <c r="B116" s="11" t="s">
        <v>151</v>
      </c>
      <c r="C116" s="11"/>
      <c r="D116" s="95">
        <v>150000</v>
      </c>
      <c r="E116" s="10" t="s">
        <v>106</v>
      </c>
      <c r="F116" s="10"/>
      <c r="G116" s="33"/>
      <c r="H116" s="33"/>
      <c r="I116" s="33"/>
      <c r="J116" s="33"/>
      <c r="K116" s="33"/>
      <c r="L116" s="33"/>
      <c r="M116" s="33"/>
      <c r="N116" s="33"/>
      <c r="O116" s="33"/>
      <c r="P116" s="33"/>
      <c r="Q116" s="33"/>
      <c r="R116" s="33"/>
      <c r="S116" s="33"/>
      <c r="T116" s="33"/>
      <c r="U116" s="33"/>
      <c r="V116" s="33"/>
      <c r="W116" s="33"/>
      <c r="X116" s="33"/>
      <c r="Y116" s="33"/>
      <c r="Z116" s="33"/>
      <c r="AA116" s="33"/>
      <c r="AB116" s="33"/>
      <c r="AC116" s="33"/>
      <c r="AD116" s="33"/>
      <c r="AE116" s="33"/>
      <c r="AF116" s="33"/>
      <c r="AG116" s="33"/>
      <c r="AH116" s="33"/>
      <c r="AI116" s="33"/>
      <c r="AJ116" s="33"/>
      <c r="AK116" s="33"/>
      <c r="AL116" s="33"/>
      <c r="AM116" s="33"/>
      <c r="AN116" s="33"/>
      <c r="AO116" s="33"/>
      <c r="AP116" s="33"/>
      <c r="AQ116" s="33"/>
      <c r="AR116" s="33"/>
      <c r="AS116" s="33"/>
      <c r="AT116" s="33"/>
      <c r="AU116" s="33"/>
      <c r="AV116" s="33"/>
      <c r="AW116" s="33"/>
      <c r="AX116" s="33"/>
      <c r="AY116" s="33"/>
      <c r="AZ116" s="33"/>
      <c r="BA116" s="33"/>
      <c r="BB116" s="33"/>
      <c r="BC116" s="33"/>
      <c r="BD116" s="33"/>
      <c r="BE116" s="33"/>
      <c r="BF116" s="33"/>
      <c r="BG116" s="33"/>
      <c r="BH116" s="33"/>
      <c r="BI116" s="33"/>
      <c r="BJ116" s="33"/>
      <c r="BK116" s="33"/>
      <c r="BL116" s="33"/>
      <c r="BM116" s="33"/>
      <c r="BN116" s="33"/>
      <c r="BO116" s="33"/>
    </row>
    <row r="117" spans="1:67">
      <c r="A117" s="11"/>
      <c r="B117" s="11" t="s">
        <v>152</v>
      </c>
      <c r="C117" s="11"/>
      <c r="D117" s="95">
        <v>350000</v>
      </c>
      <c r="E117" s="10" t="s">
        <v>106</v>
      </c>
      <c r="F117" s="10"/>
      <c r="G117" s="33"/>
      <c r="H117" s="33"/>
      <c r="I117" s="33"/>
      <c r="J117" s="33"/>
      <c r="K117" s="33"/>
      <c r="L117" s="33"/>
      <c r="M117" s="33"/>
      <c r="N117" s="33"/>
      <c r="O117" s="33"/>
      <c r="P117" s="33"/>
      <c r="Q117" s="33"/>
      <c r="R117" s="33"/>
      <c r="S117" s="33"/>
      <c r="T117" s="33"/>
      <c r="U117" s="33"/>
      <c r="V117" s="33"/>
      <c r="W117" s="33"/>
      <c r="X117" s="33"/>
      <c r="Y117" s="33"/>
      <c r="Z117" s="33"/>
      <c r="AA117" s="33"/>
      <c r="AB117" s="33"/>
      <c r="AC117" s="33"/>
      <c r="AD117" s="33"/>
      <c r="AE117" s="33"/>
      <c r="AF117" s="33"/>
      <c r="AG117" s="33"/>
      <c r="AH117" s="33"/>
      <c r="AI117" s="33"/>
      <c r="AJ117" s="33"/>
      <c r="AK117" s="33"/>
      <c r="AL117" s="33"/>
      <c r="AM117" s="33"/>
      <c r="AN117" s="33"/>
      <c r="AO117" s="33"/>
      <c r="AP117" s="33"/>
      <c r="AQ117" s="33"/>
      <c r="AR117" s="33"/>
      <c r="AS117" s="33"/>
      <c r="AT117" s="33"/>
      <c r="AU117" s="33"/>
      <c r="AV117" s="33"/>
      <c r="AW117" s="33"/>
      <c r="AX117" s="33"/>
      <c r="AY117" s="33"/>
      <c r="AZ117" s="33"/>
      <c r="BA117" s="33"/>
      <c r="BB117" s="33"/>
      <c r="BC117" s="33"/>
      <c r="BD117" s="33"/>
      <c r="BE117" s="33"/>
      <c r="BF117" s="33"/>
      <c r="BG117" s="33"/>
      <c r="BH117" s="33"/>
      <c r="BI117" s="33"/>
      <c r="BJ117" s="33"/>
      <c r="BK117" s="33"/>
      <c r="BL117" s="33"/>
      <c r="BM117" s="33"/>
      <c r="BN117" s="33"/>
      <c r="BO117" s="33"/>
    </row>
    <row r="118" spans="1:67">
      <c r="A118" s="11"/>
      <c r="B118" s="11" t="s">
        <v>153</v>
      </c>
      <c r="C118" s="11"/>
      <c r="D118" s="95">
        <v>150000</v>
      </c>
      <c r="E118" s="10" t="s">
        <v>106</v>
      </c>
      <c r="F118" s="10"/>
      <c r="G118" s="33"/>
      <c r="H118" s="33"/>
      <c r="I118" s="33"/>
      <c r="J118" s="33"/>
      <c r="K118" s="33"/>
      <c r="L118" s="33"/>
      <c r="M118" s="33"/>
      <c r="N118" s="33"/>
      <c r="O118" s="33"/>
      <c r="P118" s="33"/>
      <c r="Q118" s="33"/>
      <c r="R118" s="33"/>
      <c r="S118" s="33"/>
      <c r="T118" s="33"/>
      <c r="U118" s="33"/>
      <c r="V118" s="33"/>
      <c r="W118" s="33"/>
      <c r="X118" s="33"/>
      <c r="Y118" s="33"/>
      <c r="Z118" s="33"/>
      <c r="AA118" s="33"/>
      <c r="AB118" s="33"/>
      <c r="AC118" s="33"/>
      <c r="AD118" s="33"/>
      <c r="AE118" s="33"/>
      <c r="AF118" s="33"/>
      <c r="AG118" s="33"/>
      <c r="AH118" s="33"/>
      <c r="AI118" s="33"/>
      <c r="AJ118" s="33"/>
      <c r="AK118" s="33"/>
      <c r="AL118" s="33"/>
      <c r="AM118" s="33"/>
      <c r="AN118" s="33"/>
      <c r="AO118" s="33"/>
      <c r="AP118" s="33"/>
      <c r="AQ118" s="33"/>
      <c r="AR118" s="33"/>
      <c r="AS118" s="33"/>
      <c r="AT118" s="33"/>
      <c r="AU118" s="33"/>
      <c r="AV118" s="33"/>
      <c r="AW118" s="33"/>
      <c r="AX118" s="33"/>
      <c r="AY118" s="33"/>
      <c r="AZ118" s="33"/>
      <c r="BA118" s="33"/>
      <c r="BB118" s="33"/>
      <c r="BC118" s="33"/>
      <c r="BD118" s="33"/>
      <c r="BE118" s="33"/>
      <c r="BF118" s="33"/>
      <c r="BG118" s="33"/>
      <c r="BH118" s="33"/>
      <c r="BI118" s="33"/>
      <c r="BJ118" s="33"/>
      <c r="BK118" s="33"/>
      <c r="BL118" s="33"/>
      <c r="BM118" s="33"/>
      <c r="BN118" s="33"/>
      <c r="BO118" s="33"/>
    </row>
    <row r="119" spans="1:67">
      <c r="A119" s="11"/>
      <c r="B119" s="11" t="s">
        <v>154</v>
      </c>
      <c r="C119" s="11"/>
      <c r="D119" s="95">
        <v>1500000</v>
      </c>
      <c r="E119" s="10" t="s">
        <v>155</v>
      </c>
      <c r="F119" s="10"/>
      <c r="G119" s="33"/>
      <c r="H119" s="33"/>
      <c r="I119" s="33"/>
      <c r="J119" s="33"/>
      <c r="K119" s="33"/>
      <c r="L119" s="33"/>
      <c r="M119" s="33"/>
      <c r="N119" s="33"/>
      <c r="O119" s="33"/>
      <c r="P119" s="33"/>
      <c r="Q119" s="33"/>
      <c r="R119" s="33"/>
      <c r="S119" s="33"/>
      <c r="T119" s="33"/>
      <c r="U119" s="33"/>
      <c r="V119" s="33"/>
      <c r="W119" s="33"/>
      <c r="X119" s="33"/>
      <c r="Y119" s="33"/>
      <c r="Z119" s="33"/>
      <c r="AA119" s="33"/>
      <c r="AB119" s="33"/>
      <c r="AC119" s="33"/>
      <c r="AD119" s="33"/>
      <c r="AE119" s="33"/>
      <c r="AF119" s="33"/>
      <c r="AG119" s="33"/>
      <c r="AH119" s="33"/>
      <c r="AI119" s="33"/>
      <c r="AJ119" s="33"/>
      <c r="AK119" s="33"/>
      <c r="AL119" s="33"/>
      <c r="AM119" s="33"/>
      <c r="AN119" s="33"/>
      <c r="AO119" s="33"/>
      <c r="AP119" s="33"/>
      <c r="AQ119" s="33"/>
      <c r="AR119" s="33"/>
      <c r="AS119" s="33"/>
      <c r="AT119" s="33"/>
      <c r="AU119" s="33"/>
      <c r="AV119" s="33"/>
      <c r="AW119" s="33"/>
      <c r="AX119" s="33"/>
      <c r="AY119" s="33"/>
      <c r="AZ119" s="33"/>
      <c r="BA119" s="33"/>
      <c r="BB119" s="33"/>
      <c r="BC119" s="33"/>
      <c r="BD119" s="33"/>
      <c r="BE119" s="33"/>
      <c r="BF119" s="33"/>
      <c r="BG119" s="33"/>
      <c r="BH119" s="33"/>
      <c r="BI119" s="33"/>
      <c r="BJ119" s="33"/>
      <c r="BK119" s="33"/>
      <c r="BL119" s="33"/>
      <c r="BM119" s="33"/>
      <c r="BN119" s="33"/>
      <c r="BO119" s="33"/>
    </row>
    <row r="120" spans="1:67">
      <c r="A120" s="11"/>
      <c r="B120" s="11" t="s">
        <v>156</v>
      </c>
      <c r="C120" s="11"/>
      <c r="D120" s="19">
        <v>1E-3</v>
      </c>
      <c r="E120" s="10" t="s">
        <v>149</v>
      </c>
      <c r="F120" s="10"/>
      <c r="G120" s="33"/>
      <c r="H120" s="33"/>
      <c r="I120" s="33"/>
      <c r="J120" s="33"/>
      <c r="K120" s="33"/>
      <c r="L120" s="33"/>
      <c r="M120" s="33"/>
      <c r="N120" s="33"/>
      <c r="O120" s="33"/>
      <c r="P120" s="33"/>
      <c r="Q120" s="33"/>
      <c r="R120" s="33"/>
      <c r="S120" s="33"/>
      <c r="T120" s="33"/>
      <c r="U120" s="33"/>
      <c r="V120" s="33"/>
      <c r="W120" s="33"/>
      <c r="X120" s="33"/>
      <c r="Y120" s="33"/>
      <c r="Z120" s="33"/>
      <c r="AA120" s="33"/>
      <c r="AB120" s="33"/>
      <c r="AC120" s="33"/>
      <c r="AD120" s="33"/>
      <c r="AE120" s="33"/>
      <c r="AF120" s="33"/>
      <c r="AG120" s="33"/>
      <c r="AH120" s="33"/>
      <c r="AI120" s="33"/>
      <c r="AJ120" s="33"/>
      <c r="AK120" s="33"/>
      <c r="AL120" s="33"/>
      <c r="AM120" s="33"/>
      <c r="AN120" s="33"/>
      <c r="AO120" s="33"/>
      <c r="AP120" s="33"/>
      <c r="AQ120" s="33"/>
      <c r="AR120" s="33"/>
      <c r="AS120" s="33"/>
      <c r="AT120" s="33"/>
      <c r="AU120" s="33"/>
      <c r="AV120" s="33"/>
      <c r="AW120" s="33"/>
      <c r="AX120" s="33"/>
      <c r="AY120" s="33"/>
      <c r="AZ120" s="33"/>
      <c r="BA120" s="33"/>
      <c r="BB120" s="33"/>
      <c r="BC120" s="33"/>
      <c r="BD120" s="33"/>
      <c r="BE120" s="33"/>
      <c r="BF120" s="33"/>
      <c r="BG120" s="33"/>
      <c r="BH120" s="33"/>
      <c r="BI120" s="33"/>
      <c r="BJ120" s="33"/>
      <c r="BK120" s="33"/>
      <c r="BL120" s="33"/>
      <c r="BM120" s="33"/>
      <c r="BN120" s="33"/>
      <c r="BO120" s="33"/>
    </row>
    <row r="121" spans="1:67">
      <c r="A121" s="32"/>
      <c r="B121" s="35" t="s">
        <v>1686</v>
      </c>
      <c r="C121" s="32"/>
      <c r="D121" s="95">
        <v>200000</v>
      </c>
      <c r="E121" s="35" t="s">
        <v>106</v>
      </c>
      <c r="F121" s="35"/>
      <c r="G121" s="33"/>
      <c r="H121" s="33"/>
      <c r="I121" s="33"/>
      <c r="J121" s="33"/>
      <c r="K121" s="33"/>
      <c r="L121" s="33"/>
      <c r="M121" s="33"/>
      <c r="N121" s="33"/>
      <c r="O121" s="33"/>
      <c r="P121" s="33"/>
      <c r="Q121" s="33"/>
      <c r="R121" s="33"/>
      <c r="S121" s="33"/>
      <c r="T121" s="33"/>
      <c r="U121" s="33"/>
      <c r="V121" s="33"/>
      <c r="W121" s="33"/>
      <c r="X121" s="33"/>
      <c r="Y121" s="33"/>
      <c r="Z121" s="33"/>
      <c r="AA121" s="33"/>
      <c r="AB121" s="33"/>
      <c r="AC121" s="33"/>
      <c r="AD121" s="33"/>
      <c r="AE121" s="33"/>
      <c r="AF121" s="33"/>
      <c r="AG121" s="33"/>
      <c r="AH121" s="33"/>
      <c r="AI121" s="33"/>
      <c r="AJ121" s="33"/>
      <c r="AK121" s="33"/>
      <c r="AL121" s="33"/>
      <c r="AM121" s="33"/>
      <c r="AN121" s="33"/>
      <c r="AO121" s="33"/>
      <c r="AP121" s="33"/>
      <c r="AQ121" s="33"/>
      <c r="AR121" s="33"/>
      <c r="AS121" s="33"/>
      <c r="AT121" s="33"/>
      <c r="AU121" s="33"/>
      <c r="AV121" s="33"/>
      <c r="AW121" s="33"/>
      <c r="AX121" s="33"/>
      <c r="AY121" s="33"/>
      <c r="AZ121" s="33"/>
      <c r="BA121" s="33"/>
      <c r="BB121" s="33"/>
      <c r="BC121" s="33"/>
      <c r="BD121" s="33"/>
      <c r="BE121" s="33"/>
      <c r="BF121" s="33"/>
      <c r="BG121" s="33"/>
      <c r="BH121" s="33"/>
      <c r="BI121" s="33"/>
      <c r="BJ121" s="33"/>
      <c r="BK121" s="33"/>
      <c r="BL121" s="33"/>
      <c r="BM121" s="33"/>
      <c r="BN121" s="33"/>
      <c r="BO121" s="33"/>
    </row>
    <row r="122" spans="1:67">
      <c r="A122" s="11"/>
      <c r="B122" s="11"/>
      <c r="C122" s="11"/>
      <c r="D122" s="33"/>
      <c r="E122" s="33"/>
      <c r="F122" s="33"/>
      <c r="G122" s="33"/>
      <c r="H122" s="33"/>
      <c r="I122" s="33"/>
      <c r="J122" s="33"/>
      <c r="K122" s="33"/>
      <c r="L122" s="33"/>
      <c r="M122" s="33"/>
      <c r="N122" s="33"/>
      <c r="O122" s="33"/>
      <c r="P122" s="33"/>
      <c r="Q122" s="33"/>
      <c r="R122" s="33"/>
      <c r="S122" s="33"/>
      <c r="T122" s="33"/>
      <c r="U122" s="33"/>
      <c r="V122" s="33"/>
      <c r="W122" s="33"/>
      <c r="X122" s="33"/>
      <c r="Y122" s="33"/>
      <c r="Z122" s="33"/>
      <c r="AA122" s="33"/>
      <c r="AB122" s="33"/>
      <c r="AC122" s="33"/>
      <c r="AD122" s="33"/>
      <c r="AE122" s="33"/>
      <c r="AF122" s="33"/>
      <c r="AG122" s="33"/>
      <c r="AH122" s="33"/>
      <c r="AI122" s="33"/>
      <c r="AJ122" s="33"/>
      <c r="AK122" s="33"/>
      <c r="AL122" s="33"/>
      <c r="AM122" s="33"/>
      <c r="AN122" s="33"/>
      <c r="AO122" s="33"/>
      <c r="AP122" s="33"/>
      <c r="AQ122" s="33"/>
      <c r="AR122" s="33"/>
      <c r="AS122" s="33"/>
      <c r="AT122" s="33"/>
      <c r="AU122" s="33"/>
      <c r="AV122" s="33"/>
      <c r="AW122" s="33"/>
      <c r="AX122" s="33"/>
      <c r="AY122" s="33"/>
      <c r="AZ122" s="33"/>
      <c r="BA122" s="33"/>
      <c r="BB122" s="33"/>
      <c r="BC122" s="33"/>
      <c r="BD122" s="33"/>
      <c r="BE122" s="33"/>
      <c r="BF122" s="33"/>
      <c r="BG122" s="33"/>
      <c r="BH122" s="33"/>
      <c r="BI122" s="33"/>
      <c r="BJ122" s="33"/>
      <c r="BK122" s="33"/>
      <c r="BL122" s="33"/>
      <c r="BM122" s="33"/>
      <c r="BN122" s="33"/>
      <c r="BO122" s="33"/>
    </row>
    <row r="123" spans="1:67">
      <c r="A123" s="18" t="s">
        <v>15</v>
      </c>
      <c r="B123" s="18"/>
      <c r="C123" s="18"/>
      <c r="D123" s="39"/>
      <c r="E123" s="39"/>
      <c r="F123" s="39"/>
      <c r="G123" s="39"/>
      <c r="H123" s="39"/>
      <c r="I123" s="39"/>
      <c r="J123" s="39"/>
      <c r="K123" s="39"/>
      <c r="L123" s="39"/>
      <c r="M123" s="39"/>
      <c r="N123" s="39"/>
      <c r="O123" s="39"/>
      <c r="P123" s="39"/>
      <c r="Q123" s="39"/>
      <c r="R123" s="39"/>
      <c r="S123" s="39"/>
      <c r="T123" s="39"/>
      <c r="U123" s="39"/>
      <c r="V123" s="39"/>
      <c r="W123" s="39"/>
      <c r="X123" s="39"/>
      <c r="Y123" s="39"/>
      <c r="Z123" s="39"/>
      <c r="AA123" s="39"/>
      <c r="AB123" s="39"/>
      <c r="AC123" s="39"/>
      <c r="AD123" s="39"/>
      <c r="AE123" s="39"/>
      <c r="AF123" s="39"/>
      <c r="AG123" s="39"/>
      <c r="AH123" s="39"/>
      <c r="AI123" s="39"/>
      <c r="AJ123" s="39"/>
      <c r="AK123" s="39"/>
      <c r="AL123" s="39"/>
      <c r="AM123" s="39"/>
      <c r="AN123" s="39"/>
      <c r="AO123" s="39"/>
      <c r="AP123" s="39"/>
      <c r="AQ123" s="39"/>
      <c r="AR123" s="39"/>
      <c r="AS123" s="39"/>
      <c r="AT123" s="39"/>
      <c r="AU123" s="39"/>
      <c r="AV123" s="39"/>
      <c r="AW123" s="39"/>
      <c r="AX123" s="39"/>
      <c r="AY123" s="39"/>
      <c r="AZ123" s="39"/>
      <c r="BA123" s="39"/>
      <c r="BB123" s="39"/>
      <c r="BC123" s="39"/>
      <c r="BD123" s="39"/>
      <c r="BE123" s="39"/>
      <c r="BF123" s="39"/>
      <c r="BG123" s="39"/>
      <c r="BH123" s="39"/>
      <c r="BI123" s="39"/>
      <c r="BJ123" s="39"/>
      <c r="BK123" s="39"/>
      <c r="BL123" s="39"/>
      <c r="BM123" s="39"/>
      <c r="BN123" s="39"/>
      <c r="BO123" s="39"/>
    </row>
    <row r="124" spans="1:67">
      <c r="A124" s="11"/>
      <c r="B124" s="11" t="s">
        <v>0</v>
      </c>
      <c r="C124" s="11"/>
      <c r="D124" s="95">
        <v>45</v>
      </c>
      <c r="E124" s="10" t="s">
        <v>6</v>
      </c>
      <c r="F124" s="10"/>
      <c r="G124" s="33"/>
      <c r="H124" s="33"/>
      <c r="I124" s="33"/>
      <c r="J124" s="33"/>
      <c r="K124" s="33"/>
      <c r="L124" s="33"/>
      <c r="M124" s="33"/>
      <c r="N124" s="33"/>
      <c r="O124" s="33"/>
      <c r="P124" s="33"/>
      <c r="Q124" s="33"/>
      <c r="R124" s="33"/>
      <c r="S124" s="33"/>
      <c r="T124" s="33"/>
      <c r="U124" s="33"/>
      <c r="V124" s="33"/>
      <c r="W124" s="33"/>
      <c r="X124" s="33"/>
      <c r="Y124" s="33"/>
      <c r="Z124" s="33"/>
      <c r="AA124" s="33"/>
      <c r="AB124" s="33"/>
      <c r="AC124" s="33"/>
      <c r="AD124" s="33"/>
      <c r="AE124" s="33"/>
      <c r="AF124" s="33"/>
      <c r="AG124" s="33"/>
      <c r="AH124" s="33"/>
      <c r="AI124" s="33"/>
      <c r="AJ124" s="33"/>
      <c r="AK124" s="33"/>
      <c r="AL124" s="33"/>
      <c r="AM124" s="33"/>
      <c r="AN124" s="33"/>
      <c r="AO124" s="33"/>
      <c r="AP124" s="33"/>
      <c r="AQ124" s="33"/>
      <c r="AR124" s="33"/>
      <c r="AS124" s="33"/>
      <c r="AT124" s="33"/>
      <c r="AU124" s="33"/>
      <c r="AV124" s="33"/>
      <c r="AW124" s="33"/>
      <c r="AX124" s="33"/>
      <c r="AY124" s="33"/>
      <c r="AZ124" s="33"/>
      <c r="BA124" s="33"/>
      <c r="BB124" s="33"/>
      <c r="BC124" s="33"/>
      <c r="BD124" s="33"/>
      <c r="BE124" s="33"/>
      <c r="BF124" s="33"/>
      <c r="BG124" s="33"/>
      <c r="BH124" s="33"/>
      <c r="BI124" s="33"/>
      <c r="BJ124" s="33"/>
      <c r="BK124" s="33"/>
      <c r="BL124" s="33"/>
      <c r="BM124" s="33"/>
      <c r="BN124" s="33"/>
      <c r="BO124" s="33"/>
    </row>
    <row r="125" spans="1:67">
      <c r="A125" s="11"/>
      <c r="B125" s="11" t="s">
        <v>157</v>
      </c>
      <c r="C125" s="11"/>
      <c r="D125" s="95">
        <v>30</v>
      </c>
      <c r="E125" s="10" t="s">
        <v>6</v>
      </c>
      <c r="F125" s="10"/>
      <c r="G125" s="33"/>
      <c r="H125" s="33"/>
      <c r="I125" s="33"/>
      <c r="J125" s="33"/>
      <c r="K125" s="33"/>
      <c r="L125" s="33"/>
      <c r="M125" s="33"/>
      <c r="N125" s="33"/>
      <c r="O125" s="33"/>
      <c r="P125" s="33"/>
      <c r="Q125" s="33"/>
      <c r="R125" s="33"/>
      <c r="S125" s="33"/>
      <c r="T125" s="33"/>
      <c r="U125" s="33"/>
      <c r="V125" s="33"/>
      <c r="W125" s="33"/>
      <c r="X125" s="33"/>
      <c r="Y125" s="33"/>
      <c r="Z125" s="33"/>
      <c r="AA125" s="33"/>
      <c r="AB125" s="33"/>
      <c r="AC125" s="33"/>
      <c r="AD125" s="33"/>
      <c r="AE125" s="33"/>
      <c r="AF125" s="33"/>
      <c r="AG125" s="33"/>
      <c r="AH125" s="33"/>
      <c r="AI125" s="33"/>
      <c r="AJ125" s="33"/>
      <c r="AK125" s="33"/>
      <c r="AL125" s="33"/>
      <c r="AM125" s="33"/>
      <c r="AN125" s="33"/>
      <c r="AO125" s="33"/>
      <c r="AP125" s="33"/>
      <c r="AQ125" s="33"/>
      <c r="AR125" s="33"/>
      <c r="AS125" s="33"/>
      <c r="AT125" s="33"/>
      <c r="AU125" s="33"/>
      <c r="AV125" s="33"/>
      <c r="AW125" s="33"/>
      <c r="AX125" s="33"/>
      <c r="AY125" s="33"/>
      <c r="AZ125" s="33"/>
      <c r="BA125" s="33"/>
      <c r="BB125" s="33"/>
      <c r="BC125" s="33"/>
      <c r="BD125" s="33"/>
      <c r="BE125" s="33"/>
      <c r="BF125" s="33"/>
      <c r="BG125" s="33"/>
      <c r="BH125" s="33"/>
      <c r="BI125" s="33"/>
      <c r="BJ125" s="33"/>
      <c r="BK125" s="33"/>
      <c r="BL125" s="33"/>
      <c r="BM125" s="33"/>
      <c r="BN125" s="33"/>
      <c r="BO125" s="33"/>
    </row>
    <row r="126" spans="1:67">
      <c r="A126" s="11"/>
      <c r="B126" s="11" t="s">
        <v>158</v>
      </c>
      <c r="C126" s="11"/>
      <c r="D126" s="95">
        <v>30</v>
      </c>
      <c r="E126" s="10" t="s">
        <v>6</v>
      </c>
      <c r="F126" s="10"/>
      <c r="G126" s="33"/>
      <c r="H126" s="33"/>
      <c r="I126" s="33"/>
      <c r="J126" s="33"/>
      <c r="K126" s="33"/>
      <c r="L126" s="33"/>
      <c r="M126" s="33"/>
      <c r="N126" s="33"/>
      <c r="O126" s="33"/>
      <c r="P126" s="33"/>
      <c r="Q126" s="33"/>
      <c r="R126" s="33"/>
      <c r="S126" s="33"/>
      <c r="T126" s="33"/>
      <c r="U126" s="33"/>
      <c r="V126" s="33"/>
      <c r="W126" s="33"/>
      <c r="X126" s="33"/>
      <c r="Y126" s="33"/>
      <c r="Z126" s="33"/>
      <c r="AA126" s="33"/>
      <c r="AB126" s="33"/>
      <c r="AC126" s="33"/>
      <c r="AD126" s="33"/>
      <c r="AE126" s="33"/>
      <c r="AF126" s="33"/>
      <c r="AG126" s="33"/>
      <c r="AH126" s="33"/>
      <c r="AI126" s="33"/>
      <c r="AJ126" s="33"/>
      <c r="AK126" s="33"/>
      <c r="AL126" s="33"/>
      <c r="AM126" s="33"/>
      <c r="AN126" s="33"/>
      <c r="AO126" s="33"/>
      <c r="AP126" s="33"/>
      <c r="AQ126" s="33"/>
      <c r="AR126" s="33"/>
      <c r="AS126" s="33"/>
      <c r="AT126" s="33"/>
      <c r="AU126" s="33"/>
      <c r="AV126" s="33"/>
      <c r="AW126" s="33"/>
      <c r="AX126" s="33"/>
      <c r="AY126" s="33"/>
      <c r="AZ126" s="33"/>
      <c r="BA126" s="33"/>
      <c r="BB126" s="33"/>
      <c r="BC126" s="33"/>
      <c r="BD126" s="33"/>
      <c r="BE126" s="33"/>
      <c r="BF126" s="33"/>
      <c r="BG126" s="33"/>
      <c r="BH126" s="33"/>
      <c r="BI126" s="33"/>
      <c r="BJ126" s="33"/>
      <c r="BK126" s="33"/>
      <c r="BL126" s="33"/>
      <c r="BM126" s="33"/>
      <c r="BN126" s="33"/>
      <c r="BO126" s="33"/>
    </row>
    <row r="127" spans="1:67">
      <c r="A127" s="11"/>
      <c r="B127" s="11" t="s">
        <v>159</v>
      </c>
      <c r="C127" s="11"/>
      <c r="D127" s="95">
        <v>15</v>
      </c>
      <c r="E127" s="10" t="s">
        <v>6</v>
      </c>
      <c r="F127" s="10"/>
      <c r="G127" s="33"/>
      <c r="H127" s="33"/>
      <c r="I127" s="33"/>
      <c r="J127" s="33"/>
      <c r="K127" s="33"/>
      <c r="L127" s="33"/>
      <c r="M127" s="33"/>
      <c r="N127" s="33"/>
      <c r="O127" s="33"/>
      <c r="P127" s="33"/>
      <c r="Q127" s="33"/>
      <c r="R127" s="33"/>
      <c r="S127" s="33"/>
      <c r="T127" s="33"/>
      <c r="U127" s="33"/>
      <c r="V127" s="33"/>
      <c r="W127" s="33"/>
      <c r="X127" s="33"/>
      <c r="Y127" s="33"/>
      <c r="Z127" s="33"/>
      <c r="AA127" s="33"/>
      <c r="AB127" s="33"/>
      <c r="AC127" s="33"/>
      <c r="AD127" s="33"/>
      <c r="AE127" s="33"/>
      <c r="AF127" s="33"/>
      <c r="AG127" s="33"/>
      <c r="AH127" s="33"/>
      <c r="AI127" s="33"/>
      <c r="AJ127" s="33"/>
      <c r="AK127" s="33"/>
      <c r="AL127" s="33"/>
      <c r="AM127" s="33"/>
      <c r="AN127" s="33"/>
      <c r="AO127" s="33"/>
      <c r="AP127" s="33"/>
      <c r="AQ127" s="33"/>
      <c r="AR127" s="33"/>
      <c r="AS127" s="33"/>
      <c r="AT127" s="33"/>
      <c r="AU127" s="33"/>
      <c r="AV127" s="33"/>
      <c r="AW127" s="33"/>
      <c r="AX127" s="33"/>
      <c r="AY127" s="33"/>
      <c r="AZ127" s="33"/>
      <c r="BA127" s="33"/>
      <c r="BB127" s="33"/>
      <c r="BC127" s="33"/>
      <c r="BD127" s="33"/>
      <c r="BE127" s="33"/>
      <c r="BF127" s="33"/>
      <c r="BG127" s="33"/>
      <c r="BH127" s="33"/>
      <c r="BI127" s="33"/>
      <c r="BJ127" s="33"/>
      <c r="BK127" s="33"/>
      <c r="BL127" s="33"/>
      <c r="BM127" s="33"/>
      <c r="BN127" s="33"/>
      <c r="BO127" s="33"/>
    </row>
    <row r="128" spans="1:67">
      <c r="A128" s="11"/>
      <c r="B128" s="11" t="s">
        <v>160</v>
      </c>
      <c r="C128" s="11"/>
      <c r="D128" s="95">
        <v>15</v>
      </c>
      <c r="E128" s="10" t="s">
        <v>6</v>
      </c>
      <c r="F128" s="10"/>
      <c r="G128" s="33"/>
      <c r="H128" s="33"/>
      <c r="I128" s="33"/>
      <c r="J128" s="33"/>
      <c r="K128" s="33"/>
      <c r="L128" s="33"/>
      <c r="M128" s="33"/>
      <c r="N128" s="33"/>
      <c r="O128" s="33"/>
      <c r="P128" s="33"/>
      <c r="Q128" s="33"/>
      <c r="R128" s="33"/>
      <c r="S128" s="33"/>
      <c r="T128" s="33"/>
      <c r="U128" s="33"/>
      <c r="V128" s="33"/>
      <c r="W128" s="33"/>
      <c r="X128" s="33"/>
      <c r="Y128" s="33"/>
      <c r="Z128" s="33"/>
      <c r="AA128" s="33"/>
      <c r="AB128" s="33"/>
      <c r="AC128" s="33"/>
      <c r="AD128" s="33"/>
      <c r="AE128" s="33"/>
      <c r="AF128" s="33"/>
      <c r="AG128" s="33"/>
      <c r="AH128" s="33"/>
      <c r="AI128" s="33"/>
      <c r="AJ128" s="33"/>
      <c r="AK128" s="33"/>
      <c r="AL128" s="33"/>
      <c r="AM128" s="33"/>
      <c r="AN128" s="33"/>
      <c r="AO128" s="33"/>
      <c r="AP128" s="33"/>
      <c r="AQ128" s="33"/>
      <c r="AR128" s="33"/>
      <c r="AS128" s="33"/>
      <c r="AT128" s="33"/>
      <c r="AU128" s="33"/>
      <c r="AV128" s="33"/>
      <c r="AW128" s="33"/>
      <c r="AX128" s="33"/>
      <c r="AY128" s="33"/>
      <c r="AZ128" s="33"/>
      <c r="BA128" s="33"/>
      <c r="BB128" s="33"/>
      <c r="BC128" s="33"/>
      <c r="BD128" s="33"/>
      <c r="BE128" s="33"/>
      <c r="BF128" s="33"/>
      <c r="BG128" s="33"/>
      <c r="BH128" s="33"/>
      <c r="BI128" s="33"/>
      <c r="BJ128" s="33"/>
      <c r="BK128" s="33"/>
      <c r="BL128" s="33"/>
      <c r="BM128" s="33"/>
      <c r="BN128" s="33"/>
      <c r="BO128" s="33"/>
    </row>
    <row r="129" spans="1:67">
      <c r="A129" s="11"/>
      <c r="B129" s="11" t="s">
        <v>161</v>
      </c>
      <c r="C129" s="11"/>
      <c r="D129" s="95">
        <v>45</v>
      </c>
      <c r="E129" s="10" t="s">
        <v>6</v>
      </c>
      <c r="F129" s="10"/>
      <c r="G129" s="33"/>
      <c r="H129" s="33"/>
      <c r="I129" s="33"/>
      <c r="J129" s="33"/>
      <c r="K129" s="33"/>
      <c r="L129" s="33"/>
      <c r="M129" s="33"/>
      <c r="N129" s="33"/>
      <c r="O129" s="33"/>
      <c r="P129" s="33"/>
      <c r="Q129" s="33"/>
      <c r="R129" s="33"/>
      <c r="S129" s="33"/>
      <c r="T129" s="33"/>
      <c r="U129" s="33"/>
      <c r="V129" s="33"/>
      <c r="W129" s="33"/>
      <c r="X129" s="33"/>
      <c r="Y129" s="33"/>
      <c r="Z129" s="33"/>
      <c r="AA129" s="33"/>
      <c r="AB129" s="33"/>
      <c r="AC129" s="33"/>
      <c r="AD129" s="33"/>
      <c r="AE129" s="33"/>
      <c r="AF129" s="33"/>
      <c r="AG129" s="33"/>
      <c r="AH129" s="33"/>
      <c r="AI129" s="33"/>
      <c r="AJ129" s="33"/>
      <c r="AK129" s="33"/>
      <c r="AL129" s="33"/>
      <c r="AM129" s="33"/>
      <c r="AN129" s="33"/>
      <c r="AO129" s="33"/>
      <c r="AP129" s="33"/>
      <c r="AQ129" s="33"/>
      <c r="AR129" s="33"/>
      <c r="AS129" s="33"/>
      <c r="AT129" s="33"/>
      <c r="AU129" s="33"/>
      <c r="AV129" s="33"/>
      <c r="AW129" s="33"/>
      <c r="AX129" s="33"/>
      <c r="AY129" s="33"/>
      <c r="AZ129" s="33"/>
      <c r="BA129" s="33"/>
      <c r="BB129" s="33"/>
      <c r="BC129" s="33"/>
      <c r="BD129" s="33"/>
      <c r="BE129" s="33"/>
      <c r="BF129" s="33"/>
      <c r="BG129" s="33"/>
      <c r="BH129" s="33"/>
      <c r="BI129" s="33"/>
      <c r="BJ129" s="33"/>
      <c r="BK129" s="33"/>
      <c r="BL129" s="33"/>
      <c r="BM129" s="33"/>
      <c r="BN129" s="33"/>
      <c r="BO129" s="33"/>
    </row>
    <row r="130" spans="1:67">
      <c r="A130" s="11"/>
      <c r="B130" s="11" t="s">
        <v>162</v>
      </c>
      <c r="C130" s="11"/>
      <c r="D130" s="19">
        <v>0.02</v>
      </c>
      <c r="E130" s="10" t="s">
        <v>7</v>
      </c>
      <c r="F130" s="10"/>
      <c r="G130" s="33"/>
      <c r="H130" s="33"/>
      <c r="I130" s="33"/>
      <c r="J130" s="33"/>
      <c r="K130" s="33"/>
      <c r="L130" s="33"/>
      <c r="M130" s="33"/>
      <c r="N130" s="33"/>
      <c r="O130" s="33"/>
      <c r="P130" s="33"/>
      <c r="Q130" s="33"/>
      <c r="R130" s="33"/>
      <c r="S130" s="33"/>
      <c r="T130" s="33"/>
      <c r="U130" s="33"/>
      <c r="V130" s="33"/>
      <c r="W130" s="33"/>
      <c r="X130" s="33"/>
      <c r="Y130" s="33"/>
      <c r="Z130" s="33"/>
      <c r="AA130" s="33"/>
      <c r="AB130" s="33"/>
      <c r="AC130" s="33"/>
      <c r="AD130" s="33"/>
      <c r="AE130" s="33"/>
      <c r="AF130" s="33"/>
      <c r="AG130" s="33"/>
      <c r="AH130" s="33"/>
      <c r="AI130" s="33"/>
      <c r="AJ130" s="33"/>
      <c r="AK130" s="33"/>
      <c r="AL130" s="33"/>
      <c r="AM130" s="33"/>
      <c r="AN130" s="33"/>
      <c r="AO130" s="33"/>
      <c r="AP130" s="33"/>
      <c r="AQ130" s="33"/>
      <c r="AR130" s="33"/>
      <c r="AS130" s="33"/>
      <c r="AT130" s="33"/>
      <c r="AU130" s="33"/>
      <c r="AV130" s="33"/>
      <c r="AW130" s="33"/>
      <c r="AX130" s="33"/>
      <c r="AY130" s="33"/>
      <c r="AZ130" s="33"/>
      <c r="BA130" s="33"/>
      <c r="BB130" s="33"/>
      <c r="BC130" s="33"/>
      <c r="BD130" s="33"/>
      <c r="BE130" s="33"/>
      <c r="BF130" s="33"/>
      <c r="BG130" s="33"/>
      <c r="BH130" s="33"/>
      <c r="BI130" s="33"/>
      <c r="BJ130" s="33"/>
      <c r="BK130" s="33"/>
      <c r="BL130" s="33"/>
      <c r="BM130" s="33"/>
      <c r="BN130" s="33"/>
      <c r="BO130" s="33"/>
    </row>
    <row r="131" spans="1:67">
      <c r="A131" s="11"/>
      <c r="B131" s="11" t="s">
        <v>163</v>
      </c>
      <c r="C131" s="11"/>
      <c r="D131" s="19">
        <v>0.03</v>
      </c>
      <c r="E131" s="10" t="s">
        <v>7</v>
      </c>
      <c r="F131" s="10"/>
      <c r="G131" s="33"/>
      <c r="H131" s="33"/>
      <c r="I131" s="33"/>
      <c r="J131" s="33"/>
      <c r="K131" s="33"/>
      <c r="L131" s="33"/>
      <c r="M131" s="33"/>
      <c r="N131" s="33"/>
      <c r="O131" s="33"/>
      <c r="P131" s="33"/>
      <c r="Q131" s="33"/>
      <c r="R131" s="33"/>
      <c r="S131" s="33"/>
      <c r="T131" s="33"/>
      <c r="U131" s="33"/>
      <c r="V131" s="33"/>
      <c r="W131" s="33"/>
      <c r="X131" s="33"/>
      <c r="Y131" s="33"/>
      <c r="Z131" s="33"/>
      <c r="AA131" s="33"/>
      <c r="AB131" s="33"/>
      <c r="AC131" s="33"/>
      <c r="AD131" s="33"/>
      <c r="AE131" s="33"/>
      <c r="AF131" s="33"/>
      <c r="AG131" s="33"/>
      <c r="AH131" s="33"/>
      <c r="AI131" s="33"/>
      <c r="AJ131" s="33"/>
      <c r="AK131" s="33"/>
      <c r="AL131" s="33"/>
      <c r="AM131" s="33"/>
      <c r="AN131" s="33"/>
      <c r="AO131" s="33"/>
      <c r="AP131" s="33"/>
      <c r="AQ131" s="33"/>
      <c r="AR131" s="33"/>
      <c r="AS131" s="33"/>
      <c r="AT131" s="33"/>
      <c r="AU131" s="33"/>
      <c r="AV131" s="33"/>
      <c r="AW131" s="33"/>
      <c r="AX131" s="33"/>
      <c r="AY131" s="33"/>
      <c r="AZ131" s="33"/>
      <c r="BA131" s="33"/>
      <c r="BB131" s="33"/>
      <c r="BC131" s="33"/>
      <c r="BD131" s="33"/>
      <c r="BE131" s="33"/>
      <c r="BF131" s="33"/>
      <c r="BG131" s="33"/>
      <c r="BH131" s="33"/>
      <c r="BI131" s="33"/>
      <c r="BJ131" s="33"/>
      <c r="BK131" s="33"/>
      <c r="BL131" s="33"/>
      <c r="BM131" s="33"/>
      <c r="BN131" s="33"/>
      <c r="BO131" s="33"/>
    </row>
    <row r="132" spans="1:67">
      <c r="A132" s="11"/>
      <c r="B132" s="11" t="s">
        <v>164</v>
      </c>
      <c r="C132" s="11"/>
      <c r="D132" s="95">
        <v>500000</v>
      </c>
      <c r="E132" s="10" t="s">
        <v>13</v>
      </c>
      <c r="F132" s="10"/>
      <c r="G132" s="33"/>
      <c r="H132" s="33"/>
      <c r="I132" s="33"/>
      <c r="J132" s="33"/>
      <c r="K132" s="33"/>
      <c r="L132" s="33"/>
      <c r="M132" s="33"/>
      <c r="N132" s="33"/>
      <c r="O132" s="33"/>
      <c r="P132" s="33"/>
      <c r="Q132" s="33"/>
      <c r="R132" s="33"/>
      <c r="S132" s="33"/>
      <c r="T132" s="33"/>
      <c r="U132" s="33"/>
      <c r="V132" s="33"/>
      <c r="W132" s="33"/>
      <c r="X132" s="33"/>
      <c r="Y132" s="33"/>
      <c r="Z132" s="33"/>
      <c r="AA132" s="33"/>
      <c r="AB132" s="33"/>
      <c r="AC132" s="33"/>
      <c r="AD132" s="33"/>
      <c r="AE132" s="33"/>
      <c r="AF132" s="33"/>
      <c r="AG132" s="33"/>
      <c r="AH132" s="33"/>
      <c r="AI132" s="33"/>
      <c r="AJ132" s="33"/>
      <c r="AK132" s="33"/>
      <c r="AL132" s="33"/>
      <c r="AM132" s="33"/>
      <c r="AN132" s="33"/>
      <c r="AO132" s="33"/>
      <c r="AP132" s="33"/>
      <c r="AQ132" s="33"/>
      <c r="AR132" s="33"/>
      <c r="AS132" s="33"/>
      <c r="AT132" s="33"/>
      <c r="AU132" s="33"/>
      <c r="AV132" s="33"/>
      <c r="AW132" s="33"/>
      <c r="AX132" s="33"/>
      <c r="AY132" s="33"/>
      <c r="AZ132" s="33"/>
      <c r="BA132" s="33"/>
      <c r="BB132" s="33"/>
      <c r="BC132" s="33"/>
      <c r="BD132" s="33"/>
      <c r="BE132" s="33"/>
      <c r="BF132" s="33"/>
      <c r="BG132" s="33"/>
      <c r="BH132" s="33"/>
      <c r="BI132" s="33"/>
      <c r="BJ132" s="33"/>
      <c r="BK132" s="33"/>
      <c r="BL132" s="33"/>
      <c r="BM132" s="33"/>
      <c r="BN132" s="33"/>
      <c r="BO132" s="33"/>
    </row>
    <row r="133" spans="1:67">
      <c r="A133" s="11"/>
      <c r="B133" s="11" t="s">
        <v>1785</v>
      </c>
      <c r="C133" s="11"/>
      <c r="D133" s="95">
        <v>0</v>
      </c>
      <c r="E133" s="11" t="s">
        <v>13</v>
      </c>
      <c r="F133" s="11"/>
      <c r="G133" s="33"/>
      <c r="H133" s="33"/>
      <c r="I133" s="33"/>
      <c r="J133" s="33"/>
      <c r="K133" s="33"/>
      <c r="L133" s="33"/>
      <c r="M133" s="33"/>
      <c r="N133" s="33"/>
      <c r="O133" s="33"/>
      <c r="P133" s="33"/>
      <c r="Q133" s="33"/>
      <c r="R133" s="33"/>
      <c r="S133" s="33"/>
      <c r="T133" s="33"/>
      <c r="U133" s="33"/>
      <c r="V133" s="33"/>
      <c r="W133" s="33"/>
      <c r="X133" s="33"/>
      <c r="Y133" s="33"/>
      <c r="Z133" s="33"/>
      <c r="AA133" s="33"/>
      <c r="AB133" s="33"/>
      <c r="AC133" s="33"/>
      <c r="AD133" s="33"/>
      <c r="AE133" s="33"/>
      <c r="AF133" s="33"/>
      <c r="AG133" s="33"/>
      <c r="AH133" s="33"/>
      <c r="AI133" s="33"/>
      <c r="AJ133" s="33"/>
      <c r="AK133" s="33"/>
      <c r="AL133" s="33"/>
      <c r="AM133" s="33"/>
      <c r="AN133" s="33"/>
      <c r="AO133" s="33"/>
      <c r="AP133" s="33"/>
      <c r="AQ133" s="33"/>
      <c r="AR133" s="33"/>
      <c r="AS133" s="33"/>
      <c r="AT133" s="33"/>
      <c r="AU133" s="33"/>
      <c r="AV133" s="33"/>
      <c r="AW133" s="33"/>
      <c r="AX133" s="33"/>
      <c r="AY133" s="33"/>
      <c r="AZ133" s="33"/>
      <c r="BA133" s="33"/>
      <c r="BB133" s="33"/>
      <c r="BC133" s="33"/>
      <c r="BD133" s="33"/>
      <c r="BE133" s="33"/>
      <c r="BF133" s="33"/>
      <c r="BG133" s="33"/>
      <c r="BH133" s="33"/>
      <c r="BI133" s="33"/>
      <c r="BJ133" s="33"/>
      <c r="BK133" s="33"/>
      <c r="BL133" s="33"/>
      <c r="BM133" s="33"/>
      <c r="BN133" s="33"/>
      <c r="BO133" s="33"/>
    </row>
    <row r="134" spans="1:67">
      <c r="A134" s="18" t="s">
        <v>131</v>
      </c>
      <c r="B134" s="18"/>
      <c r="C134" s="18"/>
      <c r="D134" s="39"/>
      <c r="E134" s="39"/>
      <c r="F134" s="39"/>
      <c r="G134" s="39"/>
      <c r="H134" s="39"/>
      <c r="I134" s="39"/>
      <c r="J134" s="39"/>
      <c r="K134" s="39"/>
      <c r="L134" s="39"/>
      <c r="M134" s="39"/>
      <c r="N134" s="39"/>
      <c r="O134" s="39"/>
      <c r="P134" s="39"/>
      <c r="Q134" s="39"/>
      <c r="R134" s="39"/>
      <c r="S134" s="39"/>
      <c r="T134" s="39"/>
      <c r="U134" s="39"/>
      <c r="V134" s="39"/>
      <c r="W134" s="39"/>
      <c r="X134" s="39"/>
      <c r="Y134" s="39"/>
      <c r="Z134" s="39"/>
      <c r="AA134" s="39"/>
      <c r="AB134" s="39"/>
      <c r="AC134" s="39"/>
      <c r="AD134" s="39"/>
      <c r="AE134" s="39"/>
      <c r="AF134" s="39"/>
      <c r="AG134" s="39"/>
      <c r="AH134" s="39"/>
      <c r="AI134" s="39"/>
      <c r="AJ134" s="39"/>
      <c r="AK134" s="39"/>
      <c r="AL134" s="39"/>
      <c r="AM134" s="39"/>
      <c r="AN134" s="39"/>
      <c r="AO134" s="39"/>
      <c r="AP134" s="39"/>
      <c r="AQ134" s="39"/>
      <c r="AR134" s="39"/>
      <c r="AS134" s="39"/>
      <c r="AT134" s="39"/>
      <c r="AU134" s="39"/>
      <c r="AV134" s="39"/>
      <c r="AW134" s="39"/>
      <c r="AX134" s="39"/>
      <c r="AY134" s="39"/>
      <c r="AZ134" s="39"/>
      <c r="BA134" s="39"/>
      <c r="BB134" s="39"/>
      <c r="BC134" s="39"/>
      <c r="BD134" s="39"/>
      <c r="BE134" s="39"/>
      <c r="BF134" s="39"/>
      <c r="BG134" s="39"/>
      <c r="BH134" s="39"/>
      <c r="BI134" s="39"/>
      <c r="BJ134" s="39"/>
      <c r="BK134" s="39"/>
      <c r="BL134" s="39"/>
      <c r="BM134" s="39"/>
      <c r="BN134" s="39"/>
      <c r="BO134" s="39"/>
    </row>
    <row r="135" spans="1:67">
      <c r="A135" s="11"/>
      <c r="B135" s="11" t="s">
        <v>165</v>
      </c>
      <c r="C135" s="11"/>
      <c r="D135" s="16">
        <v>0.5</v>
      </c>
      <c r="E135" s="10" t="s">
        <v>7</v>
      </c>
      <c r="F135" s="10"/>
      <c r="G135" s="33"/>
      <c r="H135" s="33"/>
      <c r="I135" s="33"/>
      <c r="J135" s="33"/>
      <c r="K135" s="33"/>
      <c r="L135" s="33"/>
      <c r="M135" s="33"/>
      <c r="N135" s="33"/>
      <c r="O135" s="33"/>
      <c r="P135" s="33"/>
      <c r="Q135" s="33"/>
      <c r="R135" s="33"/>
      <c r="S135" s="33"/>
      <c r="T135" s="33"/>
      <c r="U135" s="33"/>
      <c r="V135" s="33"/>
      <c r="W135" s="33"/>
      <c r="X135" s="33"/>
      <c r="Y135" s="33"/>
      <c r="Z135" s="33"/>
      <c r="AA135" s="33"/>
      <c r="AB135" s="33"/>
      <c r="AC135" s="33"/>
      <c r="AD135" s="33"/>
      <c r="AE135" s="33"/>
      <c r="AF135" s="33"/>
      <c r="AG135" s="33"/>
      <c r="AH135" s="33"/>
      <c r="AI135" s="33"/>
      <c r="AJ135" s="33"/>
      <c r="AK135" s="33"/>
      <c r="AL135" s="33"/>
      <c r="AM135" s="33"/>
      <c r="AN135" s="33"/>
      <c r="AO135" s="33"/>
      <c r="AP135" s="33"/>
      <c r="AQ135" s="33"/>
      <c r="AR135" s="33"/>
      <c r="AS135" s="33"/>
      <c r="AT135" s="33"/>
      <c r="AU135" s="33"/>
      <c r="AV135" s="33"/>
      <c r="AW135" s="33"/>
      <c r="AX135" s="33"/>
      <c r="AY135" s="33"/>
      <c r="AZ135" s="33"/>
      <c r="BA135" s="33"/>
      <c r="BB135" s="33"/>
      <c r="BC135" s="33"/>
      <c r="BD135" s="33"/>
      <c r="BE135" s="33"/>
      <c r="BF135" s="33"/>
      <c r="BG135" s="33"/>
      <c r="BH135" s="33"/>
      <c r="BI135" s="33"/>
      <c r="BJ135" s="33"/>
      <c r="BK135" s="33"/>
      <c r="BL135" s="33"/>
      <c r="BM135" s="33"/>
      <c r="BN135" s="33"/>
      <c r="BO135" s="33"/>
    </row>
    <row r="136" spans="1:67">
      <c r="A136" s="11"/>
      <c r="B136" s="11" t="s">
        <v>166</v>
      </c>
      <c r="C136" s="11"/>
      <c r="D136" s="16">
        <v>7.0000000000000007E-2</v>
      </c>
      <c r="E136" s="10" t="s">
        <v>53</v>
      </c>
      <c r="F136" s="10"/>
      <c r="G136" s="33"/>
      <c r="H136" s="33"/>
      <c r="I136" s="33"/>
      <c r="J136" s="33"/>
      <c r="K136" s="33"/>
      <c r="L136" s="33"/>
      <c r="M136" s="33"/>
      <c r="N136" s="33"/>
      <c r="O136" s="33"/>
      <c r="P136" s="33"/>
      <c r="Q136" s="33"/>
      <c r="R136" s="33"/>
      <c r="S136" s="33"/>
      <c r="T136" s="33"/>
      <c r="U136" s="33"/>
      <c r="V136" s="33"/>
      <c r="W136" s="33"/>
      <c r="X136" s="33"/>
      <c r="Y136" s="33"/>
      <c r="Z136" s="33"/>
      <c r="AA136" s="33"/>
      <c r="AB136" s="33"/>
      <c r="AC136" s="33"/>
      <c r="AD136" s="33"/>
      <c r="AE136" s="33"/>
      <c r="AF136" s="33"/>
      <c r="AG136" s="33"/>
      <c r="AH136" s="33"/>
      <c r="AI136" s="33"/>
      <c r="AJ136" s="33"/>
      <c r="AK136" s="33"/>
      <c r="AL136" s="33"/>
      <c r="AM136" s="33"/>
      <c r="AN136" s="33"/>
      <c r="AO136" s="33"/>
      <c r="AP136" s="33"/>
      <c r="AQ136" s="33"/>
      <c r="AR136" s="33"/>
      <c r="AS136" s="33"/>
      <c r="AT136" s="33"/>
      <c r="AU136" s="33"/>
      <c r="AV136" s="33"/>
      <c r="AW136" s="33"/>
      <c r="AX136" s="33"/>
      <c r="AY136" s="33"/>
      <c r="AZ136" s="33"/>
      <c r="BA136" s="33"/>
      <c r="BB136" s="33"/>
      <c r="BC136" s="33"/>
      <c r="BD136" s="33"/>
      <c r="BE136" s="33"/>
      <c r="BF136" s="33"/>
      <c r="BG136" s="33"/>
      <c r="BH136" s="33"/>
      <c r="BI136" s="33"/>
      <c r="BJ136" s="33"/>
      <c r="BK136" s="33"/>
      <c r="BL136" s="33"/>
      <c r="BM136" s="33"/>
      <c r="BN136" s="33"/>
      <c r="BO136" s="33"/>
    </row>
    <row r="137" spans="1:67">
      <c r="A137" s="11"/>
      <c r="B137" s="11" t="s">
        <v>167</v>
      </c>
      <c r="C137" s="11"/>
      <c r="D137" s="92">
        <v>1</v>
      </c>
      <c r="E137" s="10" t="s">
        <v>168</v>
      </c>
      <c r="F137" s="10"/>
      <c r="G137" s="33"/>
      <c r="H137" s="33"/>
      <c r="I137" s="33"/>
      <c r="J137" s="33"/>
      <c r="K137" s="33"/>
      <c r="L137" s="33"/>
      <c r="M137" s="33"/>
      <c r="N137" s="33"/>
      <c r="O137" s="33"/>
      <c r="P137" s="33"/>
      <c r="Q137" s="33"/>
      <c r="R137" s="33"/>
      <c r="S137" s="33"/>
      <c r="T137" s="33"/>
      <c r="U137" s="33"/>
      <c r="V137" s="33"/>
      <c r="W137" s="33"/>
      <c r="X137" s="33"/>
      <c r="Y137" s="33"/>
      <c r="Z137" s="33"/>
      <c r="AA137" s="33"/>
      <c r="AB137" s="33"/>
      <c r="AC137" s="33"/>
      <c r="AD137" s="33"/>
      <c r="AE137" s="33"/>
      <c r="AF137" s="33"/>
      <c r="AG137" s="33"/>
      <c r="AH137" s="33"/>
      <c r="AI137" s="33"/>
      <c r="AJ137" s="33"/>
      <c r="AK137" s="33"/>
      <c r="AL137" s="33"/>
      <c r="AM137" s="33"/>
      <c r="AN137" s="33"/>
      <c r="AO137" s="33"/>
      <c r="AP137" s="33"/>
      <c r="AQ137" s="33"/>
      <c r="AR137" s="33"/>
      <c r="AS137" s="33"/>
      <c r="AT137" s="33"/>
      <c r="AU137" s="33"/>
      <c r="AV137" s="33"/>
      <c r="AW137" s="33"/>
      <c r="AX137" s="33"/>
      <c r="AY137" s="33"/>
      <c r="AZ137" s="33"/>
      <c r="BA137" s="33"/>
      <c r="BB137" s="33"/>
      <c r="BC137" s="33"/>
      <c r="BD137" s="33"/>
      <c r="BE137" s="33"/>
      <c r="BF137" s="33"/>
      <c r="BG137" s="33"/>
      <c r="BH137" s="33"/>
      <c r="BI137" s="33"/>
      <c r="BJ137" s="33"/>
      <c r="BK137" s="33"/>
      <c r="BL137" s="33"/>
      <c r="BM137" s="33"/>
      <c r="BN137" s="33"/>
      <c r="BO137" s="33"/>
    </row>
    <row r="138" spans="1:67">
      <c r="A138" s="11"/>
      <c r="B138" s="11" t="s">
        <v>169</v>
      </c>
      <c r="C138" s="11"/>
      <c r="D138" s="92">
        <v>7</v>
      </c>
      <c r="E138" s="10" t="s">
        <v>45</v>
      </c>
      <c r="F138" s="10"/>
      <c r="G138" s="33"/>
      <c r="H138" s="33"/>
      <c r="I138" s="33"/>
      <c r="J138" s="33"/>
      <c r="K138" s="33"/>
      <c r="L138" s="33"/>
      <c r="M138" s="33"/>
      <c r="N138" s="33"/>
      <c r="O138" s="33"/>
      <c r="P138" s="33"/>
      <c r="Q138" s="33"/>
      <c r="R138" s="33"/>
      <c r="S138" s="33"/>
      <c r="T138" s="33"/>
      <c r="U138" s="33"/>
      <c r="V138" s="33"/>
      <c r="W138" s="33"/>
      <c r="X138" s="33"/>
      <c r="Y138" s="33"/>
      <c r="Z138" s="33"/>
      <c r="AA138" s="33"/>
      <c r="AB138" s="33"/>
      <c r="AC138" s="33"/>
      <c r="AD138" s="33"/>
      <c r="AE138" s="33"/>
      <c r="AF138" s="33"/>
      <c r="AG138" s="33"/>
      <c r="AH138" s="33"/>
      <c r="AI138" s="33"/>
      <c r="AJ138" s="33"/>
      <c r="AK138" s="33"/>
      <c r="AL138" s="33"/>
      <c r="AM138" s="33"/>
      <c r="AN138" s="33"/>
      <c r="AO138" s="33"/>
      <c r="AP138" s="33"/>
      <c r="AQ138" s="33"/>
      <c r="AR138" s="33"/>
      <c r="AS138" s="33"/>
      <c r="AT138" s="33"/>
      <c r="AU138" s="33"/>
      <c r="AV138" s="33"/>
      <c r="AW138" s="33"/>
      <c r="AX138" s="33"/>
      <c r="AY138" s="33"/>
      <c r="AZ138" s="33"/>
      <c r="BA138" s="33"/>
      <c r="BB138" s="33"/>
      <c r="BC138" s="33"/>
      <c r="BD138" s="33"/>
      <c r="BE138" s="33"/>
      <c r="BF138" s="33"/>
      <c r="BG138" s="33"/>
      <c r="BH138" s="33"/>
      <c r="BI138" s="33"/>
      <c r="BJ138" s="33"/>
      <c r="BK138" s="33"/>
      <c r="BL138" s="33"/>
      <c r="BM138" s="33"/>
      <c r="BN138" s="33"/>
      <c r="BO138" s="33"/>
    </row>
    <row r="139" spans="1:67">
      <c r="A139" s="11"/>
      <c r="B139" s="11" t="s">
        <v>170</v>
      </c>
      <c r="C139" s="11"/>
      <c r="D139" s="92">
        <v>12</v>
      </c>
      <c r="E139" s="10" t="s">
        <v>171</v>
      </c>
      <c r="F139" s="10"/>
      <c r="G139" s="33"/>
      <c r="H139" s="33"/>
      <c r="I139" s="33"/>
      <c r="J139" s="33"/>
      <c r="K139" s="33"/>
      <c r="L139" s="33"/>
      <c r="M139" s="33"/>
      <c r="N139" s="33"/>
      <c r="O139" s="33"/>
      <c r="P139" s="33"/>
      <c r="Q139" s="33"/>
      <c r="R139" s="33"/>
      <c r="S139" s="33"/>
      <c r="T139" s="33"/>
      <c r="U139" s="33"/>
      <c r="V139" s="33"/>
      <c r="W139" s="33"/>
      <c r="X139" s="33"/>
      <c r="Y139" s="33"/>
      <c r="Z139" s="33"/>
      <c r="AA139" s="33"/>
      <c r="AB139" s="33"/>
      <c r="AC139" s="33"/>
      <c r="AD139" s="33"/>
      <c r="AE139" s="33"/>
      <c r="AF139" s="33"/>
      <c r="AG139" s="33"/>
      <c r="AH139" s="33"/>
      <c r="AI139" s="33"/>
      <c r="AJ139" s="33"/>
      <c r="AK139" s="33"/>
      <c r="AL139" s="33"/>
      <c r="AM139" s="33"/>
      <c r="AN139" s="33"/>
      <c r="AO139" s="33"/>
      <c r="AP139" s="33"/>
      <c r="AQ139" s="33"/>
      <c r="AR139" s="33"/>
      <c r="AS139" s="33"/>
      <c r="AT139" s="33"/>
      <c r="AU139" s="33"/>
      <c r="AV139" s="33"/>
      <c r="AW139" s="33"/>
      <c r="AX139" s="33"/>
      <c r="AY139" s="33"/>
      <c r="AZ139" s="33"/>
      <c r="BA139" s="33"/>
      <c r="BB139" s="33"/>
      <c r="BC139" s="33"/>
      <c r="BD139" s="33"/>
      <c r="BE139" s="33"/>
      <c r="BF139" s="33"/>
      <c r="BG139" s="33"/>
      <c r="BH139" s="33"/>
      <c r="BI139" s="33"/>
      <c r="BJ139" s="33"/>
      <c r="BK139" s="33"/>
      <c r="BL139" s="33"/>
      <c r="BM139" s="33"/>
      <c r="BN139" s="33"/>
      <c r="BO139" s="33"/>
    </row>
    <row r="140" spans="1:67">
      <c r="A140" s="11"/>
      <c r="B140" s="11" t="s">
        <v>1774</v>
      </c>
      <c r="C140" s="11"/>
      <c r="D140" s="16">
        <v>0.03</v>
      </c>
      <c r="E140" s="10" t="s">
        <v>172</v>
      </c>
      <c r="F140" s="10"/>
      <c r="G140" s="33"/>
      <c r="H140" s="33"/>
      <c r="I140" s="33"/>
      <c r="J140" s="33"/>
      <c r="K140" s="33"/>
      <c r="L140" s="33"/>
      <c r="M140" s="33"/>
      <c r="N140" s="33"/>
      <c r="O140" s="33"/>
      <c r="P140" s="33"/>
      <c r="Q140" s="33"/>
      <c r="R140" s="33"/>
      <c r="S140" s="33"/>
      <c r="T140" s="33"/>
      <c r="U140" s="33"/>
      <c r="V140" s="33"/>
      <c r="W140" s="33"/>
      <c r="X140" s="33"/>
      <c r="Y140" s="33"/>
      <c r="Z140" s="33"/>
      <c r="AA140" s="33"/>
      <c r="AB140" s="33"/>
      <c r="AC140" s="33"/>
      <c r="AD140" s="33"/>
      <c r="AE140" s="33"/>
      <c r="AF140" s="33"/>
      <c r="AG140" s="33"/>
      <c r="AH140" s="33"/>
      <c r="AI140" s="33"/>
      <c r="AJ140" s="33"/>
      <c r="AK140" s="33"/>
      <c r="AL140" s="33"/>
      <c r="AM140" s="33"/>
      <c r="AN140" s="33"/>
      <c r="AO140" s="33"/>
      <c r="AP140" s="33"/>
      <c r="AQ140" s="33"/>
      <c r="AR140" s="33"/>
      <c r="AS140" s="33"/>
      <c r="AT140" s="33"/>
      <c r="AU140" s="33"/>
      <c r="AV140" s="33"/>
      <c r="AW140" s="33"/>
      <c r="AX140" s="33"/>
      <c r="AY140" s="33"/>
      <c r="AZ140" s="33"/>
      <c r="BA140" s="33"/>
      <c r="BB140" s="33"/>
      <c r="BC140" s="33"/>
      <c r="BD140" s="33"/>
      <c r="BE140" s="33"/>
      <c r="BF140" s="33"/>
      <c r="BG140" s="33"/>
      <c r="BH140" s="33"/>
      <c r="BI140" s="33"/>
      <c r="BJ140" s="33"/>
      <c r="BK140" s="33"/>
      <c r="BL140" s="33"/>
      <c r="BM140" s="33"/>
      <c r="BN140" s="33"/>
      <c r="BO140" s="33"/>
    </row>
    <row r="141" spans="1:67">
      <c r="A141" s="11"/>
      <c r="B141" s="11" t="s">
        <v>173</v>
      </c>
      <c r="C141" s="11"/>
      <c r="D141" s="16">
        <v>5.0000000000000001E-3</v>
      </c>
      <c r="E141" s="10" t="s">
        <v>53</v>
      </c>
      <c r="F141" s="10"/>
      <c r="G141" s="33"/>
      <c r="H141" s="33"/>
      <c r="I141" s="33"/>
      <c r="J141" s="33"/>
      <c r="K141" s="33"/>
      <c r="L141" s="33"/>
      <c r="M141" s="33"/>
      <c r="N141" s="33"/>
      <c r="O141" s="33"/>
      <c r="P141" s="33"/>
      <c r="Q141" s="33"/>
      <c r="R141" s="33"/>
      <c r="S141" s="33"/>
      <c r="T141" s="33"/>
      <c r="U141" s="33"/>
      <c r="V141" s="33"/>
      <c r="W141" s="33"/>
      <c r="X141" s="33"/>
      <c r="Y141" s="33"/>
      <c r="Z141" s="33"/>
      <c r="AA141" s="33"/>
      <c r="AB141" s="33"/>
      <c r="AC141" s="33"/>
      <c r="AD141" s="33"/>
      <c r="AE141" s="33"/>
      <c r="AF141" s="33"/>
      <c r="AG141" s="33"/>
      <c r="AH141" s="33"/>
      <c r="AI141" s="33"/>
      <c r="AJ141" s="33"/>
      <c r="AK141" s="33"/>
      <c r="AL141" s="33"/>
      <c r="AM141" s="33"/>
      <c r="AN141" s="33"/>
      <c r="AO141" s="33"/>
      <c r="AP141" s="33"/>
      <c r="AQ141" s="33"/>
      <c r="AR141" s="33"/>
      <c r="AS141" s="33"/>
      <c r="AT141" s="33"/>
      <c r="AU141" s="33"/>
      <c r="AV141" s="33"/>
      <c r="AW141" s="33"/>
      <c r="AX141" s="33"/>
      <c r="AY141" s="33"/>
      <c r="AZ141" s="33"/>
      <c r="BA141" s="33"/>
      <c r="BB141" s="33"/>
      <c r="BC141" s="33"/>
      <c r="BD141" s="33"/>
      <c r="BE141" s="33"/>
      <c r="BF141" s="33"/>
      <c r="BG141" s="33"/>
      <c r="BH141" s="33"/>
      <c r="BI141" s="33"/>
      <c r="BJ141" s="33"/>
      <c r="BK141" s="33"/>
      <c r="BL141" s="33"/>
      <c r="BM141" s="33"/>
      <c r="BN141" s="33"/>
      <c r="BO141" s="33"/>
    </row>
    <row r="142" spans="1:67">
      <c r="A142" s="11"/>
      <c r="B142" s="11" t="s">
        <v>174</v>
      </c>
      <c r="C142" s="11"/>
      <c r="D142" s="66">
        <v>1.2</v>
      </c>
      <c r="E142" s="10" t="s">
        <v>175</v>
      </c>
      <c r="F142" s="10"/>
      <c r="G142" s="33"/>
      <c r="H142" s="33"/>
      <c r="I142" s="33"/>
      <c r="J142" s="33"/>
      <c r="K142" s="33"/>
      <c r="L142" s="33"/>
      <c r="M142" s="33"/>
      <c r="N142" s="33"/>
      <c r="O142" s="33"/>
      <c r="P142" s="33"/>
      <c r="Q142" s="33"/>
      <c r="R142" s="33"/>
      <c r="S142" s="33"/>
      <c r="T142" s="33"/>
      <c r="U142" s="33"/>
      <c r="V142" s="33"/>
      <c r="W142" s="33"/>
      <c r="X142" s="33"/>
      <c r="Y142" s="33"/>
      <c r="Z142" s="33"/>
      <c r="AA142" s="33"/>
      <c r="AB142" s="33"/>
      <c r="AC142" s="33"/>
      <c r="AD142" s="33"/>
      <c r="AE142" s="33"/>
      <c r="AF142" s="33"/>
      <c r="AG142" s="33"/>
      <c r="AH142" s="33"/>
      <c r="AI142" s="33"/>
      <c r="AJ142" s="33"/>
      <c r="AK142" s="33"/>
      <c r="AL142" s="33"/>
      <c r="AM142" s="33"/>
      <c r="AN142" s="33"/>
      <c r="AO142" s="33"/>
      <c r="AP142" s="33"/>
      <c r="AQ142" s="33"/>
      <c r="AR142" s="33"/>
      <c r="AS142" s="33"/>
      <c r="AT142" s="33"/>
      <c r="AU142" s="33"/>
      <c r="AV142" s="33"/>
      <c r="AW142" s="33"/>
      <c r="AX142" s="33"/>
      <c r="AY142" s="33"/>
      <c r="AZ142" s="33"/>
      <c r="BA142" s="33"/>
      <c r="BB142" s="33"/>
      <c r="BC142" s="33"/>
      <c r="BD142" s="33"/>
      <c r="BE142" s="33"/>
      <c r="BF142" s="33"/>
      <c r="BG142" s="33"/>
      <c r="BH142" s="33"/>
      <c r="BI142" s="33"/>
      <c r="BJ142" s="33"/>
      <c r="BK142" s="33"/>
      <c r="BL142" s="33"/>
      <c r="BM142" s="33"/>
      <c r="BN142" s="33"/>
      <c r="BO142" s="33"/>
    </row>
    <row r="143" spans="1:67">
      <c r="A143" s="11"/>
      <c r="B143" s="11"/>
      <c r="C143" s="11"/>
      <c r="D143" s="33"/>
      <c r="E143" s="33"/>
      <c r="F143" s="33"/>
      <c r="G143" s="33"/>
      <c r="H143" s="33"/>
      <c r="I143" s="33"/>
      <c r="J143" s="33"/>
      <c r="K143" s="33"/>
      <c r="L143" s="33"/>
      <c r="M143" s="33"/>
      <c r="N143" s="33"/>
      <c r="O143" s="33"/>
      <c r="P143" s="33"/>
      <c r="Q143" s="33"/>
      <c r="R143" s="33"/>
      <c r="S143" s="33"/>
      <c r="T143" s="33"/>
      <c r="U143" s="33"/>
      <c r="V143" s="33"/>
      <c r="W143" s="33"/>
      <c r="X143" s="33"/>
      <c r="Y143" s="33"/>
      <c r="Z143" s="33"/>
      <c r="AA143" s="33"/>
      <c r="AB143" s="33"/>
      <c r="AC143" s="33"/>
      <c r="AD143" s="33"/>
      <c r="AE143" s="33"/>
      <c r="AF143" s="33"/>
      <c r="AG143" s="33"/>
      <c r="AH143" s="33"/>
      <c r="AI143" s="33"/>
      <c r="AJ143" s="33"/>
      <c r="AK143" s="33"/>
      <c r="AL143" s="33"/>
      <c r="AM143" s="33"/>
      <c r="AN143" s="33"/>
      <c r="AO143" s="33"/>
      <c r="AP143" s="33"/>
      <c r="AQ143" s="33"/>
      <c r="AR143" s="33"/>
      <c r="AS143" s="33"/>
      <c r="AT143" s="33"/>
      <c r="AU143" s="33"/>
      <c r="AV143" s="33"/>
      <c r="AW143" s="33"/>
      <c r="AX143" s="33"/>
      <c r="AY143" s="33"/>
      <c r="AZ143" s="33"/>
      <c r="BA143" s="33"/>
      <c r="BB143" s="33"/>
      <c r="BC143" s="33"/>
      <c r="BD143" s="33"/>
      <c r="BE143" s="33"/>
      <c r="BF143" s="33"/>
      <c r="BG143" s="33"/>
      <c r="BH143" s="33"/>
      <c r="BI143" s="33"/>
      <c r="BJ143" s="33"/>
      <c r="BK143" s="33"/>
      <c r="BL143" s="33"/>
      <c r="BM143" s="33"/>
      <c r="BN143" s="33"/>
      <c r="BO143" s="33"/>
    </row>
    <row r="144" spans="1:67">
      <c r="A144" s="18" t="s">
        <v>132</v>
      </c>
      <c r="B144" s="18"/>
      <c r="C144" s="18"/>
      <c r="D144" s="39"/>
      <c r="E144" s="39"/>
      <c r="F144" s="39"/>
      <c r="G144" s="39"/>
      <c r="H144" s="39"/>
      <c r="I144" s="39"/>
      <c r="J144" s="39"/>
      <c r="K144" s="39"/>
      <c r="L144" s="39"/>
      <c r="M144" s="39"/>
      <c r="N144" s="39"/>
      <c r="O144" s="39"/>
      <c r="P144" s="39"/>
      <c r="Q144" s="39"/>
      <c r="R144" s="39"/>
      <c r="S144" s="39"/>
      <c r="T144" s="39"/>
      <c r="U144" s="39"/>
      <c r="V144" s="39"/>
      <c r="W144" s="39"/>
      <c r="X144" s="39"/>
      <c r="Y144" s="39"/>
      <c r="Z144" s="39"/>
      <c r="AA144" s="39"/>
      <c r="AB144" s="39"/>
      <c r="AC144" s="39"/>
      <c r="AD144" s="39"/>
      <c r="AE144" s="39"/>
      <c r="AF144" s="39"/>
      <c r="AG144" s="39"/>
      <c r="AH144" s="39"/>
      <c r="AI144" s="39"/>
      <c r="AJ144" s="39"/>
      <c r="AK144" s="39"/>
      <c r="AL144" s="39"/>
      <c r="AM144" s="39"/>
      <c r="AN144" s="39"/>
      <c r="AO144" s="39"/>
      <c r="AP144" s="39"/>
      <c r="AQ144" s="39"/>
      <c r="AR144" s="39"/>
      <c r="AS144" s="39"/>
      <c r="AT144" s="39"/>
      <c r="AU144" s="39"/>
      <c r="AV144" s="39"/>
      <c r="AW144" s="39"/>
      <c r="AX144" s="39"/>
      <c r="AY144" s="39"/>
      <c r="AZ144" s="39"/>
      <c r="BA144" s="39"/>
      <c r="BB144" s="39"/>
      <c r="BC144" s="39"/>
      <c r="BD144" s="39"/>
      <c r="BE144" s="39"/>
      <c r="BF144" s="39"/>
      <c r="BG144" s="39"/>
      <c r="BH144" s="39"/>
      <c r="BI144" s="39"/>
      <c r="BJ144" s="39"/>
      <c r="BK144" s="39"/>
      <c r="BL144" s="39"/>
      <c r="BM144" s="39"/>
      <c r="BN144" s="39"/>
      <c r="BO144" s="39"/>
    </row>
    <row r="145" spans="1:67">
      <c r="A145" s="11"/>
      <c r="B145" s="11" t="s">
        <v>204</v>
      </c>
      <c r="C145" s="11"/>
      <c r="D145" s="6">
        <f>1-D135</f>
        <v>0.5</v>
      </c>
      <c r="E145" s="10" t="s">
        <v>7</v>
      </c>
      <c r="F145" s="10"/>
      <c r="G145" s="33"/>
      <c r="H145" s="33"/>
      <c r="I145" s="33"/>
      <c r="J145" s="33"/>
      <c r="K145" s="33"/>
      <c r="L145" s="33"/>
      <c r="M145" s="33"/>
      <c r="N145" s="33"/>
      <c r="O145" s="33"/>
      <c r="P145" s="33"/>
      <c r="Q145" s="33"/>
      <c r="R145" s="33"/>
      <c r="S145" s="33"/>
      <c r="T145" s="33"/>
      <c r="U145" s="33"/>
      <c r="V145" s="33"/>
      <c r="W145" s="33"/>
      <c r="X145" s="33"/>
      <c r="Y145" s="33"/>
      <c r="Z145" s="33"/>
      <c r="AA145" s="33"/>
      <c r="AB145" s="33"/>
      <c r="AC145" s="33"/>
      <c r="AD145" s="33"/>
      <c r="AE145" s="33"/>
      <c r="AF145" s="33"/>
      <c r="AG145" s="33"/>
      <c r="AH145" s="33"/>
      <c r="AI145" s="33"/>
      <c r="AJ145" s="33"/>
      <c r="AK145" s="33"/>
      <c r="AL145" s="33"/>
      <c r="AM145" s="33"/>
      <c r="AN145" s="33"/>
      <c r="AO145" s="33"/>
      <c r="AP145" s="33"/>
      <c r="AQ145" s="33"/>
      <c r="AR145" s="33"/>
      <c r="AS145" s="33"/>
      <c r="AT145" s="33"/>
      <c r="AU145" s="33"/>
      <c r="AV145" s="33"/>
      <c r="AW145" s="33"/>
      <c r="AX145" s="33"/>
      <c r="AY145" s="33"/>
      <c r="AZ145" s="33"/>
      <c r="BA145" s="33"/>
      <c r="BB145" s="33"/>
      <c r="BC145" s="33"/>
      <c r="BD145" s="33"/>
      <c r="BE145" s="33"/>
      <c r="BF145" s="33"/>
      <c r="BG145" s="33"/>
      <c r="BH145" s="33"/>
      <c r="BI145" s="33"/>
      <c r="BJ145" s="33"/>
      <c r="BK145" s="33"/>
      <c r="BL145" s="33"/>
      <c r="BM145" s="33"/>
      <c r="BN145" s="33"/>
      <c r="BO145" s="33"/>
    </row>
    <row r="146" spans="1:67">
      <c r="A146" s="11"/>
      <c r="B146" s="11" t="s">
        <v>176</v>
      </c>
      <c r="C146" s="11"/>
      <c r="D146" s="16">
        <v>0.1</v>
      </c>
      <c r="E146" s="10" t="s">
        <v>7</v>
      </c>
      <c r="F146" s="10"/>
      <c r="G146" s="33"/>
      <c r="H146" s="33"/>
      <c r="I146" s="33"/>
      <c r="J146" s="33"/>
      <c r="K146" s="33"/>
      <c r="L146" s="33"/>
      <c r="M146" s="33"/>
      <c r="N146" s="33"/>
      <c r="O146" s="33"/>
      <c r="P146" s="33"/>
      <c r="Q146" s="33"/>
      <c r="R146" s="33"/>
      <c r="S146" s="33"/>
      <c r="T146" s="33"/>
      <c r="U146" s="33"/>
      <c r="V146" s="33"/>
      <c r="W146" s="33"/>
      <c r="X146" s="33"/>
      <c r="Y146" s="33"/>
      <c r="Z146" s="33"/>
      <c r="AA146" s="33"/>
      <c r="AB146" s="33"/>
      <c r="AC146" s="33"/>
      <c r="AD146" s="33"/>
      <c r="AE146" s="33"/>
      <c r="AF146" s="33"/>
      <c r="AG146" s="33"/>
      <c r="AH146" s="33"/>
      <c r="AI146" s="33"/>
      <c r="AJ146" s="33"/>
      <c r="AK146" s="33"/>
      <c r="AL146" s="33"/>
      <c r="AM146" s="33"/>
      <c r="AN146" s="33"/>
      <c r="AO146" s="33"/>
      <c r="AP146" s="33"/>
      <c r="AQ146" s="33"/>
      <c r="AR146" s="33"/>
      <c r="AS146" s="33"/>
      <c r="AT146" s="33"/>
      <c r="AU146" s="33"/>
      <c r="AV146" s="33"/>
      <c r="AW146" s="33"/>
      <c r="AX146" s="33"/>
      <c r="AY146" s="33"/>
      <c r="AZ146" s="33"/>
      <c r="BA146" s="33"/>
      <c r="BB146" s="33"/>
      <c r="BC146" s="33"/>
      <c r="BD146" s="33"/>
      <c r="BE146" s="33"/>
      <c r="BF146" s="33"/>
      <c r="BG146" s="33"/>
      <c r="BH146" s="33"/>
      <c r="BI146" s="33"/>
      <c r="BJ146" s="33"/>
      <c r="BK146" s="33"/>
      <c r="BL146" s="33"/>
      <c r="BM146" s="33"/>
      <c r="BN146" s="33"/>
      <c r="BO146" s="33"/>
    </row>
    <row r="147" spans="1:67">
      <c r="A147" s="11"/>
      <c r="B147" s="11" t="s">
        <v>177</v>
      </c>
      <c r="C147" s="11"/>
      <c r="D147" s="16">
        <v>0.5</v>
      </c>
      <c r="E147" s="10" t="s">
        <v>178</v>
      </c>
      <c r="F147" s="10"/>
      <c r="G147" s="33"/>
      <c r="H147" s="33"/>
      <c r="I147" s="33"/>
      <c r="J147" s="33"/>
      <c r="K147" s="33"/>
      <c r="L147" s="33"/>
      <c r="M147" s="33"/>
      <c r="N147" s="33"/>
      <c r="O147" s="33"/>
      <c r="P147" s="33"/>
      <c r="Q147" s="33"/>
      <c r="R147" s="33"/>
      <c r="S147" s="33"/>
      <c r="T147" s="33"/>
      <c r="U147" s="33"/>
      <c r="V147" s="33"/>
      <c r="W147" s="33"/>
      <c r="X147" s="33"/>
      <c r="Y147" s="33"/>
      <c r="Z147" s="33"/>
      <c r="AA147" s="33"/>
      <c r="AB147" s="33"/>
      <c r="AC147" s="33"/>
      <c r="AD147" s="33"/>
      <c r="AE147" s="33"/>
      <c r="AF147" s="33"/>
      <c r="AG147" s="33"/>
      <c r="AH147" s="33"/>
      <c r="AI147" s="33"/>
      <c r="AJ147" s="33"/>
      <c r="AK147" s="33"/>
      <c r="AL147" s="33"/>
      <c r="AM147" s="33"/>
      <c r="AN147" s="33"/>
      <c r="AO147" s="33"/>
      <c r="AP147" s="33"/>
      <c r="AQ147" s="33"/>
      <c r="AR147" s="33"/>
      <c r="AS147" s="33"/>
      <c r="AT147" s="33"/>
      <c r="AU147" s="33"/>
      <c r="AV147" s="33"/>
      <c r="AW147" s="33"/>
      <c r="AX147" s="33"/>
      <c r="AY147" s="33"/>
      <c r="AZ147" s="33"/>
      <c r="BA147" s="33"/>
      <c r="BB147" s="33"/>
      <c r="BC147" s="33"/>
      <c r="BD147" s="33"/>
      <c r="BE147" s="33"/>
      <c r="BF147" s="33"/>
      <c r="BG147" s="33"/>
      <c r="BH147" s="33"/>
      <c r="BI147" s="33"/>
      <c r="BJ147" s="33"/>
      <c r="BK147" s="33"/>
      <c r="BL147" s="33"/>
      <c r="BM147" s="33"/>
      <c r="BN147" s="33"/>
      <c r="BO147" s="33"/>
    </row>
    <row r="148" spans="1:67">
      <c r="A148" s="11"/>
      <c r="B148" s="11" t="s">
        <v>179</v>
      </c>
      <c r="C148" s="11"/>
      <c r="D148" s="92">
        <v>1</v>
      </c>
      <c r="E148" s="10" t="s">
        <v>168</v>
      </c>
      <c r="F148" s="10"/>
      <c r="G148" s="33"/>
      <c r="H148" s="33"/>
      <c r="I148" s="33"/>
      <c r="J148" s="33"/>
      <c r="K148" s="33"/>
      <c r="L148" s="33"/>
      <c r="M148" s="33"/>
      <c r="N148" s="33"/>
      <c r="O148" s="33"/>
      <c r="P148" s="33"/>
      <c r="Q148" s="33"/>
      <c r="R148" s="33"/>
      <c r="S148" s="33"/>
      <c r="T148" s="33"/>
      <c r="U148" s="33"/>
      <c r="V148" s="33"/>
      <c r="W148" s="33"/>
      <c r="X148" s="33"/>
      <c r="Y148" s="33"/>
      <c r="Z148" s="33"/>
      <c r="AA148" s="33"/>
      <c r="AB148" s="33"/>
      <c r="AC148" s="33"/>
      <c r="AD148" s="33"/>
      <c r="AE148" s="33"/>
      <c r="AF148" s="33"/>
      <c r="AG148" s="33"/>
      <c r="AH148" s="33"/>
      <c r="AI148" s="33"/>
      <c r="AJ148" s="33"/>
      <c r="AK148" s="33"/>
      <c r="AL148" s="33"/>
      <c r="AM148" s="33"/>
      <c r="AN148" s="33"/>
      <c r="AO148" s="33"/>
      <c r="AP148" s="33"/>
      <c r="AQ148" s="33"/>
      <c r="AR148" s="33"/>
      <c r="AS148" s="33"/>
      <c r="AT148" s="33"/>
      <c r="AU148" s="33"/>
      <c r="AV148" s="33"/>
      <c r="AW148" s="33"/>
      <c r="AX148" s="33"/>
      <c r="AY148" s="33"/>
      <c r="AZ148" s="33"/>
      <c r="BA148" s="33"/>
      <c r="BB148" s="33"/>
      <c r="BC148" s="33"/>
      <c r="BD148" s="33"/>
      <c r="BE148" s="33"/>
      <c r="BF148" s="33"/>
      <c r="BG148" s="33"/>
      <c r="BH148" s="33"/>
      <c r="BI148" s="33"/>
      <c r="BJ148" s="33"/>
      <c r="BK148" s="33"/>
      <c r="BL148" s="33"/>
      <c r="BM148" s="33"/>
      <c r="BN148" s="33"/>
      <c r="BO148" s="33"/>
    </row>
    <row r="149" spans="1:67">
      <c r="A149" s="11"/>
      <c r="B149" s="11"/>
      <c r="C149" s="11"/>
      <c r="D149" s="33"/>
      <c r="E149" s="33"/>
      <c r="F149" s="33"/>
      <c r="G149" s="33"/>
      <c r="H149" s="33"/>
      <c r="I149" s="33"/>
      <c r="J149" s="33"/>
      <c r="K149" s="33"/>
      <c r="L149" s="33"/>
      <c r="M149" s="33"/>
      <c r="N149" s="33"/>
      <c r="O149" s="33"/>
      <c r="P149" s="33"/>
      <c r="Q149" s="33"/>
      <c r="R149" s="33"/>
      <c r="S149" s="33"/>
      <c r="T149" s="33"/>
      <c r="U149" s="33"/>
      <c r="V149" s="33"/>
      <c r="W149" s="33"/>
      <c r="X149" s="33"/>
      <c r="Y149" s="33"/>
      <c r="Z149" s="33"/>
      <c r="AA149" s="33"/>
      <c r="AB149" s="33"/>
      <c r="AC149" s="33"/>
      <c r="AD149" s="33"/>
      <c r="AE149" s="33"/>
      <c r="AF149" s="33"/>
      <c r="AG149" s="33"/>
      <c r="AH149" s="33"/>
      <c r="AI149" s="33"/>
      <c r="AJ149" s="33"/>
      <c r="AK149" s="33"/>
      <c r="AL149" s="33"/>
      <c r="AM149" s="33"/>
      <c r="AN149" s="33"/>
      <c r="AO149" s="33"/>
      <c r="AP149" s="33"/>
      <c r="AQ149" s="33"/>
      <c r="AR149" s="33"/>
      <c r="AS149" s="33"/>
      <c r="AT149" s="33"/>
      <c r="AU149" s="33"/>
      <c r="AV149" s="33"/>
      <c r="AW149" s="33"/>
      <c r="AX149" s="33"/>
      <c r="AY149" s="33"/>
      <c r="AZ149" s="33"/>
      <c r="BA149" s="33"/>
      <c r="BB149" s="33"/>
      <c r="BC149" s="33"/>
      <c r="BD149" s="33"/>
      <c r="BE149" s="33"/>
      <c r="BF149" s="33"/>
      <c r="BG149" s="33"/>
      <c r="BH149" s="33"/>
      <c r="BI149" s="33"/>
      <c r="BJ149" s="33"/>
      <c r="BK149" s="33"/>
      <c r="BL149" s="33"/>
      <c r="BM149" s="33"/>
      <c r="BN149" s="33"/>
      <c r="BO149" s="33"/>
    </row>
    <row r="150" spans="1:67">
      <c r="A150" s="18" t="s">
        <v>133</v>
      </c>
      <c r="B150" s="18"/>
      <c r="C150" s="18"/>
      <c r="D150" s="39"/>
      <c r="E150" s="39"/>
      <c r="F150" s="39"/>
      <c r="G150" s="39"/>
      <c r="H150" s="39"/>
      <c r="I150" s="39"/>
      <c r="J150" s="39"/>
      <c r="K150" s="39"/>
      <c r="L150" s="39"/>
      <c r="M150" s="39"/>
      <c r="N150" s="39"/>
      <c r="O150" s="39"/>
      <c r="P150" s="39"/>
      <c r="Q150" s="39"/>
      <c r="R150" s="39"/>
      <c r="S150" s="39"/>
      <c r="T150" s="39"/>
      <c r="U150" s="39"/>
      <c r="V150" s="39"/>
      <c r="W150" s="39"/>
      <c r="X150" s="39"/>
      <c r="Y150" s="39"/>
      <c r="Z150" s="39"/>
      <c r="AA150" s="39"/>
      <c r="AB150" s="39"/>
      <c r="AC150" s="39"/>
      <c r="AD150" s="39"/>
      <c r="AE150" s="39"/>
      <c r="AF150" s="39"/>
      <c r="AG150" s="39"/>
      <c r="AH150" s="39"/>
      <c r="AI150" s="39"/>
      <c r="AJ150" s="39"/>
      <c r="AK150" s="39"/>
      <c r="AL150" s="39"/>
      <c r="AM150" s="39"/>
      <c r="AN150" s="39"/>
      <c r="AO150" s="39"/>
      <c r="AP150" s="39"/>
      <c r="AQ150" s="39"/>
      <c r="AR150" s="39"/>
      <c r="AS150" s="39"/>
      <c r="AT150" s="39"/>
      <c r="AU150" s="39"/>
      <c r="AV150" s="39"/>
      <c r="AW150" s="39"/>
      <c r="AX150" s="39"/>
      <c r="AY150" s="39"/>
      <c r="AZ150" s="39"/>
      <c r="BA150" s="39"/>
      <c r="BB150" s="39"/>
      <c r="BC150" s="39"/>
      <c r="BD150" s="39"/>
      <c r="BE150" s="39"/>
      <c r="BF150" s="39"/>
      <c r="BG150" s="39"/>
      <c r="BH150" s="39"/>
      <c r="BI150" s="39"/>
      <c r="BJ150" s="39"/>
      <c r="BK150" s="39"/>
      <c r="BL150" s="39"/>
      <c r="BM150" s="39"/>
      <c r="BN150" s="39"/>
      <c r="BO150" s="39"/>
    </row>
    <row r="151" spans="1:67">
      <c r="A151" s="11"/>
      <c r="B151" s="11" t="s">
        <v>180</v>
      </c>
      <c r="C151" s="11"/>
      <c r="D151" s="16">
        <v>0.2</v>
      </c>
      <c r="E151" s="10" t="s">
        <v>7</v>
      </c>
      <c r="F151" s="10"/>
      <c r="G151" s="33"/>
      <c r="H151" s="33"/>
      <c r="I151" s="33"/>
      <c r="J151" s="33"/>
      <c r="K151" s="33"/>
      <c r="L151" s="33"/>
      <c r="M151" s="33"/>
      <c r="N151" s="33"/>
      <c r="O151" s="33"/>
      <c r="P151" s="33"/>
      <c r="Q151" s="33"/>
      <c r="R151" s="33"/>
      <c r="S151" s="33"/>
      <c r="T151" s="33"/>
      <c r="U151" s="33"/>
      <c r="V151" s="33"/>
      <c r="W151" s="33"/>
      <c r="X151" s="33"/>
      <c r="Y151" s="33"/>
      <c r="Z151" s="33"/>
      <c r="AA151" s="33"/>
      <c r="AB151" s="33"/>
      <c r="AC151" s="33"/>
      <c r="AD151" s="33"/>
      <c r="AE151" s="33"/>
      <c r="AF151" s="33"/>
      <c r="AG151" s="33"/>
      <c r="AH151" s="33"/>
      <c r="AI151" s="33"/>
      <c r="AJ151" s="33"/>
      <c r="AK151" s="33"/>
      <c r="AL151" s="33"/>
      <c r="AM151" s="33"/>
      <c r="AN151" s="33"/>
      <c r="AO151" s="33"/>
      <c r="AP151" s="33"/>
      <c r="AQ151" s="33"/>
      <c r="AR151" s="33"/>
      <c r="AS151" s="33"/>
      <c r="AT151" s="33"/>
      <c r="AU151" s="33"/>
      <c r="AV151" s="33"/>
      <c r="AW151" s="33"/>
      <c r="AX151" s="33"/>
      <c r="AY151" s="33"/>
      <c r="AZ151" s="33"/>
      <c r="BA151" s="33"/>
      <c r="BB151" s="33"/>
      <c r="BC151" s="33"/>
      <c r="BD151" s="33"/>
      <c r="BE151" s="33"/>
      <c r="BF151" s="33"/>
      <c r="BG151" s="33"/>
      <c r="BH151" s="33"/>
      <c r="BI151" s="33"/>
      <c r="BJ151" s="33"/>
      <c r="BK151" s="33"/>
      <c r="BL151" s="33"/>
      <c r="BM151" s="33"/>
      <c r="BN151" s="33"/>
      <c r="BO151" s="33"/>
    </row>
    <row r="152" spans="1:67">
      <c r="A152" s="11"/>
      <c r="B152" s="11" t="s">
        <v>181</v>
      </c>
      <c r="C152" s="11"/>
      <c r="D152" s="92">
        <v>8</v>
      </c>
      <c r="E152" s="10" t="s">
        <v>45</v>
      </c>
      <c r="F152" s="10"/>
      <c r="G152" s="33"/>
      <c r="H152" s="33"/>
      <c r="I152" s="33"/>
      <c r="J152" s="33"/>
      <c r="K152" s="33"/>
      <c r="L152" s="33"/>
      <c r="M152" s="33"/>
      <c r="N152" s="33"/>
      <c r="O152" s="33"/>
      <c r="P152" s="33"/>
      <c r="Q152" s="33"/>
      <c r="R152" s="33"/>
      <c r="S152" s="33"/>
      <c r="T152" s="33"/>
      <c r="U152" s="33"/>
      <c r="V152" s="33"/>
      <c r="W152" s="33"/>
      <c r="X152" s="33"/>
      <c r="Y152" s="33"/>
      <c r="Z152" s="33"/>
      <c r="AA152" s="33"/>
      <c r="AB152" s="33"/>
      <c r="AC152" s="33"/>
      <c r="AD152" s="33"/>
      <c r="AE152" s="33"/>
      <c r="AF152" s="33"/>
      <c r="AG152" s="33"/>
      <c r="AH152" s="33"/>
      <c r="AI152" s="33"/>
      <c r="AJ152" s="33"/>
      <c r="AK152" s="33"/>
      <c r="AL152" s="33"/>
      <c r="AM152" s="33"/>
      <c r="AN152" s="33"/>
      <c r="AO152" s="33"/>
      <c r="AP152" s="33"/>
      <c r="AQ152" s="33"/>
      <c r="AR152" s="33"/>
      <c r="AS152" s="33"/>
      <c r="AT152" s="33"/>
      <c r="AU152" s="33"/>
      <c r="AV152" s="33"/>
      <c r="AW152" s="33"/>
      <c r="AX152" s="33"/>
      <c r="AY152" s="33"/>
      <c r="AZ152" s="33"/>
      <c r="BA152" s="33"/>
      <c r="BB152" s="33"/>
      <c r="BC152" s="33"/>
      <c r="BD152" s="33"/>
      <c r="BE152" s="33"/>
      <c r="BF152" s="33"/>
      <c r="BG152" s="33"/>
      <c r="BH152" s="33"/>
      <c r="BI152" s="33"/>
      <c r="BJ152" s="33"/>
      <c r="BK152" s="33"/>
      <c r="BL152" s="33"/>
      <c r="BM152" s="33"/>
      <c r="BN152" s="33"/>
      <c r="BO152" s="33"/>
    </row>
    <row r="153" spans="1:67">
      <c r="A153" s="11"/>
      <c r="B153" s="11" t="s">
        <v>182</v>
      </c>
      <c r="C153" s="11"/>
      <c r="D153" s="92">
        <v>1</v>
      </c>
      <c r="E153" s="10" t="s">
        <v>168</v>
      </c>
      <c r="F153" s="10"/>
      <c r="G153" s="33"/>
      <c r="H153" s="33"/>
      <c r="I153" s="33"/>
      <c r="J153" s="33"/>
      <c r="K153" s="33"/>
      <c r="L153" s="33"/>
      <c r="M153" s="33"/>
      <c r="N153" s="33"/>
      <c r="O153" s="33"/>
      <c r="P153" s="33"/>
      <c r="Q153" s="33"/>
      <c r="R153" s="33"/>
      <c r="S153" s="33"/>
      <c r="T153" s="33"/>
      <c r="U153" s="33"/>
      <c r="V153" s="33"/>
      <c r="W153" s="33"/>
      <c r="X153" s="33"/>
      <c r="Y153" s="33"/>
      <c r="Z153" s="33"/>
      <c r="AA153" s="33"/>
      <c r="AB153" s="33"/>
      <c r="AC153" s="33"/>
      <c r="AD153" s="33"/>
      <c r="AE153" s="33"/>
      <c r="AF153" s="33"/>
      <c r="AG153" s="33"/>
      <c r="AH153" s="33"/>
      <c r="AI153" s="33"/>
      <c r="AJ153" s="33"/>
      <c r="AK153" s="33"/>
      <c r="AL153" s="33"/>
      <c r="AM153" s="33"/>
      <c r="AN153" s="33"/>
      <c r="AO153" s="33"/>
      <c r="AP153" s="33"/>
      <c r="AQ153" s="33"/>
      <c r="AR153" s="33"/>
      <c r="AS153" s="33"/>
      <c r="AT153" s="33"/>
      <c r="AU153" s="33"/>
      <c r="AV153" s="33"/>
      <c r="AW153" s="33"/>
      <c r="AX153" s="33"/>
      <c r="AY153" s="33"/>
      <c r="AZ153" s="33"/>
      <c r="BA153" s="33"/>
      <c r="BB153" s="33"/>
      <c r="BC153" s="33"/>
      <c r="BD153" s="33"/>
      <c r="BE153" s="33"/>
      <c r="BF153" s="33"/>
      <c r="BG153" s="33"/>
      <c r="BH153" s="33"/>
      <c r="BI153" s="33"/>
      <c r="BJ153" s="33"/>
      <c r="BK153" s="33"/>
      <c r="BL153" s="33"/>
      <c r="BM153" s="33"/>
      <c r="BN153" s="33"/>
      <c r="BO153" s="33"/>
    </row>
    <row r="154" spans="1:67">
      <c r="A154" s="11"/>
      <c r="B154" s="11" t="s">
        <v>183</v>
      </c>
      <c r="C154" s="11"/>
      <c r="D154" s="92">
        <v>5</v>
      </c>
      <c r="E154" s="10" t="s">
        <v>45</v>
      </c>
      <c r="F154" s="10"/>
      <c r="G154" s="33"/>
      <c r="H154" s="33"/>
      <c r="I154" s="33"/>
      <c r="J154" s="33"/>
      <c r="K154" s="33"/>
      <c r="L154" s="33"/>
      <c r="M154" s="33"/>
      <c r="N154" s="33"/>
      <c r="O154" s="33"/>
      <c r="P154" s="33"/>
      <c r="Q154" s="33"/>
      <c r="R154" s="33"/>
      <c r="S154" s="33"/>
      <c r="T154" s="33"/>
      <c r="U154" s="33"/>
      <c r="V154" s="33"/>
      <c r="W154" s="33"/>
      <c r="X154" s="33"/>
      <c r="Y154" s="33"/>
      <c r="Z154" s="33"/>
      <c r="AA154" s="33"/>
      <c r="AB154" s="33"/>
      <c r="AC154" s="33"/>
      <c r="AD154" s="33"/>
      <c r="AE154" s="33"/>
      <c r="AF154" s="33"/>
      <c r="AG154" s="33"/>
      <c r="AH154" s="33"/>
      <c r="AI154" s="33"/>
      <c r="AJ154" s="33"/>
      <c r="AK154" s="33"/>
      <c r="AL154" s="33"/>
      <c r="AM154" s="33"/>
      <c r="AN154" s="33"/>
      <c r="AO154" s="33"/>
      <c r="AP154" s="33"/>
      <c r="AQ154" s="33"/>
      <c r="AR154" s="33"/>
      <c r="AS154" s="33"/>
      <c r="AT154" s="33"/>
      <c r="AU154" s="33"/>
      <c r="AV154" s="33"/>
      <c r="AW154" s="33"/>
      <c r="AX154" s="33"/>
      <c r="AY154" s="33"/>
      <c r="AZ154" s="33"/>
      <c r="BA154" s="33"/>
      <c r="BB154" s="33"/>
      <c r="BC154" s="33"/>
      <c r="BD154" s="33"/>
      <c r="BE154" s="33"/>
      <c r="BF154" s="33"/>
      <c r="BG154" s="33"/>
      <c r="BH154" s="33"/>
      <c r="BI154" s="33"/>
      <c r="BJ154" s="33"/>
      <c r="BK154" s="33"/>
      <c r="BL154" s="33"/>
      <c r="BM154" s="33"/>
      <c r="BN154" s="33"/>
      <c r="BO154" s="33"/>
    </row>
    <row r="155" spans="1:67">
      <c r="A155" s="11"/>
      <c r="B155" s="11" t="s">
        <v>184</v>
      </c>
      <c r="C155" s="11"/>
      <c r="D155" s="16">
        <v>7.0000000000000007E-2</v>
      </c>
      <c r="E155" s="10" t="s">
        <v>7</v>
      </c>
      <c r="F155" s="10"/>
      <c r="G155" s="33"/>
      <c r="H155" s="33"/>
      <c r="I155" s="33"/>
      <c r="J155" s="33"/>
      <c r="K155" s="33"/>
      <c r="L155" s="33"/>
      <c r="M155" s="33"/>
      <c r="N155" s="33"/>
      <c r="O155" s="33"/>
      <c r="P155" s="33"/>
      <c r="Q155" s="33"/>
      <c r="R155" s="33"/>
      <c r="S155" s="33"/>
      <c r="T155" s="33"/>
      <c r="U155" s="33"/>
      <c r="V155" s="33"/>
      <c r="W155" s="33"/>
      <c r="X155" s="33"/>
      <c r="Y155" s="33"/>
      <c r="Z155" s="33"/>
      <c r="AA155" s="33"/>
      <c r="AB155" s="33"/>
      <c r="AC155" s="33"/>
      <c r="AD155" s="33"/>
      <c r="AE155" s="33"/>
      <c r="AF155" s="33"/>
      <c r="AG155" s="33"/>
      <c r="AH155" s="33"/>
      <c r="AI155" s="33"/>
      <c r="AJ155" s="33"/>
      <c r="AK155" s="33"/>
      <c r="AL155" s="33"/>
      <c r="AM155" s="33"/>
      <c r="AN155" s="33"/>
      <c r="AO155" s="33"/>
      <c r="AP155" s="33"/>
      <c r="AQ155" s="33"/>
      <c r="AR155" s="33"/>
      <c r="AS155" s="33"/>
      <c r="AT155" s="33"/>
      <c r="AU155" s="33"/>
      <c r="AV155" s="33"/>
      <c r="AW155" s="33"/>
      <c r="AX155" s="33"/>
      <c r="AY155" s="33"/>
      <c r="AZ155" s="33"/>
      <c r="BA155" s="33"/>
      <c r="BB155" s="33"/>
      <c r="BC155" s="33"/>
      <c r="BD155" s="33"/>
      <c r="BE155" s="33"/>
      <c r="BF155" s="33"/>
      <c r="BG155" s="33"/>
      <c r="BH155" s="33"/>
      <c r="BI155" s="33"/>
      <c r="BJ155" s="33"/>
      <c r="BK155" s="33"/>
      <c r="BL155" s="33"/>
      <c r="BM155" s="33"/>
      <c r="BN155" s="33"/>
      <c r="BO155" s="33"/>
    </row>
    <row r="156" spans="1:67">
      <c r="A156" s="11"/>
      <c r="B156" s="11" t="s">
        <v>185</v>
      </c>
      <c r="C156" s="11"/>
      <c r="D156" s="16">
        <v>0.1</v>
      </c>
      <c r="E156" s="10" t="s">
        <v>7</v>
      </c>
      <c r="F156" s="10"/>
      <c r="G156" s="33"/>
      <c r="H156" s="33"/>
      <c r="I156" s="33"/>
      <c r="J156" s="33"/>
      <c r="K156" s="33"/>
      <c r="L156" s="33"/>
      <c r="M156" s="33"/>
      <c r="N156" s="33"/>
      <c r="O156" s="33"/>
      <c r="P156" s="33"/>
      <c r="Q156" s="33"/>
      <c r="R156" s="33"/>
      <c r="S156" s="33"/>
      <c r="T156" s="33"/>
      <c r="U156" s="33"/>
      <c r="V156" s="33"/>
      <c r="W156" s="33"/>
      <c r="X156" s="33"/>
      <c r="Y156" s="33"/>
      <c r="Z156" s="33"/>
      <c r="AA156" s="33"/>
      <c r="AB156" s="33"/>
      <c r="AC156" s="33"/>
      <c r="AD156" s="33"/>
      <c r="AE156" s="33"/>
      <c r="AF156" s="33"/>
      <c r="AG156" s="33"/>
      <c r="AH156" s="33"/>
      <c r="AI156" s="33"/>
      <c r="AJ156" s="33"/>
      <c r="AK156" s="33"/>
      <c r="AL156" s="33"/>
      <c r="AM156" s="33"/>
      <c r="AN156" s="33"/>
      <c r="AO156" s="33"/>
      <c r="AP156" s="33"/>
      <c r="AQ156" s="33"/>
      <c r="AR156" s="33"/>
      <c r="AS156" s="33"/>
      <c r="AT156" s="33"/>
      <c r="AU156" s="33"/>
      <c r="AV156" s="33"/>
      <c r="AW156" s="33"/>
      <c r="AX156" s="33"/>
      <c r="AY156" s="33"/>
      <c r="AZ156" s="33"/>
      <c r="BA156" s="33"/>
      <c r="BB156" s="33"/>
      <c r="BC156" s="33"/>
      <c r="BD156" s="33"/>
      <c r="BE156" s="33"/>
      <c r="BF156" s="33"/>
      <c r="BG156" s="33"/>
      <c r="BH156" s="33"/>
      <c r="BI156" s="33"/>
      <c r="BJ156" s="33"/>
      <c r="BK156" s="33"/>
      <c r="BL156" s="33"/>
      <c r="BM156" s="33"/>
      <c r="BN156" s="33"/>
      <c r="BO156" s="33"/>
    </row>
    <row r="157" spans="1:67">
      <c r="A157" s="11"/>
      <c r="B157" s="11"/>
      <c r="C157" s="11"/>
      <c r="D157" s="33"/>
      <c r="E157" s="33"/>
      <c r="F157" s="33"/>
      <c r="G157" s="33"/>
      <c r="H157" s="33"/>
      <c r="I157" s="33"/>
      <c r="J157" s="33"/>
      <c r="K157" s="33"/>
      <c r="L157" s="33"/>
      <c r="M157" s="33"/>
      <c r="N157" s="33"/>
      <c r="O157" s="33"/>
      <c r="P157" s="33"/>
      <c r="Q157" s="33"/>
      <c r="R157" s="33"/>
      <c r="S157" s="33"/>
      <c r="T157" s="33"/>
      <c r="U157" s="33"/>
      <c r="V157" s="33"/>
      <c r="W157" s="33"/>
      <c r="X157" s="33"/>
      <c r="Y157" s="33"/>
      <c r="Z157" s="33"/>
      <c r="AA157" s="33"/>
      <c r="AB157" s="33"/>
      <c r="AC157" s="33"/>
      <c r="AD157" s="33"/>
      <c r="AE157" s="33"/>
      <c r="AF157" s="33"/>
      <c r="AG157" s="33"/>
      <c r="AH157" s="33"/>
      <c r="AI157" s="33"/>
      <c r="AJ157" s="33"/>
      <c r="AK157" s="33"/>
      <c r="AL157" s="33"/>
      <c r="AM157" s="33"/>
      <c r="AN157" s="33"/>
      <c r="AO157" s="33"/>
      <c r="AP157" s="33"/>
      <c r="AQ157" s="33"/>
      <c r="AR157" s="33"/>
      <c r="AS157" s="33"/>
      <c r="AT157" s="33"/>
      <c r="AU157" s="33"/>
      <c r="AV157" s="33"/>
      <c r="AW157" s="33"/>
      <c r="AX157" s="33"/>
      <c r="AY157" s="33"/>
      <c r="AZ157" s="33"/>
      <c r="BA157" s="33"/>
      <c r="BB157" s="33"/>
      <c r="BC157" s="33"/>
      <c r="BD157" s="33"/>
      <c r="BE157" s="33"/>
      <c r="BF157" s="33"/>
      <c r="BG157" s="33"/>
      <c r="BH157" s="33"/>
      <c r="BI157" s="33"/>
      <c r="BJ157" s="33"/>
      <c r="BK157" s="33"/>
      <c r="BL157" s="33"/>
      <c r="BM157" s="33"/>
      <c r="BN157" s="33"/>
      <c r="BO157" s="33"/>
    </row>
    <row r="158" spans="1:67">
      <c r="A158" s="18" t="s">
        <v>134</v>
      </c>
      <c r="B158" s="18"/>
      <c r="C158" s="18"/>
      <c r="D158" s="39"/>
      <c r="E158" s="39"/>
      <c r="F158" s="39"/>
      <c r="G158" s="39"/>
      <c r="H158" s="39"/>
      <c r="I158" s="39"/>
      <c r="J158" s="39"/>
      <c r="K158" s="39"/>
      <c r="L158" s="39"/>
      <c r="M158" s="39"/>
      <c r="N158" s="39"/>
      <c r="O158" s="39"/>
      <c r="P158" s="39"/>
      <c r="Q158" s="39"/>
      <c r="R158" s="39"/>
      <c r="S158" s="39"/>
      <c r="T158" s="39"/>
      <c r="U158" s="39"/>
      <c r="V158" s="39"/>
      <c r="W158" s="39"/>
      <c r="X158" s="39"/>
      <c r="Y158" s="39"/>
      <c r="Z158" s="39"/>
      <c r="AA158" s="39"/>
      <c r="AB158" s="39"/>
      <c r="AC158" s="39"/>
      <c r="AD158" s="39"/>
      <c r="AE158" s="39"/>
      <c r="AF158" s="39"/>
      <c r="AG158" s="39"/>
      <c r="AH158" s="39"/>
      <c r="AI158" s="39"/>
      <c r="AJ158" s="39"/>
      <c r="AK158" s="39"/>
      <c r="AL158" s="39"/>
      <c r="AM158" s="39"/>
      <c r="AN158" s="39"/>
      <c r="AO158" s="39"/>
      <c r="AP158" s="39"/>
      <c r="AQ158" s="39"/>
      <c r="AR158" s="39"/>
      <c r="AS158" s="39"/>
      <c r="AT158" s="39"/>
      <c r="AU158" s="39"/>
      <c r="AV158" s="39"/>
      <c r="AW158" s="39"/>
      <c r="AX158" s="39"/>
      <c r="AY158" s="39"/>
      <c r="AZ158" s="39"/>
      <c r="BA158" s="39"/>
      <c r="BB158" s="39"/>
      <c r="BC158" s="39"/>
      <c r="BD158" s="39"/>
      <c r="BE158" s="39"/>
      <c r="BF158" s="39"/>
      <c r="BG158" s="39"/>
      <c r="BH158" s="39"/>
      <c r="BI158" s="39"/>
      <c r="BJ158" s="39"/>
      <c r="BK158" s="39"/>
      <c r="BL158" s="39"/>
      <c r="BM158" s="39"/>
      <c r="BN158" s="39"/>
      <c r="BO158" s="39"/>
    </row>
    <row r="159" spans="1:67">
      <c r="A159" s="11"/>
      <c r="B159" s="11" t="s">
        <v>186</v>
      </c>
      <c r="C159" s="11"/>
      <c r="D159" s="19">
        <v>2.5000000000000001E-2</v>
      </c>
      <c r="E159" s="10" t="s">
        <v>7</v>
      </c>
      <c r="F159" s="10"/>
      <c r="G159" s="33"/>
      <c r="H159" s="33"/>
      <c r="I159" s="33"/>
      <c r="J159" s="33"/>
      <c r="K159" s="33"/>
      <c r="L159" s="33"/>
      <c r="M159" s="33"/>
      <c r="N159" s="33"/>
      <c r="O159" s="33"/>
      <c r="P159" s="33"/>
      <c r="Q159" s="33"/>
      <c r="R159" s="33"/>
      <c r="S159" s="33"/>
      <c r="T159" s="33"/>
      <c r="U159" s="33"/>
      <c r="V159" s="33"/>
      <c r="W159" s="33"/>
      <c r="X159" s="33"/>
      <c r="Y159" s="33"/>
      <c r="Z159" s="33"/>
      <c r="AA159" s="33"/>
      <c r="AB159" s="33"/>
      <c r="AC159" s="33"/>
      <c r="AD159" s="33"/>
      <c r="AE159" s="33"/>
      <c r="AF159" s="33"/>
      <c r="AG159" s="33"/>
      <c r="AH159" s="33"/>
      <c r="AI159" s="33"/>
      <c r="AJ159" s="33"/>
      <c r="AK159" s="33"/>
      <c r="AL159" s="33"/>
      <c r="AM159" s="33"/>
      <c r="AN159" s="33"/>
      <c r="AO159" s="33"/>
      <c r="AP159" s="33"/>
      <c r="AQ159" s="33"/>
      <c r="AR159" s="33"/>
      <c r="AS159" s="33"/>
      <c r="AT159" s="33"/>
      <c r="AU159" s="33"/>
      <c r="AV159" s="33"/>
      <c r="AW159" s="33"/>
      <c r="AX159" s="33"/>
      <c r="AY159" s="33"/>
      <c r="AZ159" s="33"/>
      <c r="BA159" s="33"/>
      <c r="BB159" s="33"/>
      <c r="BC159" s="33"/>
      <c r="BD159" s="33"/>
      <c r="BE159" s="33"/>
      <c r="BF159" s="33"/>
      <c r="BG159" s="33"/>
      <c r="BH159" s="33"/>
      <c r="BI159" s="33"/>
      <c r="BJ159" s="33"/>
      <c r="BK159" s="33"/>
      <c r="BL159" s="33"/>
      <c r="BM159" s="33"/>
      <c r="BN159" s="33"/>
      <c r="BO159" s="33"/>
    </row>
    <row r="160" spans="1:67">
      <c r="A160" s="11"/>
      <c r="B160" s="11" t="s">
        <v>187</v>
      </c>
      <c r="C160" s="11"/>
      <c r="D160" s="19">
        <v>7.4999999999999997E-2</v>
      </c>
      <c r="E160" s="10" t="s">
        <v>7</v>
      </c>
      <c r="F160" s="10"/>
      <c r="G160" s="33"/>
      <c r="H160" s="33"/>
      <c r="I160" s="33"/>
      <c r="J160" s="33"/>
      <c r="K160" s="33"/>
      <c r="L160" s="33"/>
      <c r="M160" s="33"/>
      <c r="N160" s="33"/>
      <c r="O160" s="33"/>
      <c r="P160" s="33"/>
      <c r="Q160" s="33"/>
      <c r="R160" s="33"/>
      <c r="S160" s="33"/>
      <c r="T160" s="33"/>
      <c r="U160" s="33"/>
      <c r="V160" s="33"/>
      <c r="W160" s="33"/>
      <c r="X160" s="33"/>
      <c r="Y160" s="33"/>
      <c r="Z160" s="33"/>
      <c r="AA160" s="33"/>
      <c r="AB160" s="33"/>
      <c r="AC160" s="33"/>
      <c r="AD160" s="33"/>
      <c r="AE160" s="33"/>
      <c r="AF160" s="33"/>
      <c r="AG160" s="33"/>
      <c r="AH160" s="33"/>
      <c r="AI160" s="33"/>
      <c r="AJ160" s="33"/>
      <c r="AK160" s="33"/>
      <c r="AL160" s="33"/>
      <c r="AM160" s="33"/>
      <c r="AN160" s="33"/>
      <c r="AO160" s="33"/>
      <c r="AP160" s="33"/>
      <c r="AQ160" s="33"/>
      <c r="AR160" s="33"/>
      <c r="AS160" s="33"/>
      <c r="AT160" s="33"/>
      <c r="AU160" s="33"/>
      <c r="AV160" s="33"/>
      <c r="AW160" s="33"/>
      <c r="AX160" s="33"/>
      <c r="AY160" s="33"/>
      <c r="AZ160" s="33"/>
      <c r="BA160" s="33"/>
      <c r="BB160" s="33"/>
      <c r="BC160" s="33"/>
      <c r="BD160" s="33"/>
      <c r="BE160" s="33"/>
      <c r="BF160" s="33"/>
      <c r="BG160" s="33"/>
      <c r="BH160" s="33"/>
      <c r="BI160" s="33"/>
      <c r="BJ160" s="33"/>
      <c r="BK160" s="33"/>
      <c r="BL160" s="33"/>
      <c r="BM160" s="33"/>
      <c r="BN160" s="33"/>
      <c r="BO160" s="33"/>
    </row>
    <row r="161" spans="1:67">
      <c r="A161" s="11"/>
      <c r="B161" s="11" t="s">
        <v>188</v>
      </c>
      <c r="C161" s="11"/>
      <c r="D161" s="19">
        <v>0.02</v>
      </c>
      <c r="E161" s="10" t="s">
        <v>7</v>
      </c>
      <c r="F161" s="10"/>
      <c r="G161" s="33"/>
      <c r="H161" s="33"/>
      <c r="I161" s="33"/>
      <c r="J161" s="33"/>
      <c r="K161" s="33"/>
      <c r="L161" s="33"/>
      <c r="M161" s="33"/>
      <c r="N161" s="33"/>
      <c r="O161" s="33"/>
      <c r="P161" s="33"/>
      <c r="Q161" s="33"/>
      <c r="R161" s="33"/>
      <c r="S161" s="33"/>
      <c r="T161" s="33"/>
      <c r="U161" s="33"/>
      <c r="V161" s="33"/>
      <c r="W161" s="33"/>
      <c r="X161" s="33"/>
      <c r="Y161" s="33"/>
      <c r="Z161" s="33"/>
      <c r="AA161" s="33"/>
      <c r="AB161" s="33"/>
      <c r="AC161" s="33"/>
      <c r="AD161" s="33"/>
      <c r="AE161" s="33"/>
      <c r="AF161" s="33"/>
      <c r="AG161" s="33"/>
      <c r="AH161" s="33"/>
      <c r="AI161" s="33"/>
      <c r="AJ161" s="33"/>
      <c r="AK161" s="33"/>
      <c r="AL161" s="33"/>
      <c r="AM161" s="33"/>
      <c r="AN161" s="33"/>
      <c r="AO161" s="33"/>
      <c r="AP161" s="33"/>
      <c r="AQ161" s="33"/>
      <c r="AR161" s="33"/>
      <c r="AS161" s="33"/>
      <c r="AT161" s="33"/>
      <c r="AU161" s="33"/>
      <c r="AV161" s="33"/>
      <c r="AW161" s="33"/>
      <c r="AX161" s="33"/>
      <c r="AY161" s="33"/>
      <c r="AZ161" s="33"/>
      <c r="BA161" s="33"/>
      <c r="BB161" s="33"/>
      <c r="BC161" s="33"/>
      <c r="BD161" s="33"/>
      <c r="BE161" s="33"/>
      <c r="BF161" s="33"/>
      <c r="BG161" s="33"/>
      <c r="BH161" s="33"/>
      <c r="BI161" s="33"/>
      <c r="BJ161" s="33"/>
      <c r="BK161" s="33"/>
      <c r="BL161" s="33"/>
      <c r="BM161" s="33"/>
      <c r="BN161" s="33"/>
      <c r="BO161" s="33"/>
    </row>
    <row r="162" spans="1:67">
      <c r="A162" s="11"/>
      <c r="B162" s="11" t="s">
        <v>189</v>
      </c>
      <c r="C162" s="11"/>
      <c r="D162" s="69">
        <v>0.85</v>
      </c>
      <c r="E162" s="10" t="s">
        <v>175</v>
      </c>
      <c r="F162" s="10"/>
      <c r="G162" s="33"/>
      <c r="H162" s="33"/>
      <c r="I162" s="33"/>
      <c r="J162" s="33"/>
      <c r="K162" s="33"/>
      <c r="L162" s="33"/>
      <c r="M162" s="33"/>
      <c r="N162" s="33"/>
      <c r="O162" s="33"/>
      <c r="P162" s="33"/>
      <c r="Q162" s="33"/>
      <c r="R162" s="33"/>
      <c r="S162" s="33"/>
      <c r="T162" s="33"/>
      <c r="U162" s="33"/>
      <c r="V162" s="33"/>
      <c r="W162" s="33"/>
      <c r="X162" s="33"/>
      <c r="Y162" s="33"/>
      <c r="Z162" s="33"/>
      <c r="AA162" s="33"/>
      <c r="AB162" s="33"/>
      <c r="AC162" s="33"/>
      <c r="AD162" s="33"/>
      <c r="AE162" s="33"/>
      <c r="AF162" s="33"/>
      <c r="AG162" s="33"/>
      <c r="AH162" s="33"/>
      <c r="AI162" s="33"/>
      <c r="AJ162" s="33"/>
      <c r="AK162" s="33"/>
      <c r="AL162" s="33"/>
      <c r="AM162" s="33"/>
      <c r="AN162" s="33"/>
      <c r="AO162" s="33"/>
      <c r="AP162" s="33"/>
      <c r="AQ162" s="33"/>
      <c r="AR162" s="33"/>
      <c r="AS162" s="33"/>
      <c r="AT162" s="33"/>
      <c r="AU162" s="33"/>
      <c r="AV162" s="33"/>
      <c r="AW162" s="33"/>
      <c r="AX162" s="33"/>
      <c r="AY162" s="33"/>
      <c r="AZ162" s="33"/>
      <c r="BA162" s="33"/>
      <c r="BB162" s="33"/>
      <c r="BC162" s="33"/>
      <c r="BD162" s="33"/>
      <c r="BE162" s="33"/>
      <c r="BF162" s="33"/>
      <c r="BG162" s="33"/>
      <c r="BH162" s="33"/>
      <c r="BI162" s="33"/>
      <c r="BJ162" s="33"/>
      <c r="BK162" s="33"/>
      <c r="BL162" s="33"/>
      <c r="BM162" s="33"/>
      <c r="BN162" s="33"/>
      <c r="BO162" s="33"/>
    </row>
    <row r="163" spans="1:67">
      <c r="A163" s="11"/>
      <c r="B163" s="11" t="s">
        <v>205</v>
      </c>
      <c r="C163" s="11"/>
      <c r="D163" s="6">
        <f>D136</f>
        <v>7.0000000000000007E-2</v>
      </c>
      <c r="E163" s="10" t="s">
        <v>53</v>
      </c>
      <c r="F163" s="10"/>
      <c r="G163" s="33"/>
      <c r="H163" s="33"/>
      <c r="I163" s="33"/>
      <c r="J163" s="33"/>
      <c r="K163" s="33"/>
      <c r="L163" s="33"/>
      <c r="M163" s="33"/>
      <c r="N163" s="33"/>
      <c r="O163" s="33"/>
      <c r="P163" s="33"/>
      <c r="Q163" s="33"/>
      <c r="R163" s="33"/>
      <c r="S163" s="33"/>
      <c r="T163" s="33"/>
      <c r="U163" s="33"/>
      <c r="V163" s="33"/>
      <c r="W163" s="33"/>
      <c r="X163" s="33"/>
      <c r="Y163" s="33"/>
      <c r="Z163" s="33"/>
      <c r="AA163" s="33"/>
      <c r="AB163" s="33"/>
      <c r="AC163" s="33"/>
      <c r="AD163" s="33"/>
      <c r="AE163" s="33"/>
      <c r="AF163" s="33"/>
      <c r="AG163" s="33"/>
      <c r="AH163" s="33"/>
      <c r="AI163" s="33"/>
      <c r="AJ163" s="33"/>
      <c r="AK163" s="33"/>
      <c r="AL163" s="33"/>
      <c r="AM163" s="33"/>
      <c r="AN163" s="33"/>
      <c r="AO163" s="33"/>
      <c r="AP163" s="33"/>
      <c r="AQ163" s="33"/>
      <c r="AR163" s="33"/>
      <c r="AS163" s="33"/>
      <c r="AT163" s="33"/>
      <c r="AU163" s="33"/>
      <c r="AV163" s="33"/>
      <c r="AW163" s="33"/>
      <c r="AX163" s="33"/>
      <c r="AY163" s="33"/>
      <c r="AZ163" s="33"/>
      <c r="BA163" s="33"/>
      <c r="BB163" s="33"/>
      <c r="BC163" s="33"/>
      <c r="BD163" s="33"/>
      <c r="BE163" s="33"/>
      <c r="BF163" s="33"/>
      <c r="BG163" s="33"/>
      <c r="BH163" s="33"/>
      <c r="BI163" s="33"/>
      <c r="BJ163" s="33"/>
      <c r="BK163" s="33"/>
      <c r="BL163" s="33"/>
      <c r="BM163" s="33"/>
      <c r="BN163" s="33"/>
      <c r="BO163" s="33"/>
    </row>
    <row r="164" spans="1:67">
      <c r="A164" s="11"/>
      <c r="B164" s="11" t="s">
        <v>190</v>
      </c>
      <c r="C164" s="11"/>
      <c r="D164" s="16">
        <v>0.02</v>
      </c>
      <c r="E164" s="10" t="s">
        <v>7</v>
      </c>
      <c r="F164" s="10"/>
      <c r="G164" s="33"/>
      <c r="H164" s="33"/>
      <c r="I164" s="33"/>
      <c r="J164" s="33"/>
      <c r="K164" s="33"/>
      <c r="L164" s="33"/>
      <c r="M164" s="33"/>
      <c r="N164" s="33"/>
      <c r="O164" s="33"/>
      <c r="P164" s="33"/>
      <c r="Q164" s="33"/>
      <c r="R164" s="33"/>
      <c r="S164" s="33"/>
      <c r="T164" s="33"/>
      <c r="U164" s="33"/>
      <c r="V164" s="33"/>
      <c r="W164" s="33"/>
      <c r="X164" s="33"/>
      <c r="Y164" s="33"/>
      <c r="Z164" s="33"/>
      <c r="AA164" s="33"/>
      <c r="AB164" s="33"/>
      <c r="AC164" s="33"/>
      <c r="AD164" s="33"/>
      <c r="AE164" s="33"/>
      <c r="AF164" s="33"/>
      <c r="AG164" s="33"/>
      <c r="AH164" s="33"/>
      <c r="AI164" s="33"/>
      <c r="AJ164" s="33"/>
      <c r="AK164" s="33"/>
      <c r="AL164" s="33"/>
      <c r="AM164" s="33"/>
      <c r="AN164" s="33"/>
      <c r="AO164" s="33"/>
      <c r="AP164" s="33"/>
      <c r="AQ164" s="33"/>
      <c r="AR164" s="33"/>
      <c r="AS164" s="33"/>
      <c r="AT164" s="33"/>
      <c r="AU164" s="33"/>
      <c r="AV164" s="33"/>
      <c r="AW164" s="33"/>
      <c r="AX164" s="33"/>
      <c r="AY164" s="33"/>
      <c r="AZ164" s="33"/>
      <c r="BA164" s="33"/>
      <c r="BB164" s="33"/>
      <c r="BC164" s="33"/>
      <c r="BD164" s="33"/>
      <c r="BE164" s="33"/>
      <c r="BF164" s="33"/>
      <c r="BG164" s="33"/>
      <c r="BH164" s="33"/>
      <c r="BI164" s="33"/>
      <c r="BJ164" s="33"/>
      <c r="BK164" s="33"/>
      <c r="BL164" s="33"/>
      <c r="BM164" s="33"/>
      <c r="BN164" s="33"/>
      <c r="BO164" s="33"/>
    </row>
    <row r="165" spans="1:67">
      <c r="A165" s="11"/>
      <c r="B165" s="1" t="s">
        <v>209</v>
      </c>
      <c r="C165" s="11"/>
      <c r="D165" s="33"/>
      <c r="E165" s="33"/>
      <c r="F165" s="33"/>
      <c r="G165" s="33"/>
      <c r="H165" s="33"/>
      <c r="I165" s="33"/>
      <c r="J165" s="33"/>
      <c r="K165" s="33"/>
      <c r="L165" s="33"/>
      <c r="M165" s="33"/>
      <c r="N165" s="33"/>
      <c r="O165" s="33"/>
      <c r="P165" s="33"/>
      <c r="Q165" s="33"/>
      <c r="R165" s="33"/>
      <c r="S165" s="33"/>
      <c r="T165" s="33"/>
      <c r="U165" s="33"/>
      <c r="V165" s="33"/>
      <c r="W165" s="33"/>
      <c r="X165" s="33"/>
      <c r="Y165" s="33"/>
      <c r="Z165" s="33"/>
      <c r="AA165" s="33"/>
      <c r="AB165" s="33"/>
      <c r="AC165" s="33"/>
      <c r="AD165" s="33"/>
      <c r="AE165" s="33"/>
      <c r="AF165" s="33"/>
      <c r="AG165" s="33"/>
      <c r="AH165" s="33"/>
      <c r="AI165" s="33"/>
      <c r="AJ165" s="33"/>
      <c r="AK165" s="33"/>
      <c r="AL165" s="33"/>
      <c r="AM165" s="33"/>
      <c r="AN165" s="33"/>
      <c r="AO165" s="33"/>
      <c r="AP165" s="33"/>
      <c r="AQ165" s="33"/>
      <c r="AR165" s="33"/>
      <c r="AS165" s="33"/>
      <c r="AT165" s="33"/>
      <c r="AU165" s="33"/>
      <c r="AV165" s="33"/>
      <c r="AW165" s="33"/>
      <c r="AX165" s="33"/>
      <c r="AY165" s="33"/>
      <c r="AZ165" s="33"/>
      <c r="BA165" s="33"/>
      <c r="BB165" s="33"/>
      <c r="BC165" s="33"/>
      <c r="BD165" s="33"/>
      <c r="BE165" s="33"/>
      <c r="BF165" s="33"/>
      <c r="BG165" s="33"/>
      <c r="BH165" s="33"/>
      <c r="BI165" s="33"/>
      <c r="BJ165" s="33"/>
      <c r="BK165" s="33"/>
      <c r="BL165" s="33"/>
      <c r="BM165" s="33"/>
      <c r="BN165" s="33"/>
      <c r="BO165" s="33"/>
    </row>
    <row r="166" spans="1:67">
      <c r="A166" s="11"/>
      <c r="B166" s="11"/>
      <c r="C166" s="11"/>
      <c r="D166" s="33"/>
      <c r="E166" s="33"/>
      <c r="F166" s="33"/>
      <c r="G166" s="33"/>
      <c r="H166" s="33"/>
      <c r="I166" s="33"/>
      <c r="J166" s="33"/>
      <c r="K166" s="33"/>
      <c r="L166" s="33"/>
      <c r="M166" s="33"/>
      <c r="N166" s="33"/>
      <c r="O166" s="33"/>
      <c r="P166" s="33"/>
      <c r="Q166" s="33"/>
      <c r="R166" s="33"/>
      <c r="S166" s="33"/>
      <c r="T166" s="33"/>
      <c r="U166" s="33"/>
      <c r="V166" s="33"/>
      <c r="W166" s="33"/>
      <c r="X166" s="33"/>
      <c r="Y166" s="33"/>
      <c r="Z166" s="33"/>
      <c r="AA166" s="33"/>
      <c r="AB166" s="33"/>
      <c r="AC166" s="33"/>
      <c r="AD166" s="33"/>
      <c r="AE166" s="33"/>
      <c r="AF166" s="33"/>
      <c r="AG166" s="33"/>
      <c r="AH166" s="33"/>
      <c r="AI166" s="33"/>
      <c r="AJ166" s="33"/>
      <c r="AK166" s="33"/>
      <c r="AL166" s="33"/>
      <c r="AM166" s="33"/>
      <c r="AN166" s="33"/>
      <c r="AO166" s="33"/>
      <c r="AP166" s="33"/>
      <c r="AQ166" s="33"/>
      <c r="AR166" s="33"/>
      <c r="AS166" s="33"/>
      <c r="AT166" s="33"/>
      <c r="AU166" s="33"/>
      <c r="AV166" s="33"/>
      <c r="AW166" s="33"/>
      <c r="AX166" s="33"/>
      <c r="AY166" s="33"/>
      <c r="AZ166" s="33"/>
      <c r="BA166" s="33"/>
      <c r="BB166" s="33"/>
      <c r="BC166" s="33"/>
      <c r="BD166" s="33"/>
      <c r="BE166" s="33"/>
      <c r="BF166" s="33"/>
      <c r="BG166" s="33"/>
      <c r="BH166" s="33"/>
      <c r="BI166" s="33"/>
      <c r="BJ166" s="33"/>
      <c r="BK166" s="33"/>
      <c r="BL166" s="33"/>
      <c r="BM166" s="33"/>
      <c r="BN166" s="33"/>
      <c r="BO166" s="33"/>
    </row>
    <row r="167" spans="1:67">
      <c r="A167" s="18" t="s">
        <v>135</v>
      </c>
      <c r="B167" s="18"/>
      <c r="C167" s="18"/>
      <c r="D167" s="39"/>
      <c r="E167" s="39"/>
      <c r="F167" s="39"/>
      <c r="G167" s="39"/>
      <c r="H167" s="39"/>
      <c r="I167" s="39"/>
      <c r="J167" s="39"/>
      <c r="K167" s="39"/>
      <c r="L167" s="39"/>
      <c r="M167" s="39"/>
      <c r="N167" s="39"/>
      <c r="O167" s="39"/>
      <c r="P167" s="39"/>
      <c r="Q167" s="39"/>
      <c r="R167" s="39"/>
      <c r="S167" s="39"/>
      <c r="T167" s="39"/>
      <c r="U167" s="39"/>
      <c r="V167" s="39"/>
      <c r="W167" s="39"/>
      <c r="X167" s="39"/>
      <c r="Y167" s="39"/>
      <c r="Z167" s="39"/>
      <c r="AA167" s="39"/>
      <c r="AB167" s="39"/>
      <c r="AC167" s="39"/>
      <c r="AD167" s="39"/>
      <c r="AE167" s="39"/>
      <c r="AF167" s="39"/>
      <c r="AG167" s="39"/>
      <c r="AH167" s="39"/>
      <c r="AI167" s="39"/>
      <c r="AJ167" s="39"/>
      <c r="AK167" s="39"/>
      <c r="AL167" s="39"/>
      <c r="AM167" s="39"/>
      <c r="AN167" s="39"/>
      <c r="AO167" s="39"/>
      <c r="AP167" s="39"/>
      <c r="AQ167" s="39"/>
      <c r="AR167" s="39"/>
      <c r="AS167" s="39"/>
      <c r="AT167" s="39"/>
      <c r="AU167" s="39"/>
      <c r="AV167" s="39"/>
      <c r="AW167" s="39"/>
      <c r="AX167" s="39"/>
      <c r="AY167" s="39"/>
      <c r="AZ167" s="39"/>
      <c r="BA167" s="39"/>
      <c r="BB167" s="39"/>
      <c r="BC167" s="39"/>
      <c r="BD167" s="39"/>
      <c r="BE167" s="39"/>
      <c r="BF167" s="39"/>
      <c r="BG167" s="39"/>
      <c r="BH167" s="39"/>
      <c r="BI167" s="39"/>
      <c r="BJ167" s="39"/>
      <c r="BK167" s="39"/>
      <c r="BL167" s="39"/>
      <c r="BM167" s="39"/>
      <c r="BN167" s="39"/>
      <c r="BO167" s="39"/>
    </row>
    <row r="168" spans="1:67">
      <c r="A168" s="11"/>
      <c r="B168" s="11" t="s">
        <v>191</v>
      </c>
      <c r="C168" s="11"/>
      <c r="D168" s="92">
        <v>20</v>
      </c>
      <c r="E168" s="10" t="s">
        <v>45</v>
      </c>
      <c r="F168" s="10"/>
      <c r="G168" s="33"/>
      <c r="H168" s="33"/>
      <c r="I168" s="33"/>
      <c r="J168" s="33"/>
      <c r="K168" s="33"/>
      <c r="L168" s="33"/>
      <c r="M168" s="33"/>
      <c r="N168" s="33"/>
      <c r="O168" s="33"/>
      <c r="P168" s="33"/>
      <c r="Q168" s="33"/>
      <c r="R168" s="33"/>
      <c r="S168" s="33"/>
      <c r="T168" s="33"/>
      <c r="U168" s="33"/>
      <c r="V168" s="33"/>
      <c r="W168" s="33"/>
      <c r="X168" s="33"/>
      <c r="Y168" s="33"/>
      <c r="Z168" s="33"/>
      <c r="AA168" s="33"/>
      <c r="AB168" s="33"/>
      <c r="AC168" s="33"/>
      <c r="AD168" s="33"/>
      <c r="AE168" s="33"/>
      <c r="AF168" s="33"/>
      <c r="AG168" s="33"/>
      <c r="AH168" s="33"/>
      <c r="AI168" s="33"/>
      <c r="AJ168" s="33"/>
      <c r="AK168" s="33"/>
      <c r="AL168" s="33"/>
      <c r="AM168" s="33"/>
      <c r="AN168" s="33"/>
      <c r="AO168" s="33"/>
      <c r="AP168" s="33"/>
      <c r="AQ168" s="33"/>
      <c r="AR168" s="33"/>
      <c r="AS168" s="33"/>
      <c r="AT168" s="33"/>
      <c r="AU168" s="33"/>
      <c r="AV168" s="33"/>
      <c r="AW168" s="33"/>
      <c r="AX168" s="33"/>
      <c r="AY168" s="33"/>
      <c r="AZ168" s="33"/>
      <c r="BA168" s="33"/>
      <c r="BB168" s="33"/>
      <c r="BC168" s="33"/>
      <c r="BD168" s="33"/>
      <c r="BE168" s="33"/>
      <c r="BF168" s="33"/>
      <c r="BG168" s="33"/>
      <c r="BH168" s="33"/>
      <c r="BI168" s="33"/>
      <c r="BJ168" s="33"/>
      <c r="BK168" s="33"/>
      <c r="BL168" s="33"/>
      <c r="BM168" s="33"/>
      <c r="BN168" s="33"/>
      <c r="BO168" s="33"/>
    </row>
    <row r="169" spans="1:67">
      <c r="A169" s="11"/>
      <c r="B169" s="11" t="s">
        <v>192</v>
      </c>
      <c r="C169" s="11"/>
      <c r="D169" s="92">
        <v>20</v>
      </c>
      <c r="E169" s="10" t="s">
        <v>45</v>
      </c>
      <c r="F169" s="10"/>
      <c r="G169" s="33"/>
      <c r="H169" s="33"/>
      <c r="I169" s="33"/>
      <c r="J169" s="33"/>
      <c r="K169" s="33"/>
      <c r="L169" s="33"/>
      <c r="M169" s="33"/>
      <c r="N169" s="33"/>
      <c r="O169" s="33"/>
      <c r="P169" s="33"/>
      <c r="Q169" s="33"/>
      <c r="R169" s="33"/>
      <c r="S169" s="33"/>
      <c r="T169" s="33"/>
      <c r="U169" s="33"/>
      <c r="V169" s="33"/>
      <c r="W169" s="33"/>
      <c r="X169" s="33"/>
      <c r="Y169" s="33"/>
      <c r="Z169" s="33"/>
      <c r="AA169" s="33"/>
      <c r="AB169" s="33"/>
      <c r="AC169" s="33"/>
      <c r="AD169" s="33"/>
      <c r="AE169" s="33"/>
      <c r="AF169" s="33"/>
      <c r="AG169" s="33"/>
      <c r="AH169" s="33"/>
      <c r="AI169" s="33"/>
      <c r="AJ169" s="33"/>
      <c r="AK169" s="33"/>
      <c r="AL169" s="33"/>
      <c r="AM169" s="33"/>
      <c r="AN169" s="33"/>
      <c r="AO169" s="33"/>
      <c r="AP169" s="33"/>
      <c r="AQ169" s="33"/>
      <c r="AR169" s="33"/>
      <c r="AS169" s="33"/>
      <c r="AT169" s="33"/>
      <c r="AU169" s="33"/>
      <c r="AV169" s="33"/>
      <c r="AW169" s="33"/>
      <c r="AX169" s="33"/>
      <c r="AY169" s="33"/>
      <c r="AZ169" s="33"/>
      <c r="BA169" s="33"/>
      <c r="BB169" s="33"/>
      <c r="BC169" s="33"/>
      <c r="BD169" s="33"/>
      <c r="BE169" s="33"/>
      <c r="BF169" s="33"/>
      <c r="BG169" s="33"/>
      <c r="BH169" s="33"/>
      <c r="BI169" s="33"/>
      <c r="BJ169" s="33"/>
      <c r="BK169" s="33"/>
      <c r="BL169" s="33"/>
      <c r="BM169" s="33"/>
      <c r="BN169" s="33"/>
      <c r="BO169" s="33"/>
    </row>
    <row r="170" spans="1:67">
      <c r="A170" s="11"/>
      <c r="B170" s="11" t="s">
        <v>193</v>
      </c>
      <c r="C170" s="11"/>
      <c r="D170" s="92">
        <v>15</v>
      </c>
      <c r="E170" s="10" t="s">
        <v>45</v>
      </c>
      <c r="F170" s="10"/>
      <c r="G170" s="33"/>
      <c r="H170" s="33"/>
      <c r="I170" s="33"/>
      <c r="J170" s="33"/>
      <c r="K170" s="33"/>
      <c r="L170" s="33"/>
      <c r="M170" s="33"/>
      <c r="N170" s="33"/>
      <c r="O170" s="33"/>
      <c r="P170" s="33"/>
      <c r="Q170" s="33"/>
      <c r="R170" s="33"/>
      <c r="S170" s="33"/>
      <c r="T170" s="33"/>
      <c r="U170" s="33"/>
      <c r="V170" s="33"/>
      <c r="W170" s="33"/>
      <c r="X170" s="33"/>
      <c r="Y170" s="33"/>
      <c r="Z170" s="33"/>
      <c r="AA170" s="33"/>
      <c r="AB170" s="33"/>
      <c r="AC170" s="33"/>
      <c r="AD170" s="33"/>
      <c r="AE170" s="33"/>
      <c r="AF170" s="33"/>
      <c r="AG170" s="33"/>
      <c r="AH170" s="33"/>
      <c r="AI170" s="33"/>
      <c r="AJ170" s="33"/>
      <c r="AK170" s="33"/>
      <c r="AL170" s="33"/>
      <c r="AM170" s="33"/>
      <c r="AN170" s="33"/>
      <c r="AO170" s="33"/>
      <c r="AP170" s="33"/>
      <c r="AQ170" s="33"/>
      <c r="AR170" s="33"/>
      <c r="AS170" s="33"/>
      <c r="AT170" s="33"/>
      <c r="AU170" s="33"/>
      <c r="AV170" s="33"/>
      <c r="AW170" s="33"/>
      <c r="AX170" s="33"/>
      <c r="AY170" s="33"/>
      <c r="AZ170" s="33"/>
      <c r="BA170" s="33"/>
      <c r="BB170" s="33"/>
      <c r="BC170" s="33"/>
      <c r="BD170" s="33"/>
      <c r="BE170" s="33"/>
      <c r="BF170" s="33"/>
      <c r="BG170" s="33"/>
      <c r="BH170" s="33"/>
      <c r="BI170" s="33"/>
      <c r="BJ170" s="33"/>
      <c r="BK170" s="33"/>
      <c r="BL170" s="33"/>
      <c r="BM170" s="33"/>
      <c r="BN170" s="33"/>
      <c r="BO170" s="33"/>
    </row>
    <row r="171" spans="1:67">
      <c r="A171" s="11"/>
      <c r="B171" s="11" t="s">
        <v>194</v>
      </c>
      <c r="C171" s="11"/>
      <c r="D171" s="92">
        <v>10</v>
      </c>
      <c r="E171" s="10" t="s">
        <v>45</v>
      </c>
      <c r="F171" s="10"/>
      <c r="G171" s="33"/>
      <c r="H171" s="33"/>
      <c r="I171" s="33"/>
      <c r="J171" s="33"/>
      <c r="K171" s="33"/>
      <c r="L171" s="33"/>
      <c r="M171" s="33"/>
      <c r="N171" s="33"/>
      <c r="O171" s="33"/>
      <c r="P171" s="33"/>
      <c r="Q171" s="33"/>
      <c r="R171" s="33"/>
      <c r="S171" s="33"/>
      <c r="T171" s="33"/>
      <c r="U171" s="33"/>
      <c r="V171" s="33"/>
      <c r="W171" s="33"/>
      <c r="X171" s="33"/>
      <c r="Y171" s="33"/>
      <c r="Z171" s="33"/>
      <c r="AA171" s="33"/>
      <c r="AB171" s="33"/>
      <c r="AC171" s="33"/>
      <c r="AD171" s="33"/>
      <c r="AE171" s="33"/>
      <c r="AF171" s="33"/>
      <c r="AG171" s="33"/>
      <c r="AH171" s="33"/>
      <c r="AI171" s="33"/>
      <c r="AJ171" s="33"/>
      <c r="AK171" s="33"/>
      <c r="AL171" s="33"/>
      <c r="AM171" s="33"/>
      <c r="AN171" s="33"/>
      <c r="AO171" s="33"/>
      <c r="AP171" s="33"/>
      <c r="AQ171" s="33"/>
      <c r="AR171" s="33"/>
      <c r="AS171" s="33"/>
      <c r="AT171" s="33"/>
      <c r="AU171" s="33"/>
      <c r="AV171" s="33"/>
      <c r="AW171" s="33"/>
      <c r="AX171" s="33"/>
      <c r="AY171" s="33"/>
      <c r="AZ171" s="33"/>
      <c r="BA171" s="33"/>
      <c r="BB171" s="33"/>
      <c r="BC171" s="33"/>
      <c r="BD171" s="33"/>
      <c r="BE171" s="33"/>
      <c r="BF171" s="33"/>
      <c r="BG171" s="33"/>
      <c r="BH171" s="33"/>
      <c r="BI171" s="33"/>
      <c r="BJ171" s="33"/>
      <c r="BK171" s="33"/>
      <c r="BL171" s="33"/>
      <c r="BM171" s="33"/>
      <c r="BN171" s="33"/>
      <c r="BO171" s="33"/>
    </row>
    <row r="172" spans="1:67">
      <c r="A172" s="11"/>
      <c r="B172" s="11" t="s">
        <v>195</v>
      </c>
      <c r="C172" s="11"/>
      <c r="D172" s="92">
        <v>10</v>
      </c>
      <c r="E172" s="10" t="s">
        <v>45</v>
      </c>
      <c r="F172" s="10"/>
      <c r="G172" s="33"/>
      <c r="H172" s="33"/>
      <c r="I172" s="33"/>
      <c r="J172" s="33"/>
      <c r="K172" s="33"/>
      <c r="L172" s="33"/>
      <c r="M172" s="33"/>
      <c r="N172" s="33"/>
      <c r="O172" s="33"/>
      <c r="P172" s="33"/>
      <c r="Q172" s="33"/>
      <c r="R172" s="33"/>
      <c r="S172" s="33"/>
      <c r="T172" s="33"/>
      <c r="U172" s="33"/>
      <c r="V172" s="33"/>
      <c r="W172" s="33"/>
      <c r="X172" s="33"/>
      <c r="Y172" s="33"/>
      <c r="Z172" s="33"/>
      <c r="AA172" s="33"/>
      <c r="AB172" s="33"/>
      <c r="AC172" s="33"/>
      <c r="AD172" s="33"/>
      <c r="AE172" s="33"/>
      <c r="AF172" s="33"/>
      <c r="AG172" s="33"/>
      <c r="AH172" s="33"/>
      <c r="AI172" s="33"/>
      <c r="AJ172" s="33"/>
      <c r="AK172" s="33"/>
      <c r="AL172" s="33"/>
      <c r="AM172" s="33"/>
      <c r="AN172" s="33"/>
      <c r="AO172" s="33"/>
      <c r="AP172" s="33"/>
      <c r="AQ172" s="33"/>
      <c r="AR172" s="33"/>
      <c r="AS172" s="33"/>
      <c r="AT172" s="33"/>
      <c r="AU172" s="33"/>
      <c r="AV172" s="33"/>
      <c r="AW172" s="33"/>
      <c r="AX172" s="33"/>
      <c r="AY172" s="33"/>
      <c r="AZ172" s="33"/>
      <c r="BA172" s="33"/>
      <c r="BB172" s="33"/>
      <c r="BC172" s="33"/>
      <c r="BD172" s="33"/>
      <c r="BE172" s="33"/>
      <c r="BF172" s="33"/>
      <c r="BG172" s="33"/>
      <c r="BH172" s="33"/>
      <c r="BI172" s="33"/>
      <c r="BJ172" s="33"/>
      <c r="BK172" s="33"/>
      <c r="BL172" s="33"/>
      <c r="BM172" s="33"/>
      <c r="BN172" s="33"/>
      <c r="BO172" s="33"/>
    </row>
    <row r="173" spans="1:67">
      <c r="A173" s="11"/>
      <c r="B173" s="11" t="s">
        <v>196</v>
      </c>
      <c r="C173" s="11"/>
      <c r="D173" s="92">
        <v>10</v>
      </c>
      <c r="E173" s="10" t="s">
        <v>45</v>
      </c>
      <c r="F173" s="10"/>
      <c r="G173" s="33"/>
      <c r="H173" s="33"/>
      <c r="I173" s="33"/>
      <c r="J173" s="33"/>
      <c r="K173" s="33"/>
      <c r="L173" s="33"/>
      <c r="M173" s="33"/>
      <c r="N173" s="33"/>
      <c r="O173" s="33"/>
      <c r="P173" s="33"/>
      <c r="Q173" s="33"/>
      <c r="R173" s="33"/>
      <c r="S173" s="33"/>
      <c r="T173" s="33"/>
      <c r="U173" s="33"/>
      <c r="V173" s="33"/>
      <c r="W173" s="33"/>
      <c r="X173" s="33"/>
      <c r="Y173" s="33"/>
      <c r="Z173" s="33"/>
      <c r="AA173" s="33"/>
      <c r="AB173" s="33"/>
      <c r="AC173" s="33"/>
      <c r="AD173" s="33"/>
      <c r="AE173" s="33"/>
      <c r="AF173" s="33"/>
      <c r="AG173" s="33"/>
      <c r="AH173" s="33"/>
      <c r="AI173" s="33"/>
      <c r="AJ173" s="33"/>
      <c r="AK173" s="33"/>
      <c r="AL173" s="33"/>
      <c r="AM173" s="33"/>
      <c r="AN173" s="33"/>
      <c r="AO173" s="33"/>
      <c r="AP173" s="33"/>
      <c r="AQ173" s="33"/>
      <c r="AR173" s="33"/>
      <c r="AS173" s="33"/>
      <c r="AT173" s="33"/>
      <c r="AU173" s="33"/>
      <c r="AV173" s="33"/>
      <c r="AW173" s="33"/>
      <c r="AX173" s="33"/>
      <c r="AY173" s="33"/>
      <c r="AZ173" s="33"/>
      <c r="BA173" s="33"/>
      <c r="BB173" s="33"/>
      <c r="BC173" s="33"/>
      <c r="BD173" s="33"/>
      <c r="BE173" s="33"/>
      <c r="BF173" s="33"/>
      <c r="BG173" s="33"/>
      <c r="BH173" s="33"/>
      <c r="BI173" s="33"/>
      <c r="BJ173" s="33"/>
      <c r="BK173" s="33"/>
      <c r="BL173" s="33"/>
      <c r="BM173" s="33"/>
      <c r="BN173" s="33"/>
      <c r="BO173" s="33"/>
    </row>
    <row r="174" spans="1:67">
      <c r="A174" s="11"/>
      <c r="B174" s="11" t="s">
        <v>197</v>
      </c>
      <c r="C174" s="11"/>
      <c r="D174" s="92">
        <v>10</v>
      </c>
      <c r="E174" s="10" t="s">
        <v>45</v>
      </c>
      <c r="F174" s="10"/>
      <c r="G174" s="33"/>
      <c r="H174" s="33"/>
      <c r="I174" s="33"/>
      <c r="J174" s="33"/>
      <c r="K174" s="33"/>
      <c r="L174" s="33"/>
      <c r="M174" s="33"/>
      <c r="N174" s="33"/>
      <c r="O174" s="33"/>
      <c r="P174" s="33"/>
      <c r="Q174" s="33"/>
      <c r="R174" s="33"/>
      <c r="S174" s="33"/>
      <c r="T174" s="33"/>
      <c r="U174" s="33"/>
      <c r="V174" s="33"/>
      <c r="W174" s="33"/>
      <c r="X174" s="33"/>
      <c r="Y174" s="33"/>
      <c r="Z174" s="33"/>
      <c r="AA174" s="33"/>
      <c r="AB174" s="33"/>
      <c r="AC174" s="33"/>
      <c r="AD174" s="33"/>
      <c r="AE174" s="33"/>
      <c r="AF174" s="33"/>
      <c r="AG174" s="33"/>
      <c r="AH174" s="33"/>
      <c r="AI174" s="33"/>
      <c r="AJ174" s="33"/>
      <c r="AK174" s="33"/>
      <c r="AL174" s="33"/>
      <c r="AM174" s="33"/>
      <c r="AN174" s="33"/>
      <c r="AO174" s="33"/>
      <c r="AP174" s="33"/>
      <c r="AQ174" s="33"/>
      <c r="AR174" s="33"/>
      <c r="AS174" s="33"/>
      <c r="AT174" s="33"/>
      <c r="AU174" s="33"/>
      <c r="AV174" s="33"/>
      <c r="AW174" s="33"/>
      <c r="AX174" s="33"/>
      <c r="AY174" s="33"/>
      <c r="AZ174" s="33"/>
      <c r="BA174" s="33"/>
      <c r="BB174" s="33"/>
      <c r="BC174" s="33"/>
      <c r="BD174" s="33"/>
      <c r="BE174" s="33"/>
      <c r="BF174" s="33"/>
      <c r="BG174" s="33"/>
      <c r="BH174" s="33"/>
      <c r="BI174" s="33"/>
      <c r="BJ174" s="33"/>
      <c r="BK174" s="33"/>
      <c r="BL174" s="33"/>
      <c r="BM174" s="33"/>
      <c r="BN174" s="33"/>
      <c r="BO174" s="33"/>
    </row>
    <row r="175" spans="1:67">
      <c r="A175" s="11"/>
      <c r="B175" s="11" t="s">
        <v>198</v>
      </c>
      <c r="C175" s="11"/>
      <c r="D175" s="92">
        <v>5</v>
      </c>
      <c r="E175" s="10" t="s">
        <v>45</v>
      </c>
      <c r="F175" s="10"/>
      <c r="G175" s="33"/>
      <c r="H175" s="33"/>
      <c r="I175" s="33"/>
      <c r="J175" s="33"/>
      <c r="K175" s="33"/>
      <c r="L175" s="33"/>
      <c r="M175" s="33"/>
      <c r="N175" s="33"/>
      <c r="O175" s="33"/>
      <c r="P175" s="33"/>
      <c r="Q175" s="33"/>
      <c r="R175" s="33"/>
      <c r="S175" s="33"/>
      <c r="T175" s="33"/>
      <c r="U175" s="33"/>
      <c r="V175" s="33"/>
      <c r="W175" s="33"/>
      <c r="X175" s="33"/>
      <c r="Y175" s="33"/>
      <c r="Z175" s="33"/>
      <c r="AA175" s="33"/>
      <c r="AB175" s="33"/>
      <c r="AC175" s="33"/>
      <c r="AD175" s="33"/>
      <c r="AE175" s="33"/>
      <c r="AF175" s="33"/>
      <c r="AG175" s="33"/>
      <c r="AH175" s="33"/>
      <c r="AI175" s="33"/>
      <c r="AJ175" s="33"/>
      <c r="AK175" s="33"/>
      <c r="AL175" s="33"/>
      <c r="AM175" s="33"/>
      <c r="AN175" s="33"/>
      <c r="AO175" s="33"/>
      <c r="AP175" s="33"/>
      <c r="AQ175" s="33"/>
      <c r="AR175" s="33"/>
      <c r="AS175" s="33"/>
      <c r="AT175" s="33"/>
      <c r="AU175" s="33"/>
      <c r="AV175" s="33"/>
      <c r="AW175" s="33"/>
      <c r="AX175" s="33"/>
      <c r="AY175" s="33"/>
      <c r="AZ175" s="33"/>
      <c r="BA175" s="33"/>
      <c r="BB175" s="33"/>
      <c r="BC175" s="33"/>
      <c r="BD175" s="33"/>
      <c r="BE175" s="33"/>
      <c r="BF175" s="33"/>
      <c r="BG175" s="33"/>
      <c r="BH175" s="33"/>
      <c r="BI175" s="33"/>
      <c r="BJ175" s="33"/>
      <c r="BK175" s="33"/>
      <c r="BL175" s="33"/>
      <c r="BM175" s="33"/>
      <c r="BN175" s="33"/>
      <c r="BO175" s="33"/>
    </row>
    <row r="176" spans="1:67">
      <c r="A176" s="11"/>
      <c r="B176" s="11" t="s">
        <v>199</v>
      </c>
      <c r="C176" s="11"/>
      <c r="D176" s="92">
        <v>5</v>
      </c>
      <c r="E176" s="10" t="s">
        <v>45</v>
      </c>
      <c r="F176" s="10"/>
      <c r="G176" s="33"/>
      <c r="H176" s="33"/>
      <c r="I176" s="33"/>
      <c r="J176" s="33"/>
      <c r="K176" s="33"/>
      <c r="L176" s="33"/>
      <c r="M176" s="33"/>
      <c r="N176" s="33"/>
      <c r="O176" s="33"/>
      <c r="P176" s="33"/>
      <c r="Q176" s="33"/>
      <c r="R176" s="33"/>
      <c r="S176" s="33"/>
      <c r="T176" s="33"/>
      <c r="U176" s="33"/>
      <c r="V176" s="33"/>
      <c r="W176" s="33"/>
      <c r="X176" s="33"/>
      <c r="Y176" s="33"/>
      <c r="Z176" s="33"/>
      <c r="AA176" s="33"/>
      <c r="AB176" s="33"/>
      <c r="AC176" s="33"/>
      <c r="AD176" s="33"/>
      <c r="AE176" s="33"/>
      <c r="AF176" s="33"/>
      <c r="AG176" s="33"/>
      <c r="AH176" s="33"/>
      <c r="AI176" s="33"/>
      <c r="AJ176" s="33"/>
      <c r="AK176" s="33"/>
      <c r="AL176" s="33"/>
      <c r="AM176" s="33"/>
      <c r="AN176" s="33"/>
      <c r="AO176" s="33"/>
      <c r="AP176" s="33"/>
      <c r="AQ176" s="33"/>
      <c r="AR176" s="33"/>
      <c r="AS176" s="33"/>
      <c r="AT176" s="33"/>
      <c r="AU176" s="33"/>
      <c r="AV176" s="33"/>
      <c r="AW176" s="33"/>
      <c r="AX176" s="33"/>
      <c r="AY176" s="33"/>
      <c r="AZ176" s="33"/>
      <c r="BA176" s="33"/>
      <c r="BB176" s="33"/>
      <c r="BC176" s="33"/>
      <c r="BD176" s="33"/>
      <c r="BE176" s="33"/>
      <c r="BF176" s="33"/>
      <c r="BG176" s="33"/>
      <c r="BH176" s="33"/>
      <c r="BI176" s="33"/>
      <c r="BJ176" s="33"/>
      <c r="BK176" s="33"/>
      <c r="BL176" s="33"/>
      <c r="BM176" s="33"/>
      <c r="BN176" s="33"/>
      <c r="BO176" s="33"/>
    </row>
    <row r="177" spans="1:67">
      <c r="A177" s="11"/>
      <c r="B177" s="11" t="s">
        <v>200</v>
      </c>
      <c r="C177" s="11"/>
      <c r="D177" s="92">
        <v>5</v>
      </c>
      <c r="E177" s="10" t="s">
        <v>45</v>
      </c>
      <c r="F177" s="10"/>
      <c r="G177" s="33"/>
      <c r="H177" s="33"/>
      <c r="I177" s="33"/>
      <c r="J177" s="33"/>
      <c r="K177" s="33"/>
      <c r="L177" s="33"/>
      <c r="M177" s="33"/>
      <c r="N177" s="33"/>
      <c r="O177" s="33"/>
      <c r="P177" s="33"/>
      <c r="Q177" s="33"/>
      <c r="R177" s="33"/>
      <c r="S177" s="33"/>
      <c r="T177" s="33"/>
      <c r="U177" s="33"/>
      <c r="V177" s="33"/>
      <c r="W177" s="33"/>
      <c r="X177" s="33"/>
      <c r="Y177" s="33"/>
      <c r="Z177" s="33"/>
      <c r="AA177" s="33"/>
      <c r="AB177" s="33"/>
      <c r="AC177" s="33"/>
      <c r="AD177" s="33"/>
      <c r="AE177" s="33"/>
      <c r="AF177" s="33"/>
      <c r="AG177" s="33"/>
      <c r="AH177" s="33"/>
      <c r="AI177" s="33"/>
      <c r="AJ177" s="33"/>
      <c r="AK177" s="33"/>
      <c r="AL177" s="33"/>
      <c r="AM177" s="33"/>
      <c r="AN177" s="33"/>
      <c r="AO177" s="33"/>
      <c r="AP177" s="33"/>
      <c r="AQ177" s="33"/>
      <c r="AR177" s="33"/>
      <c r="AS177" s="33"/>
      <c r="AT177" s="33"/>
      <c r="AU177" s="33"/>
      <c r="AV177" s="33"/>
      <c r="AW177" s="33"/>
      <c r="AX177" s="33"/>
      <c r="AY177" s="33"/>
      <c r="AZ177" s="33"/>
      <c r="BA177" s="33"/>
      <c r="BB177" s="33"/>
      <c r="BC177" s="33"/>
      <c r="BD177" s="33"/>
      <c r="BE177" s="33"/>
      <c r="BF177" s="33"/>
      <c r="BG177" s="33"/>
      <c r="BH177" s="33"/>
      <c r="BI177" s="33"/>
      <c r="BJ177" s="33"/>
      <c r="BK177" s="33"/>
      <c r="BL177" s="33"/>
      <c r="BM177" s="33"/>
      <c r="BN177" s="33"/>
      <c r="BO177" s="33"/>
    </row>
    <row r="178" spans="1:67">
      <c r="A178" s="11"/>
      <c r="B178" s="11" t="s">
        <v>201</v>
      </c>
      <c r="C178" s="11"/>
      <c r="D178" s="92">
        <v>5</v>
      </c>
      <c r="E178" s="10" t="s">
        <v>45</v>
      </c>
      <c r="F178" s="10"/>
      <c r="G178" s="33"/>
      <c r="H178" s="33"/>
      <c r="I178" s="33"/>
      <c r="J178" s="33"/>
      <c r="K178" s="33"/>
      <c r="L178" s="33"/>
      <c r="M178" s="33"/>
      <c r="N178" s="33"/>
      <c r="O178" s="33"/>
      <c r="P178" s="33"/>
      <c r="Q178" s="33"/>
      <c r="R178" s="33"/>
      <c r="S178" s="33"/>
      <c r="T178" s="33"/>
      <c r="U178" s="33"/>
      <c r="V178" s="33"/>
      <c r="W178" s="33"/>
      <c r="X178" s="33"/>
      <c r="Y178" s="33"/>
      <c r="Z178" s="33"/>
      <c r="AA178" s="33"/>
      <c r="AB178" s="33"/>
      <c r="AC178" s="33"/>
      <c r="AD178" s="33"/>
      <c r="AE178" s="33"/>
      <c r="AF178" s="33"/>
      <c r="AG178" s="33"/>
      <c r="AH178" s="33"/>
      <c r="AI178" s="33"/>
      <c r="AJ178" s="33"/>
      <c r="AK178" s="33"/>
      <c r="AL178" s="33"/>
      <c r="AM178" s="33"/>
      <c r="AN178" s="33"/>
      <c r="AO178" s="33"/>
      <c r="AP178" s="33"/>
      <c r="AQ178" s="33"/>
      <c r="AR178" s="33"/>
      <c r="AS178" s="33"/>
      <c r="AT178" s="33"/>
      <c r="AU178" s="33"/>
      <c r="AV178" s="33"/>
      <c r="AW178" s="33"/>
      <c r="AX178" s="33"/>
      <c r="AY178" s="33"/>
      <c r="AZ178" s="33"/>
      <c r="BA178" s="33"/>
      <c r="BB178" s="33"/>
      <c r="BC178" s="33"/>
      <c r="BD178" s="33"/>
      <c r="BE178" s="33"/>
      <c r="BF178" s="33"/>
      <c r="BG178" s="33"/>
      <c r="BH178" s="33"/>
      <c r="BI178" s="33"/>
      <c r="BJ178" s="33"/>
      <c r="BK178" s="33"/>
      <c r="BL178" s="33"/>
      <c r="BM178" s="33"/>
      <c r="BN178" s="33"/>
      <c r="BO178" s="33"/>
    </row>
    <row r="179" spans="1:67">
      <c r="A179" s="11"/>
      <c r="B179" s="11" t="s">
        <v>206</v>
      </c>
      <c r="C179" s="11"/>
      <c r="D179" s="90">
        <f>D63</f>
        <v>30</v>
      </c>
      <c r="E179" s="10" t="s">
        <v>45</v>
      </c>
      <c r="F179" s="10"/>
      <c r="G179" s="33"/>
      <c r="H179" s="33"/>
      <c r="I179" s="33"/>
      <c r="J179" s="33"/>
      <c r="K179" s="33"/>
      <c r="L179" s="33"/>
      <c r="M179" s="33"/>
      <c r="N179" s="33"/>
      <c r="O179" s="33"/>
      <c r="P179" s="33"/>
      <c r="Q179" s="33"/>
      <c r="R179" s="33"/>
      <c r="S179" s="33"/>
      <c r="T179" s="33"/>
      <c r="U179" s="33"/>
      <c r="V179" s="33"/>
      <c r="W179" s="33"/>
      <c r="X179" s="33"/>
      <c r="Y179" s="33"/>
      <c r="Z179" s="33"/>
      <c r="AA179" s="33"/>
      <c r="AB179" s="33"/>
      <c r="AC179" s="33"/>
      <c r="AD179" s="33"/>
      <c r="AE179" s="33"/>
      <c r="AF179" s="33"/>
      <c r="AG179" s="33"/>
      <c r="AH179" s="33"/>
      <c r="AI179" s="33"/>
      <c r="AJ179" s="33"/>
      <c r="AK179" s="33"/>
      <c r="AL179" s="33"/>
      <c r="AM179" s="33"/>
      <c r="AN179" s="33"/>
      <c r="AO179" s="33"/>
      <c r="AP179" s="33"/>
      <c r="AQ179" s="33"/>
      <c r="AR179" s="33"/>
      <c r="AS179" s="33"/>
      <c r="AT179" s="33"/>
      <c r="AU179" s="33"/>
      <c r="AV179" s="33"/>
      <c r="AW179" s="33"/>
      <c r="AX179" s="33"/>
      <c r="AY179" s="33"/>
      <c r="AZ179" s="33"/>
      <c r="BA179" s="33"/>
      <c r="BB179" s="33"/>
      <c r="BC179" s="33"/>
      <c r="BD179" s="33"/>
      <c r="BE179" s="33"/>
      <c r="BF179" s="33"/>
      <c r="BG179" s="33"/>
      <c r="BH179" s="33"/>
      <c r="BI179" s="33"/>
      <c r="BJ179" s="33"/>
      <c r="BK179" s="33"/>
      <c r="BL179" s="33"/>
      <c r="BM179" s="33"/>
      <c r="BN179" s="33"/>
      <c r="BO179" s="33"/>
    </row>
    <row r="180" spans="1:67">
      <c r="A180" s="11"/>
      <c r="B180" s="11" t="s">
        <v>207</v>
      </c>
      <c r="C180" s="11"/>
      <c r="D180" s="90">
        <f>D170</f>
        <v>15</v>
      </c>
      <c r="E180" s="10" t="s">
        <v>45</v>
      </c>
      <c r="F180" s="10"/>
      <c r="G180" s="33"/>
      <c r="H180" s="33"/>
      <c r="I180" s="33"/>
      <c r="J180" s="33"/>
      <c r="K180" s="33"/>
      <c r="L180" s="33"/>
      <c r="M180" s="33"/>
      <c r="N180" s="33"/>
      <c r="O180" s="33"/>
      <c r="P180" s="33"/>
      <c r="Q180" s="33"/>
      <c r="R180" s="33"/>
      <c r="S180" s="33"/>
      <c r="T180" s="33"/>
      <c r="U180" s="33"/>
      <c r="V180" s="33"/>
      <c r="W180" s="33"/>
      <c r="X180" s="33"/>
      <c r="Y180" s="33"/>
      <c r="Z180" s="33"/>
      <c r="AA180" s="33"/>
      <c r="AB180" s="33"/>
      <c r="AC180" s="33"/>
      <c r="AD180" s="33"/>
      <c r="AE180" s="33"/>
      <c r="AF180" s="33"/>
      <c r="AG180" s="33"/>
      <c r="AH180" s="33"/>
      <c r="AI180" s="33"/>
      <c r="AJ180" s="33"/>
      <c r="AK180" s="33"/>
      <c r="AL180" s="33"/>
      <c r="AM180" s="33"/>
      <c r="AN180" s="33"/>
      <c r="AO180" s="33"/>
      <c r="AP180" s="33"/>
      <c r="AQ180" s="33"/>
      <c r="AR180" s="33"/>
      <c r="AS180" s="33"/>
      <c r="AT180" s="33"/>
      <c r="AU180" s="33"/>
      <c r="AV180" s="33"/>
      <c r="AW180" s="33"/>
      <c r="AX180" s="33"/>
      <c r="AY180" s="33"/>
      <c r="AZ180" s="33"/>
      <c r="BA180" s="33"/>
      <c r="BB180" s="33"/>
      <c r="BC180" s="33"/>
      <c r="BD180" s="33"/>
      <c r="BE180" s="33"/>
      <c r="BF180" s="33"/>
      <c r="BG180" s="33"/>
      <c r="BH180" s="33"/>
      <c r="BI180" s="33"/>
      <c r="BJ180" s="33"/>
      <c r="BK180" s="33"/>
      <c r="BL180" s="33"/>
      <c r="BM180" s="33"/>
      <c r="BN180" s="33"/>
      <c r="BO180" s="33"/>
    </row>
    <row r="181" spans="1:67">
      <c r="A181" s="11"/>
      <c r="B181" s="11"/>
      <c r="C181" s="11"/>
      <c r="D181" s="33"/>
      <c r="E181" s="33"/>
      <c r="F181" s="33"/>
      <c r="G181" s="33"/>
      <c r="H181" s="33"/>
      <c r="I181" s="33"/>
      <c r="J181" s="33"/>
      <c r="K181" s="33"/>
      <c r="L181" s="33"/>
      <c r="M181" s="33"/>
      <c r="N181" s="33"/>
      <c r="O181" s="33"/>
      <c r="P181" s="33"/>
      <c r="Q181" s="33"/>
      <c r="R181" s="33"/>
      <c r="S181" s="33"/>
      <c r="T181" s="33"/>
      <c r="U181" s="33"/>
      <c r="V181" s="33"/>
      <c r="W181" s="33"/>
      <c r="X181" s="33"/>
      <c r="Y181" s="33"/>
      <c r="Z181" s="33"/>
      <c r="AA181" s="33"/>
      <c r="AB181" s="33"/>
      <c r="AC181" s="33"/>
      <c r="AD181" s="33"/>
      <c r="AE181" s="33"/>
      <c r="AF181" s="33"/>
      <c r="AG181" s="33"/>
      <c r="AH181" s="33"/>
      <c r="AI181" s="33"/>
      <c r="AJ181" s="33"/>
      <c r="AK181" s="33"/>
      <c r="AL181" s="33"/>
      <c r="AM181" s="33"/>
      <c r="AN181" s="33"/>
      <c r="AO181" s="33"/>
      <c r="AP181" s="33"/>
      <c r="AQ181" s="33"/>
      <c r="AR181" s="33"/>
      <c r="AS181" s="33"/>
      <c r="AT181" s="33"/>
      <c r="AU181" s="33"/>
      <c r="AV181" s="33"/>
      <c r="AW181" s="33"/>
      <c r="AX181" s="33"/>
      <c r="AY181" s="33"/>
      <c r="AZ181" s="33"/>
      <c r="BA181" s="33"/>
      <c r="BB181" s="33"/>
      <c r="BC181" s="33"/>
      <c r="BD181" s="33"/>
      <c r="BE181" s="33"/>
      <c r="BF181" s="33"/>
      <c r="BG181" s="33"/>
      <c r="BH181" s="33"/>
      <c r="BI181" s="33"/>
      <c r="BJ181" s="33"/>
      <c r="BK181" s="33"/>
      <c r="BL181" s="33"/>
      <c r="BM181" s="33"/>
      <c r="BN181" s="33"/>
      <c r="BO181" s="33"/>
    </row>
    <row r="182" spans="1:67">
      <c r="A182" s="18" t="s">
        <v>136</v>
      </c>
      <c r="B182" s="18"/>
      <c r="C182" s="18"/>
      <c r="D182" s="39"/>
      <c r="E182" s="39"/>
      <c r="F182" s="39"/>
      <c r="G182" s="39"/>
      <c r="H182" s="39"/>
      <c r="I182" s="39"/>
      <c r="J182" s="39"/>
      <c r="K182" s="39"/>
      <c r="L182" s="39"/>
      <c r="M182" s="39"/>
      <c r="N182" s="39"/>
      <c r="O182" s="39"/>
      <c r="P182" s="39"/>
      <c r="Q182" s="39"/>
      <c r="R182" s="39"/>
      <c r="S182" s="39"/>
      <c r="T182" s="39"/>
      <c r="U182" s="39"/>
      <c r="V182" s="39"/>
      <c r="W182" s="39"/>
      <c r="X182" s="39"/>
      <c r="Y182" s="39"/>
      <c r="Z182" s="39"/>
      <c r="AA182" s="39"/>
      <c r="AB182" s="39"/>
      <c r="AC182" s="39"/>
      <c r="AD182" s="39"/>
      <c r="AE182" s="39"/>
      <c r="AF182" s="39"/>
      <c r="AG182" s="39"/>
      <c r="AH182" s="39"/>
      <c r="AI182" s="39"/>
      <c r="AJ182" s="39"/>
      <c r="AK182" s="39"/>
      <c r="AL182" s="39"/>
      <c r="AM182" s="39"/>
      <c r="AN182" s="39"/>
      <c r="AO182" s="39"/>
      <c r="AP182" s="39"/>
      <c r="AQ182" s="39"/>
      <c r="AR182" s="39"/>
      <c r="AS182" s="39"/>
      <c r="AT182" s="39"/>
      <c r="AU182" s="39"/>
      <c r="AV182" s="39"/>
      <c r="AW182" s="39"/>
      <c r="AX182" s="39"/>
      <c r="AY182" s="39"/>
      <c r="AZ182" s="39"/>
      <c r="BA182" s="39"/>
      <c r="BB182" s="39"/>
      <c r="BC182" s="39"/>
      <c r="BD182" s="39"/>
      <c r="BE182" s="39"/>
      <c r="BF182" s="39"/>
      <c r="BG182" s="39"/>
      <c r="BH182" s="39"/>
      <c r="BI182" s="39"/>
      <c r="BJ182" s="39"/>
      <c r="BK182" s="39"/>
      <c r="BL182" s="39"/>
      <c r="BM182" s="39"/>
      <c r="BN182" s="39"/>
      <c r="BO182" s="39"/>
    </row>
    <row r="183" spans="1:67">
      <c r="A183" s="11"/>
      <c r="B183" s="11" t="s">
        <v>208</v>
      </c>
      <c r="C183" s="11"/>
      <c r="D183" s="31">
        <f>D6</f>
        <v>46388</v>
      </c>
      <c r="E183" s="10" t="s">
        <v>43</v>
      </c>
      <c r="F183" s="10"/>
      <c r="G183" s="33"/>
      <c r="H183" s="33"/>
      <c r="I183" s="33"/>
      <c r="J183" s="33"/>
      <c r="K183" s="33"/>
      <c r="L183" s="33"/>
      <c r="M183" s="33"/>
      <c r="N183" s="33"/>
      <c r="O183" s="33"/>
      <c r="P183" s="33"/>
      <c r="Q183" s="33"/>
      <c r="R183" s="33"/>
      <c r="S183" s="33"/>
      <c r="T183" s="33"/>
      <c r="U183" s="33"/>
      <c r="V183" s="33"/>
      <c r="W183" s="33"/>
      <c r="X183" s="33"/>
      <c r="Y183" s="33"/>
      <c r="Z183" s="33"/>
      <c r="AA183" s="33"/>
      <c r="AB183" s="33"/>
      <c r="AC183" s="33"/>
      <c r="AD183" s="33"/>
      <c r="AE183" s="33"/>
      <c r="AF183" s="33"/>
      <c r="AG183" s="33"/>
      <c r="AH183" s="33"/>
      <c r="AI183" s="33"/>
      <c r="AJ183" s="33"/>
      <c r="AK183" s="33"/>
      <c r="AL183" s="33"/>
      <c r="AM183" s="33"/>
      <c r="AN183" s="33"/>
      <c r="AO183" s="33"/>
      <c r="AP183" s="33"/>
      <c r="AQ183" s="33"/>
      <c r="AR183" s="33"/>
      <c r="AS183" s="33"/>
      <c r="AT183" s="33"/>
      <c r="AU183" s="33"/>
      <c r="AV183" s="33"/>
      <c r="AW183" s="33"/>
      <c r="AX183" s="33"/>
      <c r="AY183" s="33"/>
      <c r="AZ183" s="33"/>
      <c r="BA183" s="33"/>
      <c r="BB183" s="33"/>
      <c r="BC183" s="33"/>
      <c r="BD183" s="33"/>
      <c r="BE183" s="33"/>
      <c r="BF183" s="33"/>
      <c r="BG183" s="33"/>
      <c r="BH183" s="33"/>
      <c r="BI183" s="33"/>
      <c r="BJ183" s="33"/>
      <c r="BK183" s="33"/>
      <c r="BL183" s="33"/>
      <c r="BM183" s="33"/>
      <c r="BN183" s="33"/>
      <c r="BO183" s="33"/>
    </row>
    <row r="184" spans="1:67">
      <c r="A184" s="11"/>
      <c r="B184" s="11" t="s">
        <v>202</v>
      </c>
      <c r="C184" s="11"/>
      <c r="D184" s="66">
        <v>0.5</v>
      </c>
      <c r="E184" s="10" t="s">
        <v>175</v>
      </c>
      <c r="F184" s="10"/>
      <c r="G184" s="33"/>
      <c r="H184" s="33"/>
      <c r="I184" s="33"/>
      <c r="J184" s="33"/>
      <c r="K184" s="33"/>
      <c r="L184" s="33"/>
      <c r="M184" s="33"/>
      <c r="N184" s="33"/>
      <c r="O184" s="33"/>
      <c r="P184" s="33"/>
      <c r="Q184" s="33"/>
      <c r="R184" s="33"/>
      <c r="S184" s="33"/>
      <c r="T184" s="33"/>
      <c r="U184" s="33"/>
      <c r="V184" s="33"/>
      <c r="W184" s="33"/>
      <c r="X184" s="33"/>
      <c r="Y184" s="33"/>
      <c r="Z184" s="33"/>
      <c r="AA184" s="33"/>
      <c r="AB184" s="33"/>
      <c r="AC184" s="33"/>
      <c r="AD184" s="33"/>
      <c r="AE184" s="33"/>
      <c r="AF184" s="33"/>
      <c r="AG184" s="33"/>
      <c r="AH184" s="33"/>
      <c r="AI184" s="33"/>
      <c r="AJ184" s="33"/>
      <c r="AK184" s="33"/>
      <c r="AL184" s="33"/>
      <c r="AM184" s="33"/>
      <c r="AN184" s="33"/>
      <c r="AO184" s="33"/>
      <c r="AP184" s="33"/>
      <c r="AQ184" s="33"/>
      <c r="AR184" s="33"/>
      <c r="AS184" s="33"/>
      <c r="AT184" s="33"/>
      <c r="AU184" s="33"/>
      <c r="AV184" s="33"/>
      <c r="AW184" s="33"/>
      <c r="AX184" s="33"/>
      <c r="AY184" s="33"/>
      <c r="AZ184" s="33"/>
      <c r="BA184" s="33"/>
      <c r="BB184" s="33"/>
      <c r="BC184" s="33"/>
      <c r="BD184" s="33"/>
      <c r="BE184" s="33"/>
      <c r="BF184" s="33"/>
      <c r="BG184" s="33"/>
      <c r="BH184" s="33"/>
      <c r="BI184" s="33"/>
      <c r="BJ184" s="33"/>
      <c r="BK184" s="33"/>
      <c r="BL184" s="33"/>
      <c r="BM184" s="33"/>
      <c r="BN184" s="33"/>
      <c r="BO184" s="33"/>
    </row>
    <row r="185" spans="1:67">
      <c r="A185" s="11"/>
      <c r="B185" s="11" t="s">
        <v>210</v>
      </c>
      <c r="C185" s="11"/>
      <c r="D185" s="32" t="s">
        <v>211</v>
      </c>
      <c r="E185" s="33"/>
      <c r="F185" s="33"/>
      <c r="G185" s="33"/>
      <c r="H185" s="33"/>
      <c r="I185" s="33"/>
      <c r="J185" s="33"/>
      <c r="K185" s="33"/>
      <c r="L185" s="33"/>
      <c r="M185" s="33"/>
      <c r="N185" s="33"/>
      <c r="O185" s="33"/>
      <c r="P185" s="33"/>
      <c r="Q185" s="33"/>
      <c r="R185" s="33"/>
      <c r="S185" s="33"/>
      <c r="T185" s="33"/>
      <c r="U185" s="33"/>
      <c r="V185" s="33"/>
      <c r="W185" s="33"/>
      <c r="X185" s="33"/>
      <c r="Y185" s="33"/>
      <c r="Z185" s="33"/>
      <c r="AA185" s="33"/>
      <c r="AB185" s="33"/>
      <c r="AC185" s="33"/>
      <c r="AD185" s="33"/>
      <c r="AE185" s="33"/>
      <c r="AF185" s="33"/>
      <c r="AG185" s="33"/>
      <c r="AH185" s="33"/>
      <c r="AI185" s="33"/>
      <c r="AJ185" s="33"/>
      <c r="AK185" s="33"/>
      <c r="AL185" s="33"/>
      <c r="AM185" s="33"/>
      <c r="AN185" s="33"/>
      <c r="AO185" s="33"/>
      <c r="AP185" s="33"/>
      <c r="AQ185" s="33"/>
      <c r="AR185" s="33"/>
      <c r="AS185" s="33"/>
      <c r="AT185" s="33"/>
      <c r="AU185" s="33"/>
      <c r="AV185" s="33"/>
      <c r="AW185" s="33"/>
      <c r="AX185" s="33"/>
      <c r="AY185" s="33"/>
      <c r="AZ185" s="33"/>
      <c r="BA185" s="33"/>
      <c r="BB185" s="33"/>
      <c r="BC185" s="33"/>
      <c r="BD185" s="33"/>
      <c r="BE185" s="33"/>
      <c r="BF185" s="33"/>
      <c r="BG185" s="33"/>
      <c r="BH185" s="33"/>
      <c r="BI185" s="33"/>
      <c r="BJ185" s="33"/>
      <c r="BK185" s="33"/>
      <c r="BL185" s="33"/>
      <c r="BM185" s="33"/>
      <c r="BN185" s="33"/>
      <c r="BO185" s="33"/>
    </row>
    <row r="186" spans="1:67">
      <c r="A186" s="11"/>
      <c r="B186" s="11" t="s">
        <v>203</v>
      </c>
      <c r="C186" s="11"/>
      <c r="D186" s="19">
        <v>0.05</v>
      </c>
      <c r="E186" s="10" t="s">
        <v>7</v>
      </c>
      <c r="F186" s="10"/>
      <c r="G186" s="33"/>
      <c r="H186" s="33"/>
      <c r="I186" s="33"/>
      <c r="J186" s="33"/>
      <c r="K186" s="33"/>
      <c r="L186" s="33"/>
      <c r="M186" s="33"/>
      <c r="N186" s="33"/>
      <c r="O186" s="33"/>
      <c r="P186" s="33"/>
      <c r="Q186" s="33"/>
      <c r="R186" s="33"/>
      <c r="S186" s="33"/>
      <c r="T186" s="33"/>
      <c r="U186" s="33"/>
      <c r="V186" s="33"/>
      <c r="W186" s="33"/>
      <c r="X186" s="33"/>
      <c r="Y186" s="33"/>
      <c r="Z186" s="33"/>
      <c r="AA186" s="33"/>
      <c r="AB186" s="33"/>
      <c r="AC186" s="33"/>
      <c r="AD186" s="33"/>
      <c r="AE186" s="33"/>
      <c r="AF186" s="33"/>
      <c r="AG186" s="33"/>
      <c r="AH186" s="33"/>
      <c r="AI186" s="33"/>
      <c r="AJ186" s="33"/>
      <c r="AK186" s="33"/>
      <c r="AL186" s="33"/>
      <c r="AM186" s="33"/>
      <c r="AN186" s="33"/>
      <c r="AO186" s="33"/>
      <c r="AP186" s="33"/>
      <c r="AQ186" s="33"/>
      <c r="AR186" s="33"/>
      <c r="AS186" s="33"/>
      <c r="AT186" s="33"/>
      <c r="AU186" s="33"/>
      <c r="AV186" s="33"/>
      <c r="AW186" s="33"/>
      <c r="AX186" s="33"/>
      <c r="AY186" s="33"/>
      <c r="AZ186" s="33"/>
      <c r="BA186" s="33"/>
      <c r="BB186" s="33"/>
      <c r="BC186" s="33"/>
      <c r="BD186" s="33"/>
      <c r="BE186" s="33"/>
      <c r="BF186" s="33"/>
      <c r="BG186" s="33"/>
      <c r="BH186" s="33"/>
      <c r="BI186" s="33"/>
      <c r="BJ186" s="33"/>
      <c r="BK186" s="33"/>
      <c r="BL186" s="33"/>
      <c r="BM186" s="33"/>
      <c r="BN186" s="33"/>
      <c r="BO186" s="33"/>
    </row>
    <row r="187" spans="1:67">
      <c r="A187" s="11"/>
      <c r="B187" s="11"/>
      <c r="C187" s="11"/>
      <c r="D187" s="33"/>
      <c r="E187" s="33"/>
      <c r="F187" s="33"/>
      <c r="G187" s="33"/>
      <c r="H187" s="33"/>
      <c r="I187" s="33"/>
      <c r="J187" s="33"/>
      <c r="K187" s="33"/>
      <c r="L187" s="33"/>
      <c r="M187" s="33"/>
      <c r="N187" s="33"/>
      <c r="O187" s="33"/>
      <c r="P187" s="33"/>
      <c r="Q187" s="33"/>
      <c r="R187" s="33"/>
      <c r="S187" s="33"/>
      <c r="T187" s="33"/>
      <c r="U187" s="33"/>
      <c r="V187" s="33"/>
      <c r="W187" s="33"/>
      <c r="X187" s="33"/>
      <c r="Y187" s="33"/>
      <c r="Z187" s="33"/>
      <c r="AA187" s="33"/>
      <c r="AB187" s="33"/>
      <c r="AC187" s="33"/>
      <c r="AD187" s="33"/>
      <c r="AE187" s="33"/>
      <c r="AF187" s="33"/>
      <c r="AG187" s="33"/>
      <c r="AH187" s="33"/>
      <c r="AI187" s="33"/>
      <c r="AJ187" s="33"/>
      <c r="AK187" s="33"/>
      <c r="AL187" s="33"/>
      <c r="AM187" s="33"/>
      <c r="AN187" s="33"/>
      <c r="AO187" s="33"/>
      <c r="AP187" s="33"/>
      <c r="AQ187" s="33"/>
      <c r="AR187" s="33"/>
      <c r="AS187" s="33"/>
      <c r="AT187" s="33"/>
      <c r="AU187" s="33"/>
      <c r="AV187" s="33"/>
      <c r="AW187" s="33"/>
      <c r="AX187" s="33"/>
      <c r="AY187" s="33"/>
      <c r="AZ187" s="33"/>
      <c r="BA187" s="33"/>
      <c r="BB187" s="33"/>
      <c r="BC187" s="33"/>
      <c r="BD187" s="33"/>
      <c r="BE187" s="33"/>
      <c r="BF187" s="33"/>
      <c r="BG187" s="33"/>
      <c r="BH187" s="33"/>
      <c r="BI187" s="33"/>
      <c r="BJ187" s="44"/>
      <c r="BK187" s="44"/>
      <c r="BL187" s="44"/>
      <c r="BM187" s="44"/>
      <c r="BN187" s="44"/>
      <c r="BO187" s="44"/>
    </row>
    <row r="188" spans="1:67">
      <c r="A188" s="18" t="s">
        <v>646</v>
      </c>
      <c r="B188" s="18"/>
      <c r="C188" s="18"/>
      <c r="D188" s="39"/>
      <c r="E188" s="39"/>
      <c r="F188" s="39"/>
      <c r="G188" s="39"/>
      <c r="H188" s="39"/>
      <c r="I188" s="39"/>
      <c r="J188" s="39"/>
      <c r="K188" s="39"/>
      <c r="L188" s="39"/>
      <c r="M188" s="39"/>
      <c r="N188" s="39"/>
      <c r="O188" s="39"/>
      <c r="P188" s="39"/>
      <c r="Q188" s="39"/>
      <c r="R188" s="39"/>
      <c r="S188" s="39"/>
      <c r="T188" s="39"/>
      <c r="U188" s="39"/>
      <c r="V188" s="39"/>
      <c r="W188" s="39"/>
      <c r="X188" s="39"/>
      <c r="Y188" s="39"/>
      <c r="Z188" s="39"/>
      <c r="AA188" s="39"/>
      <c r="AB188" s="39"/>
      <c r="AC188" s="39"/>
      <c r="AD188" s="39"/>
      <c r="AE188" s="39"/>
      <c r="AF188" s="39"/>
      <c r="AG188" s="39"/>
      <c r="AH188" s="39"/>
      <c r="AI188" s="39"/>
      <c r="AJ188" s="39"/>
      <c r="AK188" s="39"/>
      <c r="AL188" s="39"/>
      <c r="AM188" s="39"/>
      <c r="AN188" s="39"/>
      <c r="AO188" s="39"/>
      <c r="AP188" s="39"/>
      <c r="AQ188" s="39"/>
      <c r="AR188" s="39"/>
      <c r="AS188" s="39"/>
      <c r="AT188" s="39"/>
      <c r="AU188" s="39"/>
      <c r="AV188" s="39"/>
      <c r="AW188" s="39"/>
      <c r="AX188" s="39"/>
      <c r="AY188" s="39"/>
      <c r="AZ188" s="39"/>
      <c r="BA188" s="39"/>
      <c r="BB188" s="39"/>
      <c r="BC188" s="39"/>
      <c r="BD188" s="39"/>
      <c r="BE188" s="39"/>
      <c r="BF188" s="39"/>
      <c r="BG188" s="39"/>
      <c r="BH188" s="39"/>
      <c r="BI188" s="39"/>
      <c r="BJ188" s="45"/>
      <c r="BK188" s="45"/>
      <c r="BL188" s="45"/>
      <c r="BM188" s="45"/>
      <c r="BN188" s="45"/>
      <c r="BO188" s="45"/>
    </row>
    <row r="189" spans="1:67">
      <c r="A189" s="11"/>
      <c r="B189" s="11" t="s">
        <v>647</v>
      </c>
      <c r="C189" s="11"/>
      <c r="D189" s="95">
        <v>1</v>
      </c>
      <c r="E189" s="10" t="s">
        <v>175</v>
      </c>
      <c r="F189" s="10"/>
      <c r="G189" s="33"/>
      <c r="H189" s="33"/>
      <c r="I189" s="33"/>
      <c r="J189" s="33"/>
      <c r="K189" s="33"/>
      <c r="L189" s="33"/>
      <c r="M189" s="33"/>
      <c r="N189" s="33"/>
      <c r="O189" s="33"/>
      <c r="P189" s="33"/>
      <c r="Q189" s="33"/>
      <c r="R189" s="33"/>
      <c r="S189" s="33"/>
      <c r="T189" s="33"/>
      <c r="U189" s="33"/>
      <c r="V189" s="33"/>
      <c r="W189" s="33"/>
      <c r="X189" s="33"/>
      <c r="Y189" s="33"/>
      <c r="Z189" s="33"/>
      <c r="AA189" s="33"/>
      <c r="AB189" s="33"/>
      <c r="AC189" s="33"/>
      <c r="AD189" s="33"/>
      <c r="AE189" s="33"/>
      <c r="AF189" s="33"/>
      <c r="AG189" s="33"/>
      <c r="AH189" s="33"/>
      <c r="AI189" s="33"/>
      <c r="AJ189" s="33"/>
      <c r="AK189" s="33"/>
      <c r="AL189" s="33"/>
      <c r="AM189" s="33"/>
      <c r="AN189" s="33"/>
      <c r="AO189" s="33"/>
      <c r="AP189" s="33"/>
      <c r="AQ189" s="33"/>
      <c r="AR189" s="33"/>
      <c r="AS189" s="33"/>
      <c r="AT189" s="33"/>
      <c r="AU189" s="33"/>
      <c r="AV189" s="33"/>
      <c r="AW189" s="33"/>
      <c r="AX189" s="33"/>
      <c r="AY189" s="33"/>
      <c r="AZ189" s="33"/>
      <c r="BA189" s="33"/>
      <c r="BB189" s="33"/>
      <c r="BC189" s="33"/>
      <c r="BD189" s="33"/>
      <c r="BE189" s="33"/>
      <c r="BF189" s="33"/>
      <c r="BG189" s="33"/>
      <c r="BH189" s="33"/>
      <c r="BI189" s="33"/>
      <c r="BJ189" s="44"/>
      <c r="BK189" s="44"/>
      <c r="BL189" s="44"/>
      <c r="BM189" s="44"/>
      <c r="BN189" s="44"/>
      <c r="BO189" s="44"/>
    </row>
    <row r="190" spans="1:67">
      <c r="A190" s="11"/>
      <c r="B190" s="11" t="s">
        <v>648</v>
      </c>
      <c r="C190" s="11"/>
      <c r="D190" s="95">
        <v>1</v>
      </c>
      <c r="E190" s="10" t="s">
        <v>175</v>
      </c>
      <c r="F190" s="10"/>
      <c r="G190" s="33"/>
      <c r="H190" s="33"/>
      <c r="I190" s="33"/>
      <c r="J190" s="33"/>
      <c r="K190" s="33"/>
      <c r="L190" s="33"/>
      <c r="M190" s="33"/>
      <c r="N190" s="33"/>
      <c r="O190" s="33"/>
      <c r="P190" s="33"/>
      <c r="Q190" s="33"/>
      <c r="R190" s="33"/>
      <c r="S190" s="33"/>
      <c r="T190" s="33"/>
      <c r="U190" s="33"/>
      <c r="V190" s="33"/>
      <c r="W190" s="33"/>
      <c r="X190" s="33"/>
      <c r="Y190" s="33"/>
      <c r="Z190" s="33"/>
      <c r="AA190" s="33"/>
      <c r="AB190" s="33"/>
      <c r="AC190" s="33"/>
      <c r="AD190" s="33"/>
      <c r="AE190" s="33"/>
      <c r="AF190" s="33"/>
      <c r="AG190" s="33"/>
      <c r="AH190" s="33"/>
      <c r="AI190" s="33"/>
      <c r="AJ190" s="33"/>
      <c r="AK190" s="33"/>
      <c r="AL190" s="33"/>
      <c r="AM190" s="33"/>
      <c r="AN190" s="33"/>
      <c r="AO190" s="33"/>
      <c r="AP190" s="33"/>
      <c r="AQ190" s="33"/>
      <c r="AR190" s="33"/>
      <c r="AS190" s="33"/>
      <c r="AT190" s="33"/>
      <c r="AU190" s="33"/>
      <c r="AV190" s="33"/>
      <c r="AW190" s="33"/>
      <c r="AX190" s="33"/>
      <c r="AY190" s="33"/>
      <c r="AZ190" s="33"/>
      <c r="BA190" s="33"/>
      <c r="BB190" s="33"/>
      <c r="BC190" s="33"/>
      <c r="BD190" s="33"/>
      <c r="BE190" s="33"/>
      <c r="BF190" s="33"/>
      <c r="BG190" s="33"/>
      <c r="BH190" s="33"/>
      <c r="BI190" s="33"/>
      <c r="BJ190" s="44"/>
      <c r="BK190" s="44"/>
      <c r="BL190" s="44"/>
      <c r="BM190" s="44"/>
      <c r="BN190" s="44"/>
      <c r="BO190" s="44"/>
    </row>
    <row r="191" spans="1:67">
      <c r="A191" s="32"/>
      <c r="B191" s="32" t="s">
        <v>1685</v>
      </c>
      <c r="C191" s="11"/>
      <c r="D191" s="63">
        <v>1</v>
      </c>
      <c r="E191" s="33" t="s">
        <v>175</v>
      </c>
      <c r="F191" s="33"/>
      <c r="G191" s="33"/>
      <c r="H191" s="33"/>
      <c r="I191" s="33"/>
      <c r="J191" s="33"/>
      <c r="K191" s="33"/>
      <c r="L191" s="33"/>
      <c r="M191" s="33"/>
      <c r="N191" s="33"/>
      <c r="O191" s="33"/>
      <c r="P191" s="33"/>
      <c r="Q191" s="33"/>
      <c r="R191" s="33"/>
      <c r="S191" s="33"/>
      <c r="T191" s="33"/>
      <c r="U191" s="33"/>
      <c r="V191" s="33"/>
      <c r="W191" s="33"/>
      <c r="X191" s="33"/>
      <c r="Y191" s="33"/>
      <c r="Z191" s="33"/>
      <c r="AA191" s="33"/>
      <c r="AB191" s="33"/>
      <c r="AC191" s="33"/>
      <c r="AD191" s="33"/>
      <c r="AE191" s="33"/>
      <c r="AF191" s="33"/>
      <c r="AG191" s="33"/>
      <c r="AH191" s="33"/>
      <c r="AI191" s="33"/>
      <c r="AJ191" s="33"/>
      <c r="AK191" s="33"/>
      <c r="AL191" s="33"/>
      <c r="AM191" s="33"/>
      <c r="AN191" s="33"/>
      <c r="AO191" s="33"/>
      <c r="AP191" s="33"/>
      <c r="AQ191" s="33"/>
      <c r="AR191" s="33"/>
      <c r="AS191" s="33"/>
      <c r="AT191" s="33"/>
      <c r="AU191" s="33"/>
      <c r="AV191" s="33"/>
      <c r="AW191" s="33"/>
      <c r="AX191" s="33"/>
      <c r="AY191" s="33"/>
      <c r="AZ191" s="33"/>
      <c r="BA191" s="33"/>
      <c r="BB191" s="33"/>
      <c r="BC191" s="33"/>
      <c r="BD191" s="33"/>
      <c r="BE191" s="33"/>
      <c r="BF191" s="33"/>
      <c r="BG191" s="33"/>
      <c r="BH191" s="33"/>
      <c r="BI191" s="33"/>
      <c r="BJ191" s="44"/>
      <c r="BK191" s="44"/>
      <c r="BL191" s="44"/>
      <c r="BM191" s="44"/>
      <c r="BN191" s="44"/>
      <c r="BO191" s="44"/>
    </row>
    <row r="192" spans="1:67">
      <c r="A192" s="18" t="s">
        <v>684</v>
      </c>
      <c r="B192" s="18"/>
      <c r="C192" s="18"/>
      <c r="D192" s="39"/>
      <c r="E192" s="39"/>
      <c r="F192" s="39"/>
      <c r="G192" s="39"/>
      <c r="H192" s="39"/>
      <c r="I192" s="39"/>
      <c r="J192" s="39"/>
      <c r="K192" s="39"/>
      <c r="L192" s="39"/>
      <c r="M192" s="39"/>
      <c r="N192" s="39"/>
      <c r="O192" s="39"/>
      <c r="P192" s="39"/>
      <c r="Q192" s="39"/>
      <c r="R192" s="39"/>
      <c r="S192" s="39"/>
      <c r="T192" s="39"/>
      <c r="U192" s="39"/>
      <c r="V192" s="39"/>
      <c r="W192" s="39"/>
      <c r="X192" s="39"/>
      <c r="Y192" s="39"/>
      <c r="Z192" s="39"/>
      <c r="AA192" s="39"/>
      <c r="AB192" s="39"/>
      <c r="AC192" s="39"/>
      <c r="AD192" s="39"/>
      <c r="AE192" s="39"/>
      <c r="AF192" s="39"/>
      <c r="AG192" s="39"/>
      <c r="AH192" s="39"/>
      <c r="AI192" s="39"/>
      <c r="AJ192" s="39"/>
      <c r="AK192" s="39"/>
      <c r="AL192" s="39"/>
      <c r="AM192" s="39"/>
      <c r="AN192" s="39"/>
      <c r="AO192" s="39"/>
      <c r="AP192" s="39"/>
      <c r="AQ192" s="39"/>
      <c r="AR192" s="39"/>
      <c r="AS192" s="39"/>
      <c r="AT192" s="39"/>
      <c r="AU192" s="39"/>
      <c r="AV192" s="39"/>
      <c r="AW192" s="39"/>
      <c r="AX192" s="39"/>
      <c r="AY192" s="39"/>
      <c r="AZ192" s="39"/>
      <c r="BA192" s="39"/>
      <c r="BB192" s="39"/>
      <c r="BC192" s="39"/>
      <c r="BD192" s="39"/>
      <c r="BE192" s="39"/>
      <c r="BF192" s="39"/>
      <c r="BG192" s="39"/>
      <c r="BH192" s="39"/>
      <c r="BI192" s="39"/>
      <c r="BJ192" s="45"/>
      <c r="BK192" s="45"/>
      <c r="BL192" s="45"/>
      <c r="BM192" s="45"/>
      <c r="BN192" s="45"/>
      <c r="BO192" s="45"/>
    </row>
    <row r="193" spans="1:67">
      <c r="A193" s="11"/>
      <c r="B193" s="11" t="s">
        <v>685</v>
      </c>
      <c r="C193" s="11"/>
      <c r="D193" s="95">
        <v>1</v>
      </c>
      <c r="E193" s="10" t="s">
        <v>44</v>
      </c>
      <c r="F193" s="10"/>
      <c r="G193" s="33"/>
      <c r="H193" s="33"/>
      <c r="I193" s="33"/>
      <c r="J193" s="33"/>
      <c r="K193" s="33"/>
      <c r="L193" s="33"/>
      <c r="M193" s="33"/>
      <c r="N193" s="33"/>
      <c r="O193" s="33"/>
      <c r="P193" s="33"/>
      <c r="Q193" s="33"/>
      <c r="R193" s="33"/>
      <c r="S193" s="33"/>
      <c r="T193" s="33"/>
      <c r="U193" s="33"/>
      <c r="V193" s="33"/>
      <c r="W193" s="33"/>
      <c r="X193" s="33"/>
      <c r="Y193" s="33"/>
      <c r="Z193" s="33"/>
      <c r="AA193" s="33"/>
      <c r="AB193" s="33"/>
      <c r="AC193" s="33"/>
      <c r="AD193" s="33"/>
      <c r="AE193" s="33"/>
      <c r="AF193" s="33"/>
      <c r="AG193" s="33"/>
      <c r="AH193" s="33"/>
      <c r="AI193" s="33"/>
      <c r="AJ193" s="33"/>
      <c r="AK193" s="33"/>
      <c r="AL193" s="33"/>
      <c r="AM193" s="33"/>
      <c r="AN193" s="33"/>
      <c r="AO193" s="33"/>
      <c r="AP193" s="33"/>
      <c r="AQ193" s="33"/>
      <c r="AR193" s="33"/>
      <c r="AS193" s="33"/>
      <c r="AT193" s="33"/>
      <c r="AU193" s="33"/>
      <c r="AV193" s="33"/>
      <c r="AW193" s="33"/>
      <c r="AX193" s="33"/>
      <c r="AY193" s="33"/>
      <c r="AZ193" s="33"/>
      <c r="BA193" s="33"/>
      <c r="BB193" s="33"/>
      <c r="BC193" s="33"/>
      <c r="BD193" s="33"/>
      <c r="BE193" s="33"/>
      <c r="BF193" s="33"/>
      <c r="BG193" s="33"/>
      <c r="BH193" s="33"/>
      <c r="BI193" s="33"/>
      <c r="BJ193" s="44"/>
      <c r="BK193" s="44"/>
      <c r="BL193" s="44"/>
      <c r="BM193" s="44"/>
      <c r="BN193" s="44"/>
      <c r="BO193" s="44"/>
    </row>
    <row r="194" spans="1:67">
      <c r="A194" s="11"/>
      <c r="B194" s="11" t="s">
        <v>686</v>
      </c>
      <c r="C194" s="11"/>
      <c r="D194" s="19">
        <v>0.2</v>
      </c>
      <c r="E194" s="43"/>
      <c r="F194" s="43"/>
      <c r="G194" s="33"/>
      <c r="H194" s="33"/>
      <c r="I194" s="33"/>
      <c r="J194" s="33"/>
      <c r="K194" s="33"/>
      <c r="L194" s="33"/>
      <c r="M194" s="33"/>
      <c r="N194" s="33"/>
      <c r="O194" s="33"/>
      <c r="P194" s="33"/>
      <c r="Q194" s="33"/>
      <c r="R194" s="33"/>
      <c r="S194" s="33"/>
      <c r="T194" s="33"/>
      <c r="U194" s="33"/>
      <c r="V194" s="33"/>
      <c r="W194" s="33"/>
      <c r="X194" s="33"/>
      <c r="Y194" s="33"/>
      <c r="Z194" s="33"/>
      <c r="AA194" s="33"/>
      <c r="AB194" s="33"/>
      <c r="AC194" s="33"/>
      <c r="AD194" s="33"/>
      <c r="AE194" s="33"/>
      <c r="AF194" s="33"/>
      <c r="AG194" s="33"/>
      <c r="AH194" s="33"/>
      <c r="AI194" s="33"/>
      <c r="AJ194" s="33"/>
      <c r="AK194" s="33"/>
      <c r="AL194" s="33"/>
      <c r="AM194" s="33"/>
      <c r="AN194" s="33"/>
      <c r="AO194" s="33"/>
      <c r="AP194" s="33"/>
      <c r="AQ194" s="33"/>
      <c r="AR194" s="33"/>
      <c r="AS194" s="33"/>
      <c r="AT194" s="33"/>
      <c r="AU194" s="33"/>
      <c r="AV194" s="33"/>
      <c r="AW194" s="33"/>
      <c r="AX194" s="33"/>
      <c r="AY194" s="33"/>
      <c r="AZ194" s="33"/>
      <c r="BA194" s="33"/>
      <c r="BB194" s="33"/>
      <c r="BC194" s="33"/>
      <c r="BD194" s="33"/>
      <c r="BE194" s="33"/>
      <c r="BF194" s="33"/>
      <c r="BG194" s="33"/>
      <c r="BH194" s="33"/>
      <c r="BI194" s="33"/>
      <c r="BJ194" s="44"/>
      <c r="BK194" s="44"/>
      <c r="BL194" s="44"/>
      <c r="BM194" s="44"/>
      <c r="BN194" s="44"/>
      <c r="BO194" s="44"/>
    </row>
    <row r="195" spans="1:67">
      <c r="A195" s="11"/>
      <c r="B195" s="11" t="s">
        <v>687</v>
      </c>
      <c r="C195" s="11"/>
      <c r="D195" s="19">
        <v>0.98</v>
      </c>
      <c r="E195" s="43"/>
      <c r="F195" s="43"/>
      <c r="G195" s="33"/>
      <c r="H195" s="33"/>
      <c r="I195" s="33"/>
      <c r="J195" s="33"/>
      <c r="K195" s="33"/>
      <c r="L195" s="33"/>
      <c r="M195" s="33"/>
      <c r="N195" s="33"/>
      <c r="O195" s="33"/>
      <c r="P195" s="33"/>
      <c r="Q195" s="33"/>
      <c r="R195" s="33"/>
      <c r="S195" s="33"/>
      <c r="T195" s="33"/>
      <c r="U195" s="33"/>
      <c r="V195" s="33"/>
      <c r="W195" s="33"/>
      <c r="X195" s="33"/>
      <c r="Y195" s="33"/>
      <c r="Z195" s="33"/>
      <c r="AA195" s="33"/>
      <c r="AB195" s="33"/>
      <c r="AC195" s="33"/>
      <c r="AD195" s="33"/>
      <c r="AE195" s="33"/>
      <c r="AF195" s="33"/>
      <c r="AG195" s="33"/>
      <c r="AH195" s="33"/>
      <c r="AI195" s="33"/>
      <c r="AJ195" s="33"/>
      <c r="AK195" s="33"/>
      <c r="AL195" s="33"/>
      <c r="AM195" s="33"/>
      <c r="AN195" s="33"/>
      <c r="AO195" s="33"/>
      <c r="AP195" s="33"/>
      <c r="AQ195" s="33"/>
      <c r="AR195" s="33"/>
      <c r="AS195" s="33"/>
      <c r="AT195" s="33"/>
      <c r="AU195" s="33"/>
      <c r="AV195" s="33"/>
      <c r="AW195" s="33"/>
      <c r="AX195" s="33"/>
      <c r="AY195" s="33"/>
      <c r="AZ195" s="33"/>
      <c r="BA195" s="33"/>
      <c r="BB195" s="33"/>
      <c r="BC195" s="33"/>
      <c r="BD195" s="33"/>
      <c r="BE195" s="33"/>
      <c r="BF195" s="33"/>
      <c r="BG195" s="33"/>
      <c r="BH195" s="33"/>
      <c r="BI195" s="33"/>
      <c r="BJ195" s="44"/>
      <c r="BK195" s="44"/>
      <c r="BL195" s="44"/>
      <c r="BM195" s="44"/>
      <c r="BN195" s="44"/>
      <c r="BO195" s="44"/>
    </row>
    <row r="196" spans="1:67">
      <c r="A196" s="11"/>
      <c r="B196" s="11" t="s">
        <v>688</v>
      </c>
      <c r="C196" s="11"/>
      <c r="D196" s="95">
        <v>12</v>
      </c>
      <c r="E196" s="10" t="s">
        <v>44</v>
      </c>
      <c r="F196" s="10"/>
      <c r="G196" s="33"/>
      <c r="H196" s="33"/>
      <c r="I196" s="33"/>
      <c r="J196" s="33"/>
      <c r="K196" s="33"/>
      <c r="L196" s="33"/>
      <c r="M196" s="33"/>
      <c r="N196" s="33"/>
      <c r="O196" s="33"/>
      <c r="P196" s="33"/>
      <c r="Q196" s="33"/>
      <c r="R196" s="33"/>
      <c r="S196" s="33"/>
      <c r="T196" s="33"/>
      <c r="U196" s="33"/>
      <c r="V196" s="33"/>
      <c r="W196" s="33"/>
      <c r="X196" s="33"/>
      <c r="Y196" s="33"/>
      <c r="Z196" s="33"/>
      <c r="AA196" s="33"/>
      <c r="AB196" s="33"/>
      <c r="AC196" s="33"/>
      <c r="AD196" s="33"/>
      <c r="AE196" s="33"/>
      <c r="AF196" s="33"/>
      <c r="AG196" s="33"/>
      <c r="AH196" s="33"/>
      <c r="AI196" s="33"/>
      <c r="AJ196" s="33"/>
      <c r="AK196" s="33"/>
      <c r="AL196" s="33"/>
      <c r="AM196" s="33"/>
      <c r="AN196" s="33"/>
      <c r="AO196" s="33"/>
      <c r="AP196" s="33"/>
      <c r="AQ196" s="33"/>
      <c r="AR196" s="33"/>
      <c r="AS196" s="33"/>
      <c r="AT196" s="33"/>
      <c r="AU196" s="33"/>
      <c r="AV196" s="33"/>
      <c r="AW196" s="33"/>
      <c r="AX196" s="33"/>
      <c r="AY196" s="33"/>
      <c r="AZ196" s="33"/>
      <c r="BA196" s="33"/>
      <c r="BB196" s="33"/>
      <c r="BC196" s="33"/>
      <c r="BD196" s="33"/>
      <c r="BE196" s="33"/>
      <c r="BF196" s="33"/>
      <c r="BG196" s="33"/>
      <c r="BH196" s="33"/>
      <c r="BI196" s="33"/>
      <c r="BJ196" s="44"/>
      <c r="BK196" s="44"/>
      <c r="BL196" s="44"/>
      <c r="BM196" s="44"/>
      <c r="BN196" s="44"/>
      <c r="BO196" s="44"/>
    </row>
    <row r="197" spans="1:67">
      <c r="A197" s="11"/>
      <c r="B197" s="11"/>
      <c r="C197" s="11"/>
      <c r="D197" s="33"/>
      <c r="E197" s="43"/>
      <c r="F197" s="43"/>
      <c r="G197" s="33"/>
      <c r="H197" s="33"/>
      <c r="I197" s="33"/>
      <c r="J197" s="33"/>
      <c r="K197" s="33"/>
      <c r="L197" s="33"/>
      <c r="M197" s="33"/>
      <c r="N197" s="33"/>
      <c r="O197" s="33"/>
      <c r="P197" s="33"/>
      <c r="Q197" s="33"/>
      <c r="R197" s="33"/>
      <c r="S197" s="33"/>
      <c r="T197" s="33"/>
      <c r="U197" s="33"/>
      <c r="V197" s="33"/>
      <c r="W197" s="33"/>
      <c r="X197" s="33"/>
      <c r="Y197" s="33"/>
      <c r="Z197" s="33"/>
      <c r="AA197" s="33"/>
      <c r="AB197" s="33"/>
      <c r="AC197" s="33"/>
      <c r="AD197" s="33"/>
      <c r="AE197" s="33"/>
      <c r="AF197" s="33"/>
      <c r="AG197" s="33"/>
      <c r="AH197" s="33"/>
      <c r="AI197" s="33"/>
      <c r="AJ197" s="33"/>
      <c r="AK197" s="33"/>
      <c r="AL197" s="33"/>
      <c r="AM197" s="33"/>
      <c r="AN197" s="33"/>
      <c r="AO197" s="33"/>
      <c r="AP197" s="33"/>
      <c r="AQ197" s="33"/>
      <c r="AR197" s="33"/>
      <c r="AS197" s="33"/>
      <c r="AT197" s="33"/>
      <c r="AU197" s="33"/>
      <c r="AV197" s="33"/>
      <c r="AW197" s="33"/>
      <c r="AX197" s="33"/>
      <c r="AY197" s="33"/>
      <c r="AZ197" s="33"/>
      <c r="BA197" s="33"/>
      <c r="BB197" s="33"/>
      <c r="BC197" s="33"/>
      <c r="BD197" s="33"/>
      <c r="BE197" s="33"/>
      <c r="BF197" s="33"/>
      <c r="BG197" s="33"/>
      <c r="BH197" s="33"/>
      <c r="BI197" s="33"/>
      <c r="BJ197" s="44"/>
      <c r="BK197" s="44"/>
      <c r="BL197" s="44"/>
      <c r="BM197" s="44"/>
      <c r="BN197" s="44"/>
      <c r="BO197" s="44"/>
    </row>
    <row r="198" spans="1:67">
      <c r="A198" s="18" t="s">
        <v>689</v>
      </c>
      <c r="B198" s="18"/>
      <c r="C198" s="18"/>
      <c r="D198" s="39"/>
      <c r="E198" s="39"/>
      <c r="F198" s="39"/>
      <c r="G198" s="39"/>
      <c r="H198" s="39"/>
      <c r="I198" s="39"/>
      <c r="J198" s="39"/>
      <c r="K198" s="39"/>
      <c r="L198" s="39"/>
      <c r="M198" s="39"/>
      <c r="N198" s="39"/>
      <c r="O198" s="39"/>
      <c r="P198" s="39"/>
      <c r="Q198" s="39"/>
      <c r="R198" s="39"/>
      <c r="S198" s="39"/>
      <c r="T198" s="39"/>
      <c r="U198" s="39"/>
      <c r="V198" s="39"/>
      <c r="W198" s="39"/>
      <c r="X198" s="39"/>
      <c r="Y198" s="39"/>
      <c r="Z198" s="39"/>
      <c r="AA198" s="39"/>
      <c r="AB198" s="39"/>
      <c r="AC198" s="39"/>
      <c r="AD198" s="39"/>
      <c r="AE198" s="39"/>
      <c r="AF198" s="39"/>
      <c r="AG198" s="39"/>
      <c r="AH198" s="39"/>
      <c r="AI198" s="39"/>
      <c r="AJ198" s="39"/>
      <c r="AK198" s="39"/>
      <c r="AL198" s="39"/>
      <c r="AM198" s="39"/>
      <c r="AN198" s="39"/>
      <c r="AO198" s="39"/>
      <c r="AP198" s="39"/>
      <c r="AQ198" s="39"/>
      <c r="AR198" s="39"/>
      <c r="AS198" s="39"/>
      <c r="AT198" s="39"/>
      <c r="AU198" s="39"/>
      <c r="AV198" s="39"/>
      <c r="AW198" s="39"/>
      <c r="AX198" s="39"/>
      <c r="AY198" s="39"/>
      <c r="AZ198" s="39"/>
      <c r="BA198" s="39"/>
      <c r="BB198" s="39"/>
      <c r="BC198" s="39"/>
      <c r="BD198" s="39"/>
      <c r="BE198" s="39"/>
      <c r="BF198" s="39"/>
      <c r="BG198" s="39"/>
      <c r="BH198" s="39"/>
      <c r="BI198" s="39"/>
      <c r="BJ198" s="45"/>
      <c r="BK198" s="45"/>
      <c r="BL198" s="45"/>
      <c r="BM198" s="45"/>
      <c r="BN198" s="45"/>
      <c r="BO198" s="45"/>
    </row>
    <row r="199" spans="1:67">
      <c r="A199" s="11"/>
      <c r="B199" s="11" t="s">
        <v>690</v>
      </c>
      <c r="C199" s="11"/>
      <c r="D199" s="95">
        <v>2500</v>
      </c>
      <c r="E199" s="10" t="s">
        <v>70</v>
      </c>
      <c r="F199" s="10"/>
      <c r="G199" s="33"/>
      <c r="H199" s="33"/>
      <c r="I199" s="33"/>
      <c r="J199" s="33"/>
      <c r="K199" s="33"/>
      <c r="L199" s="33"/>
      <c r="M199" s="33"/>
      <c r="N199" s="33"/>
      <c r="O199" s="33"/>
      <c r="P199" s="33"/>
      <c r="Q199" s="33"/>
      <c r="R199" s="33"/>
      <c r="S199" s="33"/>
      <c r="T199" s="33"/>
      <c r="U199" s="33"/>
      <c r="V199" s="33"/>
      <c r="W199" s="33"/>
      <c r="X199" s="33"/>
      <c r="Y199" s="33"/>
      <c r="Z199" s="33"/>
      <c r="AA199" s="33"/>
      <c r="AB199" s="33"/>
      <c r="AC199" s="33"/>
      <c r="AD199" s="33"/>
      <c r="AE199" s="33"/>
      <c r="AF199" s="33"/>
      <c r="AG199" s="33"/>
      <c r="AH199" s="33"/>
      <c r="AI199" s="33"/>
      <c r="AJ199" s="33"/>
      <c r="AK199" s="33"/>
      <c r="AL199" s="33"/>
      <c r="AM199" s="33"/>
      <c r="AN199" s="33"/>
      <c r="AO199" s="33"/>
      <c r="AP199" s="33"/>
      <c r="AQ199" s="33"/>
      <c r="AR199" s="33"/>
      <c r="AS199" s="33"/>
      <c r="AT199" s="33"/>
      <c r="AU199" s="33"/>
      <c r="AV199" s="33"/>
      <c r="AW199" s="33"/>
      <c r="AX199" s="33"/>
      <c r="AY199" s="33"/>
      <c r="AZ199" s="33"/>
      <c r="BA199" s="33"/>
      <c r="BB199" s="33"/>
      <c r="BC199" s="33"/>
      <c r="BD199" s="33"/>
      <c r="BE199" s="33"/>
      <c r="BF199" s="33"/>
      <c r="BG199" s="33"/>
      <c r="BH199" s="33"/>
      <c r="BI199" s="33"/>
      <c r="BJ199" s="44"/>
      <c r="BK199" s="44"/>
      <c r="BL199" s="44"/>
      <c r="BM199" s="44"/>
      <c r="BN199" s="44"/>
      <c r="BO199" s="44"/>
    </row>
    <row r="200" spans="1:67">
      <c r="A200" s="11"/>
      <c r="B200" s="11"/>
      <c r="C200" s="11"/>
      <c r="D200" s="33"/>
      <c r="E200" s="43"/>
      <c r="F200" s="43"/>
      <c r="G200" s="33"/>
      <c r="H200" s="33"/>
      <c r="I200" s="33"/>
      <c r="J200" s="33"/>
      <c r="K200" s="33"/>
      <c r="L200" s="33"/>
      <c r="M200" s="33"/>
      <c r="N200" s="33"/>
      <c r="O200" s="33"/>
      <c r="P200" s="33"/>
      <c r="Q200" s="33"/>
      <c r="R200" s="33"/>
      <c r="S200" s="33"/>
      <c r="T200" s="33"/>
      <c r="U200" s="33"/>
      <c r="V200" s="33"/>
      <c r="W200" s="33"/>
      <c r="X200" s="33"/>
      <c r="Y200" s="33"/>
      <c r="Z200" s="33"/>
      <c r="AA200" s="33"/>
      <c r="AB200" s="33"/>
      <c r="AC200" s="33"/>
      <c r="AD200" s="33"/>
      <c r="AE200" s="33"/>
      <c r="AF200" s="33"/>
      <c r="AG200" s="33"/>
      <c r="AH200" s="33"/>
      <c r="AI200" s="33"/>
      <c r="AJ200" s="33"/>
      <c r="AK200" s="33"/>
      <c r="AL200" s="33"/>
      <c r="AM200" s="33"/>
      <c r="AN200" s="33"/>
      <c r="AO200" s="33"/>
      <c r="AP200" s="33"/>
      <c r="AQ200" s="33"/>
      <c r="AR200" s="33"/>
      <c r="AS200" s="33"/>
      <c r="AT200" s="33"/>
      <c r="AU200" s="33"/>
      <c r="AV200" s="33"/>
      <c r="AW200" s="33"/>
      <c r="AX200" s="33"/>
      <c r="AY200" s="33"/>
      <c r="AZ200" s="33"/>
      <c r="BA200" s="33"/>
      <c r="BB200" s="33"/>
      <c r="BC200" s="33"/>
      <c r="BD200" s="33"/>
      <c r="BE200" s="33"/>
      <c r="BF200" s="33"/>
      <c r="BG200" s="33"/>
      <c r="BH200" s="33"/>
      <c r="BI200" s="33"/>
      <c r="BJ200" s="44"/>
      <c r="BK200" s="44"/>
      <c r="BL200" s="44"/>
      <c r="BM200" s="44"/>
      <c r="BN200" s="44"/>
      <c r="BO200" s="44"/>
    </row>
    <row r="201" spans="1:67">
      <c r="A201" s="18" t="s">
        <v>691</v>
      </c>
      <c r="B201" s="18"/>
      <c r="C201" s="18"/>
      <c r="D201" s="39"/>
      <c r="E201" s="39"/>
      <c r="F201" s="39"/>
      <c r="G201" s="39"/>
      <c r="H201" s="39"/>
      <c r="I201" s="39"/>
      <c r="J201" s="39"/>
      <c r="K201" s="39"/>
      <c r="L201" s="39"/>
      <c r="M201" s="39"/>
      <c r="N201" s="39"/>
      <c r="O201" s="39"/>
      <c r="P201" s="39"/>
      <c r="Q201" s="39"/>
      <c r="R201" s="39"/>
      <c r="S201" s="39"/>
      <c r="T201" s="39"/>
      <c r="U201" s="39"/>
      <c r="V201" s="39"/>
      <c r="W201" s="39"/>
      <c r="X201" s="39"/>
      <c r="Y201" s="39"/>
      <c r="Z201" s="39"/>
      <c r="AA201" s="39"/>
      <c r="AB201" s="39"/>
      <c r="AC201" s="39"/>
      <c r="AD201" s="39"/>
      <c r="AE201" s="39"/>
      <c r="AF201" s="39"/>
      <c r="AG201" s="39"/>
      <c r="AH201" s="39"/>
      <c r="AI201" s="39"/>
      <c r="AJ201" s="39"/>
      <c r="AK201" s="39"/>
      <c r="AL201" s="39"/>
      <c r="AM201" s="39"/>
      <c r="AN201" s="39"/>
      <c r="AO201" s="39"/>
      <c r="AP201" s="39"/>
      <c r="AQ201" s="39"/>
      <c r="AR201" s="39"/>
      <c r="AS201" s="39"/>
      <c r="AT201" s="39"/>
      <c r="AU201" s="39"/>
      <c r="AV201" s="39"/>
      <c r="AW201" s="39"/>
      <c r="AX201" s="39"/>
      <c r="AY201" s="39"/>
      <c r="AZ201" s="39"/>
      <c r="BA201" s="39"/>
      <c r="BB201" s="39"/>
      <c r="BC201" s="39"/>
      <c r="BD201" s="39"/>
      <c r="BE201" s="39"/>
      <c r="BF201" s="39"/>
      <c r="BG201" s="39"/>
      <c r="BH201" s="39"/>
      <c r="BI201" s="39"/>
      <c r="BJ201" s="45"/>
      <c r="BK201" s="45"/>
      <c r="BL201" s="45"/>
      <c r="BM201" s="45"/>
      <c r="BN201" s="45"/>
      <c r="BO201" s="45"/>
    </row>
    <row r="202" spans="1:67">
      <c r="A202" s="11"/>
      <c r="B202" s="11" t="s">
        <v>692</v>
      </c>
      <c r="C202" s="11"/>
      <c r="D202" s="95">
        <v>150000</v>
      </c>
      <c r="E202" s="10" t="s">
        <v>106</v>
      </c>
      <c r="F202" s="10"/>
      <c r="G202" s="33"/>
      <c r="H202" s="33"/>
      <c r="I202" s="33"/>
      <c r="J202" s="33"/>
      <c r="K202" s="33"/>
      <c r="L202" s="33"/>
      <c r="M202" s="33"/>
      <c r="N202" s="33"/>
      <c r="O202" s="33"/>
      <c r="P202" s="33"/>
      <c r="Q202" s="33"/>
      <c r="R202" s="33"/>
      <c r="S202" s="33"/>
      <c r="T202" s="33"/>
      <c r="U202" s="33"/>
      <c r="V202" s="33"/>
      <c r="W202" s="33"/>
      <c r="X202" s="33"/>
      <c r="Y202" s="33"/>
      <c r="Z202" s="33"/>
      <c r="AA202" s="33"/>
      <c r="AB202" s="33"/>
      <c r="AC202" s="33"/>
      <c r="AD202" s="33"/>
      <c r="AE202" s="33"/>
      <c r="AF202" s="33"/>
      <c r="AG202" s="33"/>
      <c r="AH202" s="33"/>
      <c r="AI202" s="33"/>
      <c r="AJ202" s="33"/>
      <c r="AK202" s="33"/>
      <c r="AL202" s="33"/>
      <c r="AM202" s="33"/>
      <c r="AN202" s="33"/>
      <c r="AO202" s="33"/>
      <c r="AP202" s="33"/>
      <c r="AQ202" s="33"/>
      <c r="AR202" s="33"/>
      <c r="AS202" s="33"/>
      <c r="AT202" s="33"/>
      <c r="AU202" s="33"/>
      <c r="AV202" s="33"/>
      <c r="AW202" s="33"/>
      <c r="AX202" s="33"/>
      <c r="AY202" s="33"/>
      <c r="AZ202" s="33"/>
      <c r="BA202" s="33"/>
      <c r="BB202" s="33"/>
      <c r="BC202" s="33"/>
      <c r="BD202" s="33"/>
      <c r="BE202" s="33"/>
      <c r="BF202" s="33"/>
      <c r="BG202" s="33"/>
      <c r="BH202" s="33"/>
      <c r="BI202" s="33"/>
      <c r="BJ202" s="44"/>
      <c r="BK202" s="44"/>
      <c r="BL202" s="44"/>
      <c r="BM202" s="44"/>
      <c r="BN202" s="44"/>
      <c r="BO202" s="44"/>
    </row>
    <row r="203" spans="1:67">
      <c r="A203" s="11"/>
      <c r="B203" s="11" t="s">
        <v>693</v>
      </c>
      <c r="C203" s="11"/>
      <c r="D203" s="95">
        <v>300000</v>
      </c>
      <c r="E203" s="10" t="s">
        <v>106</v>
      </c>
      <c r="F203" s="10"/>
      <c r="G203" s="33"/>
      <c r="H203" s="33"/>
      <c r="I203" s="33"/>
      <c r="J203" s="33"/>
      <c r="K203" s="33"/>
      <c r="L203" s="33"/>
      <c r="M203" s="33"/>
      <c r="N203" s="33"/>
      <c r="O203" s="33"/>
      <c r="P203" s="33"/>
      <c r="Q203" s="33"/>
      <c r="R203" s="33"/>
      <c r="S203" s="33"/>
      <c r="T203" s="33"/>
      <c r="U203" s="33"/>
      <c r="V203" s="33"/>
      <c r="W203" s="33"/>
      <c r="X203" s="33"/>
      <c r="Y203" s="33"/>
      <c r="Z203" s="33"/>
      <c r="AA203" s="33"/>
      <c r="AB203" s="33"/>
      <c r="AC203" s="33"/>
      <c r="AD203" s="33"/>
      <c r="AE203" s="33"/>
      <c r="AF203" s="33"/>
      <c r="AG203" s="33"/>
      <c r="AH203" s="33"/>
      <c r="AI203" s="33"/>
      <c r="AJ203" s="33"/>
      <c r="AK203" s="33"/>
      <c r="AL203" s="33"/>
      <c r="AM203" s="33"/>
      <c r="AN203" s="33"/>
      <c r="AO203" s="33"/>
      <c r="AP203" s="33"/>
      <c r="AQ203" s="33"/>
      <c r="AR203" s="33"/>
      <c r="AS203" s="33"/>
      <c r="AT203" s="33"/>
      <c r="AU203" s="33"/>
      <c r="AV203" s="33"/>
      <c r="AW203" s="33"/>
      <c r="AX203" s="33"/>
      <c r="AY203" s="33"/>
      <c r="AZ203" s="33"/>
      <c r="BA203" s="33"/>
      <c r="BB203" s="33"/>
      <c r="BC203" s="33"/>
      <c r="BD203" s="33"/>
      <c r="BE203" s="33"/>
      <c r="BF203" s="33"/>
      <c r="BG203" s="33"/>
      <c r="BH203" s="33"/>
      <c r="BI203" s="33"/>
      <c r="BJ203" s="44"/>
      <c r="BK203" s="44"/>
      <c r="BL203" s="44"/>
      <c r="BM203" s="44"/>
      <c r="BN203" s="44"/>
      <c r="BO203" s="44"/>
    </row>
    <row r="204" spans="1:67">
      <c r="A204" s="11"/>
      <c r="B204" s="11" t="s">
        <v>694</v>
      </c>
      <c r="C204" s="11"/>
      <c r="D204" s="95">
        <v>10000</v>
      </c>
      <c r="E204" s="10" t="s">
        <v>106</v>
      </c>
      <c r="F204" s="10"/>
      <c r="G204" s="33"/>
      <c r="H204" s="33"/>
      <c r="I204" s="33"/>
      <c r="J204" s="33"/>
      <c r="K204" s="33"/>
      <c r="L204" s="33"/>
      <c r="M204" s="33"/>
      <c r="N204" s="33"/>
      <c r="O204" s="33"/>
      <c r="P204" s="33"/>
      <c r="Q204" s="33"/>
      <c r="R204" s="33"/>
      <c r="S204" s="33"/>
      <c r="T204" s="33"/>
      <c r="U204" s="33"/>
      <c r="V204" s="33"/>
      <c r="W204" s="33"/>
      <c r="X204" s="33"/>
      <c r="Y204" s="33"/>
      <c r="Z204" s="33"/>
      <c r="AA204" s="33"/>
      <c r="AB204" s="33"/>
      <c r="AC204" s="33"/>
      <c r="AD204" s="33"/>
      <c r="AE204" s="33"/>
      <c r="AF204" s="33"/>
      <c r="AG204" s="33"/>
      <c r="AH204" s="33"/>
      <c r="AI204" s="33"/>
      <c r="AJ204" s="33"/>
      <c r="AK204" s="33"/>
      <c r="AL204" s="33"/>
      <c r="AM204" s="33"/>
      <c r="AN204" s="33"/>
      <c r="AO204" s="33"/>
      <c r="AP204" s="33"/>
      <c r="AQ204" s="33"/>
      <c r="AR204" s="33"/>
      <c r="AS204" s="33"/>
      <c r="AT204" s="33"/>
      <c r="AU204" s="33"/>
      <c r="AV204" s="33"/>
      <c r="AW204" s="33"/>
      <c r="AX204" s="33"/>
      <c r="AY204" s="33"/>
      <c r="AZ204" s="33"/>
      <c r="BA204" s="33"/>
      <c r="BB204" s="33"/>
      <c r="BC204" s="33"/>
      <c r="BD204" s="33"/>
      <c r="BE204" s="33"/>
      <c r="BF204" s="33"/>
      <c r="BG204" s="33"/>
      <c r="BH204" s="33"/>
      <c r="BI204" s="33"/>
      <c r="BJ204" s="44"/>
      <c r="BK204" s="44"/>
      <c r="BL204" s="44"/>
      <c r="BM204" s="44"/>
      <c r="BN204" s="44"/>
      <c r="BO204" s="44"/>
    </row>
    <row r="205" spans="1:67">
      <c r="A205" s="11"/>
      <c r="B205" s="11" t="s">
        <v>695</v>
      </c>
      <c r="C205" s="11"/>
      <c r="D205" s="95">
        <v>7</v>
      </c>
      <c r="E205" s="10" t="s">
        <v>696</v>
      </c>
      <c r="F205" s="10"/>
      <c r="G205" s="33"/>
      <c r="H205" s="33"/>
      <c r="I205" s="33"/>
      <c r="J205" s="33"/>
      <c r="K205" s="33"/>
      <c r="L205" s="33"/>
      <c r="M205" s="33"/>
      <c r="N205" s="33"/>
      <c r="O205" s="33"/>
      <c r="P205" s="33"/>
      <c r="Q205" s="33"/>
      <c r="R205" s="33"/>
      <c r="S205" s="33"/>
      <c r="T205" s="33"/>
      <c r="U205" s="33"/>
      <c r="V205" s="33"/>
      <c r="W205" s="33"/>
      <c r="X205" s="33"/>
      <c r="Y205" s="33"/>
      <c r="Z205" s="33"/>
      <c r="AA205" s="33"/>
      <c r="AB205" s="33"/>
      <c r="AC205" s="33"/>
      <c r="AD205" s="33"/>
      <c r="AE205" s="33"/>
      <c r="AF205" s="33"/>
      <c r="AG205" s="33"/>
      <c r="AH205" s="33"/>
      <c r="AI205" s="33"/>
      <c r="AJ205" s="33"/>
      <c r="AK205" s="33"/>
      <c r="AL205" s="33"/>
      <c r="AM205" s="33"/>
      <c r="AN205" s="33"/>
      <c r="AO205" s="33"/>
      <c r="AP205" s="33"/>
      <c r="AQ205" s="33"/>
      <c r="AR205" s="33"/>
      <c r="AS205" s="33"/>
      <c r="AT205" s="33"/>
      <c r="AU205" s="33"/>
      <c r="AV205" s="33"/>
      <c r="AW205" s="33"/>
      <c r="AX205" s="33"/>
      <c r="AY205" s="33"/>
      <c r="AZ205" s="33"/>
      <c r="BA205" s="33"/>
      <c r="BB205" s="33"/>
      <c r="BC205" s="33"/>
      <c r="BD205" s="33"/>
      <c r="BE205" s="33"/>
      <c r="BF205" s="33"/>
      <c r="BG205" s="33"/>
      <c r="BH205" s="33"/>
      <c r="BI205" s="33"/>
      <c r="BJ205" s="44"/>
      <c r="BK205" s="44"/>
      <c r="BL205" s="44"/>
      <c r="BM205" s="44"/>
      <c r="BN205" s="44"/>
      <c r="BO205" s="44"/>
    </row>
    <row r="206" spans="1:67">
      <c r="A206" s="11"/>
      <c r="B206" s="11" t="s">
        <v>697</v>
      </c>
      <c r="C206" s="11"/>
      <c r="D206" s="95">
        <v>450000</v>
      </c>
      <c r="E206" s="10" t="s">
        <v>106</v>
      </c>
      <c r="F206" s="10"/>
      <c r="G206" s="33"/>
      <c r="H206" s="33"/>
      <c r="I206" s="33"/>
      <c r="J206" s="33"/>
      <c r="K206" s="33"/>
      <c r="L206" s="33"/>
      <c r="M206" s="33"/>
      <c r="N206" s="33"/>
      <c r="O206" s="33"/>
      <c r="P206" s="33"/>
      <c r="Q206" s="33"/>
      <c r="R206" s="33"/>
      <c r="S206" s="33"/>
      <c r="T206" s="33"/>
      <c r="U206" s="33"/>
      <c r="V206" s="33"/>
      <c r="W206" s="33"/>
      <c r="X206" s="33"/>
      <c r="Y206" s="33"/>
      <c r="Z206" s="33"/>
      <c r="AA206" s="33"/>
      <c r="AB206" s="33"/>
      <c r="AC206" s="33"/>
      <c r="AD206" s="33"/>
      <c r="AE206" s="33"/>
      <c r="AF206" s="33"/>
      <c r="AG206" s="33"/>
      <c r="AH206" s="33"/>
      <c r="AI206" s="33"/>
      <c r="AJ206" s="33"/>
      <c r="AK206" s="33"/>
      <c r="AL206" s="33"/>
      <c r="AM206" s="33"/>
      <c r="AN206" s="33"/>
      <c r="AO206" s="33"/>
      <c r="AP206" s="33"/>
      <c r="AQ206" s="33"/>
      <c r="AR206" s="33"/>
      <c r="AS206" s="33"/>
      <c r="AT206" s="33"/>
      <c r="AU206" s="33"/>
      <c r="AV206" s="33"/>
      <c r="AW206" s="33"/>
      <c r="AX206" s="33"/>
      <c r="AY206" s="33"/>
      <c r="AZ206" s="33"/>
      <c r="BA206" s="33"/>
      <c r="BB206" s="33"/>
      <c r="BC206" s="33"/>
      <c r="BD206" s="33"/>
      <c r="BE206" s="33"/>
      <c r="BF206" s="33"/>
      <c r="BG206" s="33"/>
      <c r="BH206" s="33"/>
      <c r="BI206" s="33"/>
      <c r="BJ206" s="44"/>
      <c r="BK206" s="44"/>
      <c r="BL206" s="44"/>
      <c r="BM206" s="44"/>
      <c r="BN206" s="44"/>
      <c r="BO206" s="44"/>
    </row>
    <row r="207" spans="1:67">
      <c r="A207" s="11"/>
      <c r="B207" s="11" t="s">
        <v>698</v>
      </c>
      <c r="C207" s="11"/>
      <c r="D207" s="19">
        <v>0.03</v>
      </c>
      <c r="E207" s="10" t="s">
        <v>699</v>
      </c>
      <c r="F207" s="10"/>
      <c r="G207" s="33"/>
      <c r="H207" s="33"/>
      <c r="I207" s="33"/>
      <c r="J207" s="33"/>
      <c r="K207" s="33"/>
      <c r="L207" s="33"/>
      <c r="M207" s="33"/>
      <c r="N207" s="33"/>
      <c r="O207" s="33"/>
      <c r="P207" s="33"/>
      <c r="Q207" s="33"/>
      <c r="R207" s="33"/>
      <c r="S207" s="33"/>
      <c r="T207" s="33"/>
      <c r="U207" s="33"/>
      <c r="V207" s="33"/>
      <c r="W207" s="33"/>
      <c r="X207" s="33"/>
      <c r="Y207" s="33"/>
      <c r="Z207" s="33"/>
      <c r="AA207" s="33"/>
      <c r="AB207" s="33"/>
      <c r="AC207" s="33"/>
      <c r="AD207" s="33"/>
      <c r="AE207" s="33"/>
      <c r="AF207" s="33"/>
      <c r="AG207" s="33"/>
      <c r="AH207" s="33"/>
      <c r="AI207" s="33"/>
      <c r="AJ207" s="33"/>
      <c r="AK207" s="33"/>
      <c r="AL207" s="33"/>
      <c r="AM207" s="33"/>
      <c r="AN207" s="33"/>
      <c r="AO207" s="33"/>
      <c r="AP207" s="33"/>
      <c r="AQ207" s="33"/>
      <c r="AR207" s="33"/>
      <c r="AS207" s="33"/>
      <c r="AT207" s="33"/>
      <c r="AU207" s="33"/>
      <c r="AV207" s="33"/>
      <c r="AW207" s="33"/>
      <c r="AX207" s="33"/>
      <c r="AY207" s="33"/>
      <c r="AZ207" s="33"/>
      <c r="BA207" s="33"/>
      <c r="BB207" s="33"/>
      <c r="BC207" s="33"/>
      <c r="BD207" s="33"/>
      <c r="BE207" s="33"/>
      <c r="BF207" s="33"/>
      <c r="BG207" s="33"/>
      <c r="BH207" s="33"/>
      <c r="BI207" s="33"/>
      <c r="BJ207" s="44"/>
      <c r="BK207" s="44"/>
      <c r="BL207" s="44"/>
      <c r="BM207" s="44"/>
      <c r="BN207" s="44"/>
      <c r="BO207" s="44"/>
    </row>
    <row r="208" spans="1:67">
      <c r="A208" s="32"/>
      <c r="B208" s="35" t="s">
        <v>1777</v>
      </c>
      <c r="C208" s="32"/>
      <c r="D208" s="95">
        <v>500000</v>
      </c>
      <c r="E208" s="35" t="s">
        <v>106</v>
      </c>
      <c r="F208" s="35"/>
      <c r="G208" s="33"/>
      <c r="H208" s="33"/>
      <c r="I208" s="33"/>
      <c r="J208" s="33"/>
      <c r="K208" s="33"/>
      <c r="L208" s="33"/>
      <c r="M208" s="33"/>
      <c r="N208" s="33"/>
      <c r="O208" s="33"/>
      <c r="P208" s="33"/>
      <c r="Q208" s="33"/>
      <c r="R208" s="33"/>
      <c r="S208" s="33"/>
      <c r="T208" s="33"/>
      <c r="U208" s="33"/>
      <c r="V208" s="33"/>
      <c r="W208" s="33"/>
      <c r="X208" s="33"/>
      <c r="Y208" s="33"/>
      <c r="Z208" s="33"/>
      <c r="AA208" s="33"/>
      <c r="AB208" s="33"/>
      <c r="AC208" s="33"/>
      <c r="AD208" s="33"/>
      <c r="AE208" s="33"/>
      <c r="AF208" s="33"/>
      <c r="AG208" s="33"/>
      <c r="AH208" s="33"/>
      <c r="AI208" s="33"/>
      <c r="AJ208" s="33"/>
      <c r="AK208" s="33"/>
      <c r="AL208" s="33"/>
      <c r="AM208" s="33"/>
      <c r="AN208" s="33"/>
      <c r="AO208" s="33"/>
      <c r="AP208" s="33"/>
      <c r="AQ208" s="33"/>
      <c r="AR208" s="33"/>
      <c r="AS208" s="33"/>
      <c r="AT208" s="33"/>
      <c r="AU208" s="33"/>
      <c r="AV208" s="33"/>
      <c r="AW208" s="33"/>
      <c r="AX208" s="33"/>
      <c r="AY208" s="33"/>
      <c r="AZ208" s="33"/>
      <c r="BA208" s="33"/>
      <c r="BB208" s="33"/>
      <c r="BC208" s="33"/>
      <c r="BD208" s="33"/>
      <c r="BE208" s="33"/>
      <c r="BF208" s="33"/>
      <c r="BG208" s="33"/>
      <c r="BH208" s="33"/>
      <c r="BI208" s="33"/>
      <c r="BJ208" s="44"/>
      <c r="BK208" s="44"/>
      <c r="BL208" s="44"/>
      <c r="BM208" s="44"/>
      <c r="BN208" s="44"/>
      <c r="BO208" s="44"/>
    </row>
    <row r="209" spans="1:67">
      <c r="A209" s="32"/>
      <c r="B209" s="35" t="s">
        <v>308</v>
      </c>
      <c r="C209" s="32"/>
      <c r="D209" s="95">
        <v>500000</v>
      </c>
      <c r="E209" s="35" t="s">
        <v>106</v>
      </c>
      <c r="F209" s="35"/>
      <c r="G209" s="33"/>
      <c r="H209" s="33"/>
      <c r="I209" s="33"/>
      <c r="J209" s="33"/>
      <c r="K209" s="33"/>
      <c r="L209" s="33"/>
      <c r="M209" s="33"/>
      <c r="N209" s="33"/>
      <c r="O209" s="33"/>
      <c r="P209" s="33"/>
      <c r="Q209" s="33"/>
      <c r="R209" s="33"/>
      <c r="S209" s="33"/>
      <c r="T209" s="33"/>
      <c r="U209" s="33"/>
      <c r="V209" s="33"/>
      <c r="W209" s="33"/>
      <c r="X209" s="33"/>
      <c r="Y209" s="33"/>
      <c r="Z209" s="33"/>
      <c r="AA209" s="33"/>
      <c r="AB209" s="33"/>
      <c r="AC209" s="33"/>
      <c r="AD209" s="33"/>
      <c r="AE209" s="33"/>
      <c r="AF209" s="33"/>
      <c r="AG209" s="33"/>
      <c r="AH209" s="33"/>
      <c r="AI209" s="33"/>
      <c r="AJ209" s="33"/>
      <c r="AK209" s="33"/>
      <c r="AL209" s="33"/>
      <c r="AM209" s="33"/>
      <c r="AN209" s="33"/>
      <c r="AO209" s="33"/>
      <c r="AP209" s="33"/>
      <c r="AQ209" s="33"/>
      <c r="AR209" s="33"/>
      <c r="AS209" s="33"/>
      <c r="AT209" s="33"/>
      <c r="AU209" s="33"/>
      <c r="AV209" s="33"/>
      <c r="AW209" s="33"/>
      <c r="AX209" s="33"/>
      <c r="AY209" s="33"/>
      <c r="AZ209" s="33"/>
      <c r="BA209" s="33"/>
      <c r="BB209" s="33"/>
      <c r="BC209" s="33"/>
      <c r="BD209" s="33"/>
      <c r="BE209" s="33"/>
      <c r="BF209" s="33"/>
      <c r="BG209" s="33"/>
      <c r="BH209" s="33"/>
      <c r="BI209" s="33"/>
      <c r="BJ209" s="44"/>
      <c r="BK209" s="44"/>
      <c r="BL209" s="44"/>
      <c r="BM209" s="44"/>
      <c r="BN209" s="44"/>
      <c r="BO209" s="44"/>
    </row>
    <row r="210" spans="1:67">
      <c r="A210" s="32"/>
      <c r="B210" s="35" t="s">
        <v>309</v>
      </c>
      <c r="C210" s="32"/>
      <c r="D210" s="95">
        <v>500000</v>
      </c>
      <c r="E210" s="35" t="s">
        <v>106</v>
      </c>
      <c r="F210" s="35"/>
      <c r="G210" s="33"/>
      <c r="H210" s="33"/>
      <c r="I210" s="33"/>
      <c r="J210" s="33"/>
      <c r="K210" s="33"/>
      <c r="L210" s="33"/>
      <c r="M210" s="33"/>
      <c r="N210" s="33"/>
      <c r="O210" s="33"/>
      <c r="P210" s="33"/>
      <c r="Q210" s="33"/>
      <c r="R210" s="33"/>
      <c r="S210" s="33"/>
      <c r="T210" s="33"/>
      <c r="U210" s="33"/>
      <c r="V210" s="33"/>
      <c r="W210" s="33"/>
      <c r="X210" s="33"/>
      <c r="Y210" s="33"/>
      <c r="Z210" s="33"/>
      <c r="AA210" s="33"/>
      <c r="AB210" s="33"/>
      <c r="AC210" s="33"/>
      <c r="AD210" s="33"/>
      <c r="AE210" s="33"/>
      <c r="AF210" s="33"/>
      <c r="AG210" s="33"/>
      <c r="AH210" s="33"/>
      <c r="AI210" s="33"/>
      <c r="AJ210" s="33"/>
      <c r="AK210" s="33"/>
      <c r="AL210" s="33"/>
      <c r="AM210" s="33"/>
      <c r="AN210" s="33"/>
      <c r="AO210" s="33"/>
      <c r="AP210" s="33"/>
      <c r="AQ210" s="33"/>
      <c r="AR210" s="33"/>
      <c r="AS210" s="33"/>
      <c r="AT210" s="33"/>
      <c r="AU210" s="33"/>
      <c r="AV210" s="33"/>
      <c r="AW210" s="33"/>
      <c r="AX210" s="33"/>
      <c r="AY210" s="33"/>
      <c r="AZ210" s="33"/>
      <c r="BA210" s="33"/>
      <c r="BB210" s="33"/>
      <c r="BC210" s="33"/>
      <c r="BD210" s="33"/>
      <c r="BE210" s="33"/>
      <c r="BF210" s="33"/>
      <c r="BG210" s="33"/>
      <c r="BH210" s="33"/>
      <c r="BI210" s="33"/>
      <c r="BJ210" s="44"/>
      <c r="BK210" s="44"/>
      <c r="BL210" s="44"/>
      <c r="BM210" s="44"/>
      <c r="BN210" s="44"/>
      <c r="BO210" s="44"/>
    </row>
    <row r="211" spans="1:67">
      <c r="A211" s="32"/>
      <c r="B211" s="35" t="s">
        <v>1778</v>
      </c>
      <c r="C211" s="32"/>
      <c r="D211" s="95">
        <v>13</v>
      </c>
      <c r="E211" s="35" t="s">
        <v>696</v>
      </c>
      <c r="F211" s="35"/>
      <c r="G211" s="33"/>
      <c r="H211" s="33"/>
      <c r="I211" s="33"/>
      <c r="J211" s="33"/>
      <c r="K211" s="33"/>
      <c r="L211" s="33"/>
      <c r="M211" s="33"/>
      <c r="N211" s="33"/>
      <c r="O211" s="33"/>
      <c r="P211" s="33"/>
      <c r="Q211" s="33"/>
      <c r="R211" s="33"/>
      <c r="S211" s="33"/>
      <c r="T211" s="33"/>
      <c r="U211" s="33"/>
      <c r="V211" s="33"/>
      <c r="W211" s="33"/>
      <c r="X211" s="33"/>
      <c r="Y211" s="33"/>
      <c r="Z211" s="33"/>
      <c r="AA211" s="33"/>
      <c r="AB211" s="33"/>
      <c r="AC211" s="33"/>
      <c r="AD211" s="33"/>
      <c r="AE211" s="33"/>
      <c r="AF211" s="33"/>
      <c r="AG211" s="33"/>
      <c r="AH211" s="33"/>
      <c r="AI211" s="33"/>
      <c r="AJ211" s="33"/>
      <c r="AK211" s="33"/>
      <c r="AL211" s="33"/>
      <c r="AM211" s="33"/>
      <c r="AN211" s="33"/>
      <c r="AO211" s="33"/>
      <c r="AP211" s="33"/>
      <c r="AQ211" s="33"/>
      <c r="AR211" s="33"/>
      <c r="AS211" s="33"/>
      <c r="AT211" s="33"/>
      <c r="AU211" s="33"/>
      <c r="AV211" s="33"/>
      <c r="AW211" s="33"/>
      <c r="AX211" s="33"/>
      <c r="AY211" s="33"/>
      <c r="AZ211" s="33"/>
      <c r="BA211" s="33"/>
      <c r="BB211" s="33"/>
      <c r="BC211" s="33"/>
      <c r="BD211" s="33"/>
      <c r="BE211" s="33"/>
      <c r="BF211" s="33"/>
      <c r="BG211" s="33"/>
      <c r="BH211" s="33"/>
      <c r="BI211" s="33"/>
      <c r="BJ211" s="44"/>
      <c r="BK211" s="44"/>
      <c r="BL211" s="44"/>
      <c r="BM211" s="44"/>
      <c r="BN211" s="44"/>
      <c r="BO211" s="44"/>
    </row>
    <row r="212" spans="1:67">
      <c r="A212" s="11"/>
      <c r="B212" s="11"/>
      <c r="C212" s="11"/>
      <c r="D212" s="33"/>
      <c r="E212" s="43"/>
      <c r="F212" s="43"/>
      <c r="G212" s="33"/>
      <c r="H212" s="33"/>
      <c r="I212" s="33"/>
      <c r="J212" s="33"/>
      <c r="K212" s="33"/>
      <c r="L212" s="33"/>
      <c r="M212" s="33"/>
      <c r="N212" s="33"/>
      <c r="O212" s="33"/>
      <c r="P212" s="33"/>
      <c r="Q212" s="33"/>
      <c r="R212" s="33"/>
      <c r="S212" s="33"/>
      <c r="T212" s="33"/>
      <c r="U212" s="33"/>
      <c r="V212" s="33"/>
      <c r="W212" s="33"/>
      <c r="X212" s="33"/>
      <c r="Y212" s="33"/>
      <c r="Z212" s="33"/>
      <c r="AA212" s="33"/>
      <c r="AB212" s="33"/>
      <c r="AC212" s="33"/>
      <c r="AD212" s="33"/>
      <c r="AE212" s="33"/>
      <c r="AF212" s="33"/>
      <c r="AG212" s="33"/>
      <c r="AH212" s="33"/>
      <c r="AI212" s="33"/>
      <c r="AJ212" s="33"/>
      <c r="AK212" s="33"/>
      <c r="AL212" s="33"/>
      <c r="AM212" s="33"/>
      <c r="AN212" s="33"/>
      <c r="AO212" s="33"/>
      <c r="AP212" s="33"/>
      <c r="AQ212" s="33"/>
      <c r="AR212" s="33"/>
      <c r="AS212" s="33"/>
      <c r="AT212" s="33"/>
      <c r="AU212" s="33"/>
      <c r="AV212" s="33"/>
      <c r="AW212" s="33"/>
      <c r="AX212" s="33"/>
      <c r="AY212" s="33"/>
      <c r="AZ212" s="33"/>
      <c r="BA212" s="33"/>
      <c r="BB212" s="33"/>
      <c r="BC212" s="33"/>
      <c r="BD212" s="33"/>
      <c r="BE212" s="33"/>
      <c r="BF212" s="33"/>
      <c r="BG212" s="33"/>
      <c r="BH212" s="33"/>
      <c r="BI212" s="33"/>
      <c r="BJ212" s="44"/>
      <c r="BK212" s="44"/>
      <c r="BL212" s="44"/>
      <c r="BM212" s="44"/>
      <c r="BN212" s="44"/>
      <c r="BO212" s="44"/>
    </row>
    <row r="213" spans="1:67">
      <c r="A213" s="18" t="s">
        <v>14</v>
      </c>
      <c r="B213" s="18"/>
      <c r="C213" s="18"/>
      <c r="D213" s="39"/>
      <c r="E213" s="39"/>
      <c r="F213" s="39"/>
      <c r="G213" s="39"/>
      <c r="H213" s="39"/>
      <c r="I213" s="39"/>
      <c r="J213" s="39"/>
      <c r="K213" s="39"/>
      <c r="L213" s="39"/>
      <c r="M213" s="39"/>
      <c r="N213" s="39"/>
      <c r="O213" s="39"/>
      <c r="P213" s="39"/>
      <c r="Q213" s="39"/>
      <c r="R213" s="39"/>
      <c r="S213" s="39"/>
      <c r="T213" s="39"/>
      <c r="U213" s="39"/>
      <c r="V213" s="39"/>
      <c r="W213" s="39"/>
      <c r="X213" s="39"/>
      <c r="Y213" s="39"/>
      <c r="Z213" s="39"/>
      <c r="AA213" s="39"/>
      <c r="AB213" s="39"/>
      <c r="AC213" s="39"/>
      <c r="AD213" s="39"/>
      <c r="AE213" s="39"/>
      <c r="AF213" s="39"/>
      <c r="AG213" s="39"/>
      <c r="AH213" s="39"/>
      <c r="AI213" s="39"/>
      <c r="AJ213" s="39"/>
      <c r="AK213" s="39"/>
      <c r="AL213" s="39"/>
      <c r="AM213" s="39"/>
      <c r="AN213" s="39"/>
      <c r="AO213" s="39"/>
      <c r="AP213" s="39"/>
      <c r="AQ213" s="39"/>
      <c r="AR213" s="39"/>
      <c r="AS213" s="39"/>
      <c r="AT213" s="39"/>
      <c r="AU213" s="39"/>
      <c r="AV213" s="39"/>
      <c r="AW213" s="39"/>
      <c r="AX213" s="39"/>
      <c r="AY213" s="39"/>
      <c r="AZ213" s="39"/>
      <c r="BA213" s="39"/>
      <c r="BB213" s="39"/>
      <c r="BC213" s="39"/>
      <c r="BD213" s="39"/>
      <c r="BE213" s="39"/>
      <c r="BF213" s="39"/>
      <c r="BG213" s="39"/>
      <c r="BH213" s="39"/>
      <c r="BI213" s="39"/>
      <c r="BJ213" s="45"/>
      <c r="BK213" s="45"/>
      <c r="BL213" s="45"/>
      <c r="BM213" s="45"/>
      <c r="BN213" s="45"/>
      <c r="BO213" s="45"/>
    </row>
    <row r="214" spans="1:67">
      <c r="A214" s="11"/>
      <c r="B214" s="11" t="s">
        <v>700</v>
      </c>
      <c r="C214" s="11"/>
      <c r="D214" s="19">
        <v>0.1</v>
      </c>
      <c r="E214" s="10" t="s">
        <v>699</v>
      </c>
      <c r="F214" s="10"/>
      <c r="G214" s="33"/>
      <c r="H214" s="33"/>
      <c r="I214" s="33"/>
      <c r="J214" s="33"/>
      <c r="K214" s="33"/>
      <c r="L214" s="33"/>
      <c r="M214" s="33"/>
      <c r="N214" s="33"/>
      <c r="O214" s="33"/>
      <c r="P214" s="33"/>
      <c r="Q214" s="33"/>
      <c r="R214" s="33"/>
      <c r="S214" s="33"/>
      <c r="T214" s="33"/>
      <c r="U214" s="33"/>
      <c r="V214" s="33"/>
      <c r="W214" s="33"/>
      <c r="X214" s="33"/>
      <c r="Y214" s="33"/>
      <c r="Z214" s="33"/>
      <c r="AA214" s="33"/>
      <c r="AB214" s="33"/>
      <c r="AC214" s="33"/>
      <c r="AD214" s="33"/>
      <c r="AE214" s="33"/>
      <c r="AF214" s="33"/>
      <c r="AG214" s="33"/>
      <c r="AH214" s="33"/>
      <c r="AI214" s="33"/>
      <c r="AJ214" s="33"/>
      <c r="AK214" s="33"/>
      <c r="AL214" s="33"/>
      <c r="AM214" s="33"/>
      <c r="AN214" s="33"/>
      <c r="AO214" s="33"/>
      <c r="AP214" s="33"/>
      <c r="AQ214" s="33"/>
      <c r="AR214" s="33"/>
      <c r="AS214" s="33"/>
      <c r="AT214" s="33"/>
      <c r="AU214" s="33"/>
      <c r="AV214" s="33"/>
      <c r="AW214" s="33"/>
      <c r="AX214" s="33"/>
      <c r="AY214" s="33"/>
      <c r="AZ214" s="33"/>
      <c r="BA214" s="33"/>
      <c r="BB214" s="33"/>
      <c r="BC214" s="33"/>
      <c r="BD214" s="33"/>
      <c r="BE214" s="33"/>
      <c r="BF214" s="33"/>
      <c r="BG214" s="33"/>
      <c r="BH214" s="33"/>
      <c r="BI214" s="33"/>
      <c r="BJ214" s="44"/>
      <c r="BK214" s="44"/>
      <c r="BL214" s="44"/>
      <c r="BM214" s="44"/>
      <c r="BN214" s="44"/>
      <c r="BO214" s="44"/>
    </row>
    <row r="215" spans="1:67">
      <c r="A215" s="11"/>
      <c r="B215" s="11" t="s">
        <v>701</v>
      </c>
      <c r="C215" s="11"/>
      <c r="D215" s="19">
        <v>0.1</v>
      </c>
      <c r="E215" s="10" t="s">
        <v>702</v>
      </c>
      <c r="F215" s="10"/>
      <c r="G215" s="33"/>
      <c r="H215" s="33"/>
      <c r="I215" s="33"/>
      <c r="J215" s="33"/>
      <c r="K215" s="33"/>
      <c r="L215" s="33"/>
      <c r="M215" s="33"/>
      <c r="N215" s="33"/>
      <c r="O215" s="33"/>
      <c r="P215" s="33"/>
      <c r="Q215" s="33"/>
      <c r="R215" s="33"/>
      <c r="S215" s="33"/>
      <c r="T215" s="33"/>
      <c r="U215" s="33"/>
      <c r="V215" s="33"/>
      <c r="W215" s="33"/>
      <c r="X215" s="33"/>
      <c r="Y215" s="33"/>
      <c r="Z215" s="33"/>
      <c r="AA215" s="33"/>
      <c r="AB215" s="33"/>
      <c r="AC215" s="33"/>
      <c r="AD215" s="33"/>
      <c r="AE215" s="33"/>
      <c r="AF215" s="33"/>
      <c r="AG215" s="33"/>
      <c r="AH215" s="33"/>
      <c r="AI215" s="33"/>
      <c r="AJ215" s="33"/>
      <c r="AK215" s="33"/>
      <c r="AL215" s="33"/>
      <c r="AM215" s="33"/>
      <c r="AN215" s="33"/>
      <c r="AO215" s="33"/>
      <c r="AP215" s="33"/>
      <c r="AQ215" s="33"/>
      <c r="AR215" s="33"/>
      <c r="AS215" s="33"/>
      <c r="AT215" s="33"/>
      <c r="AU215" s="33"/>
      <c r="AV215" s="33"/>
      <c r="AW215" s="33"/>
      <c r="AX215" s="33"/>
      <c r="AY215" s="33"/>
      <c r="AZ215" s="33"/>
      <c r="BA215" s="33"/>
      <c r="BB215" s="33"/>
      <c r="BC215" s="33"/>
      <c r="BD215" s="33"/>
      <c r="BE215" s="33"/>
      <c r="BF215" s="33"/>
      <c r="BG215" s="33"/>
      <c r="BH215" s="33"/>
      <c r="BI215" s="33"/>
      <c r="BJ215" s="44"/>
      <c r="BK215" s="44"/>
      <c r="BL215" s="44"/>
      <c r="BM215" s="44"/>
      <c r="BN215" s="44"/>
      <c r="BO215" s="44"/>
    </row>
    <row r="216" spans="1:67">
      <c r="A216" s="11"/>
      <c r="B216" s="11"/>
      <c r="C216" s="11"/>
      <c r="D216" s="33"/>
      <c r="E216" s="33"/>
      <c r="F216" s="33"/>
      <c r="G216" s="33"/>
      <c r="H216" s="33"/>
      <c r="I216" s="33"/>
      <c r="J216" s="33"/>
      <c r="K216" s="33"/>
      <c r="L216" s="33"/>
      <c r="M216" s="33"/>
      <c r="N216" s="33"/>
      <c r="O216" s="33"/>
      <c r="P216" s="33"/>
      <c r="Q216" s="33"/>
      <c r="R216" s="33"/>
      <c r="S216" s="33"/>
      <c r="T216" s="33"/>
      <c r="U216" s="33"/>
      <c r="V216" s="33"/>
      <c r="W216" s="33"/>
      <c r="X216" s="33"/>
      <c r="Y216" s="33"/>
      <c r="Z216" s="33"/>
      <c r="AA216" s="33"/>
      <c r="AB216" s="33"/>
      <c r="AC216" s="33"/>
      <c r="AD216" s="33"/>
      <c r="AE216" s="33"/>
      <c r="AF216" s="33"/>
      <c r="AG216" s="33"/>
      <c r="AH216" s="33"/>
      <c r="AI216" s="33"/>
      <c r="AJ216" s="33"/>
      <c r="AK216" s="33"/>
      <c r="AL216" s="33"/>
      <c r="AM216" s="33"/>
      <c r="AN216" s="33"/>
      <c r="AO216" s="33"/>
      <c r="AP216" s="33"/>
      <c r="AQ216" s="33"/>
      <c r="AR216" s="33"/>
      <c r="AS216" s="33"/>
      <c r="AT216" s="33"/>
      <c r="AU216" s="33"/>
      <c r="AV216" s="33"/>
      <c r="AW216" s="33"/>
      <c r="AX216" s="33"/>
      <c r="AY216" s="33"/>
      <c r="AZ216" s="33"/>
      <c r="BA216" s="33"/>
      <c r="BB216" s="33"/>
      <c r="BC216" s="33"/>
      <c r="BD216" s="33"/>
      <c r="BE216" s="33"/>
      <c r="BF216" s="33"/>
      <c r="BG216" s="33"/>
      <c r="BH216" s="33"/>
      <c r="BI216" s="33"/>
      <c r="BJ216" s="44"/>
      <c r="BK216" s="44"/>
      <c r="BL216" s="44"/>
      <c r="BM216" s="44"/>
      <c r="BN216" s="44"/>
      <c r="BO216" s="44"/>
    </row>
    <row r="217" spans="1:67">
      <c r="A217" s="18" t="s">
        <v>761</v>
      </c>
      <c r="B217" s="18"/>
      <c r="C217" s="18"/>
      <c r="D217" s="39"/>
      <c r="E217" s="39"/>
      <c r="F217" s="39"/>
      <c r="G217" s="39"/>
      <c r="H217" s="39"/>
      <c r="I217" s="39"/>
      <c r="J217" s="39"/>
      <c r="K217" s="39"/>
      <c r="L217" s="39"/>
      <c r="M217" s="39"/>
      <c r="N217" s="39"/>
      <c r="O217" s="39"/>
      <c r="P217" s="39"/>
      <c r="Q217" s="39"/>
      <c r="R217" s="39"/>
      <c r="S217" s="39"/>
      <c r="T217" s="39"/>
      <c r="U217" s="39"/>
      <c r="V217" s="39"/>
      <c r="W217" s="39"/>
      <c r="X217" s="39"/>
      <c r="Y217" s="39"/>
      <c r="Z217" s="39"/>
      <c r="AA217" s="39"/>
      <c r="AB217" s="39"/>
      <c r="AC217" s="39"/>
      <c r="AD217" s="39"/>
      <c r="AE217" s="39"/>
      <c r="AF217" s="39"/>
      <c r="AG217" s="39"/>
      <c r="AH217" s="39"/>
      <c r="AI217" s="39"/>
      <c r="AJ217" s="39"/>
      <c r="AK217" s="39"/>
      <c r="AL217" s="39"/>
      <c r="AM217" s="39"/>
      <c r="AN217" s="39"/>
      <c r="AO217" s="39"/>
      <c r="AP217" s="39"/>
      <c r="AQ217" s="39"/>
      <c r="AR217" s="39"/>
      <c r="AS217" s="39"/>
      <c r="AT217" s="39"/>
      <c r="AU217" s="39"/>
      <c r="AV217" s="39"/>
      <c r="AW217" s="39"/>
      <c r="AX217" s="39"/>
      <c r="AY217" s="39"/>
      <c r="AZ217" s="39"/>
      <c r="BA217" s="39"/>
      <c r="BB217" s="39"/>
      <c r="BC217" s="39"/>
      <c r="BD217" s="39"/>
      <c r="BE217" s="39"/>
      <c r="BF217" s="39"/>
      <c r="BG217" s="39"/>
      <c r="BH217" s="39"/>
      <c r="BI217" s="39"/>
      <c r="BJ217" s="45"/>
      <c r="BK217" s="45"/>
      <c r="BL217" s="45"/>
      <c r="BM217" s="45"/>
      <c r="BN217" s="45"/>
      <c r="BO217" s="45"/>
    </row>
    <row r="218" spans="1:67">
      <c r="A218" s="11"/>
      <c r="B218" s="11" t="s">
        <v>762</v>
      </c>
      <c r="C218" s="11"/>
      <c r="D218" s="95">
        <v>1</v>
      </c>
      <c r="E218" s="10" t="s">
        <v>175</v>
      </c>
      <c r="F218" s="10"/>
      <c r="G218" s="33"/>
      <c r="H218" s="33"/>
      <c r="I218" s="33"/>
      <c r="J218" s="33"/>
      <c r="K218" s="33"/>
      <c r="L218" s="33"/>
      <c r="M218" s="33"/>
      <c r="N218" s="33"/>
      <c r="O218" s="33"/>
      <c r="P218" s="33"/>
      <c r="Q218" s="33"/>
      <c r="R218" s="33"/>
      <c r="S218" s="33"/>
      <c r="T218" s="33"/>
      <c r="U218" s="33"/>
      <c r="V218" s="33"/>
      <c r="W218" s="33"/>
      <c r="X218" s="33"/>
      <c r="Y218" s="33"/>
      <c r="Z218" s="33"/>
      <c r="AA218" s="33"/>
      <c r="AB218" s="33"/>
      <c r="AC218" s="33"/>
      <c r="AD218" s="33"/>
      <c r="AE218" s="33"/>
      <c r="AF218" s="33"/>
      <c r="AG218" s="33"/>
      <c r="AH218" s="33"/>
      <c r="AI218" s="33"/>
      <c r="AJ218" s="33"/>
      <c r="AK218" s="33"/>
      <c r="AL218" s="33"/>
      <c r="AM218" s="33"/>
      <c r="AN218" s="33"/>
      <c r="AO218" s="33"/>
      <c r="AP218" s="33"/>
      <c r="AQ218" s="33"/>
      <c r="AR218" s="33"/>
      <c r="AS218" s="33"/>
      <c r="AT218" s="33"/>
      <c r="AU218" s="33"/>
      <c r="AV218" s="33"/>
      <c r="AW218" s="33"/>
      <c r="AX218" s="33"/>
      <c r="AY218" s="33"/>
      <c r="AZ218" s="33"/>
      <c r="BA218" s="33"/>
      <c r="BB218" s="33"/>
      <c r="BC218" s="33"/>
      <c r="BD218" s="33"/>
      <c r="BE218" s="33"/>
      <c r="BF218" s="33"/>
      <c r="BG218" s="33"/>
      <c r="BH218" s="33"/>
      <c r="BI218" s="33"/>
      <c r="BJ218" s="44"/>
      <c r="BK218" s="44"/>
      <c r="BL218" s="44"/>
      <c r="BM218" s="44"/>
      <c r="BN218" s="44"/>
      <c r="BO218" s="44"/>
    </row>
    <row r="219" spans="1:67">
      <c r="A219" s="11"/>
      <c r="B219" s="11"/>
      <c r="C219" s="11"/>
      <c r="D219" s="33"/>
      <c r="E219" s="33"/>
      <c r="F219" s="33"/>
      <c r="G219" s="33"/>
      <c r="H219" s="33"/>
      <c r="I219" s="33"/>
      <c r="J219" s="33"/>
      <c r="K219" s="33"/>
      <c r="L219" s="33"/>
      <c r="M219" s="33"/>
      <c r="N219" s="33"/>
      <c r="O219" s="33"/>
      <c r="P219" s="33"/>
      <c r="Q219" s="33"/>
      <c r="R219" s="33"/>
      <c r="S219" s="33"/>
      <c r="T219" s="33"/>
      <c r="U219" s="33"/>
      <c r="V219" s="33"/>
      <c r="W219" s="33"/>
      <c r="X219" s="33"/>
      <c r="Y219" s="33"/>
      <c r="Z219" s="33"/>
      <c r="AA219" s="33"/>
      <c r="AB219" s="33"/>
      <c r="AC219" s="33"/>
      <c r="AD219" s="33"/>
      <c r="AE219" s="33"/>
      <c r="AF219" s="33"/>
      <c r="AG219" s="33"/>
      <c r="AH219" s="33"/>
      <c r="AI219" s="33"/>
      <c r="AJ219" s="33"/>
      <c r="AK219" s="33"/>
      <c r="AL219" s="33"/>
      <c r="AM219" s="33"/>
      <c r="AN219" s="33"/>
      <c r="AO219" s="33"/>
      <c r="AP219" s="33"/>
      <c r="AQ219" s="33"/>
      <c r="AR219" s="33"/>
      <c r="AS219" s="33"/>
      <c r="AT219" s="33"/>
      <c r="AU219" s="33"/>
      <c r="AV219" s="33"/>
      <c r="AW219" s="33"/>
      <c r="AX219" s="33"/>
      <c r="AY219" s="33"/>
      <c r="AZ219" s="33"/>
      <c r="BA219" s="33"/>
      <c r="BB219" s="33"/>
      <c r="BC219" s="33"/>
      <c r="BD219" s="33"/>
      <c r="BE219" s="33"/>
      <c r="BF219" s="33"/>
      <c r="BG219" s="33"/>
      <c r="BH219" s="33"/>
      <c r="BI219" s="33"/>
      <c r="BJ219" s="44"/>
      <c r="BK219" s="44"/>
      <c r="BL219" s="44"/>
      <c r="BM219" s="44"/>
      <c r="BN219" s="44"/>
      <c r="BO219" s="44"/>
    </row>
    <row r="220" spans="1:67">
      <c r="A220" s="18" t="s">
        <v>1102</v>
      </c>
      <c r="B220" s="18"/>
      <c r="C220" s="18"/>
      <c r="D220" s="39"/>
      <c r="E220" s="39"/>
      <c r="F220" s="39"/>
      <c r="G220" s="39"/>
      <c r="H220" s="39"/>
      <c r="I220" s="39"/>
      <c r="J220" s="39"/>
      <c r="K220" s="39"/>
      <c r="L220" s="39"/>
      <c r="M220" s="39"/>
      <c r="N220" s="39"/>
      <c r="O220" s="39"/>
      <c r="P220" s="39"/>
      <c r="Q220" s="39"/>
      <c r="R220" s="39"/>
      <c r="S220" s="39"/>
      <c r="T220" s="39"/>
      <c r="U220" s="39"/>
      <c r="V220" s="39"/>
      <c r="W220" s="39"/>
      <c r="X220" s="39"/>
      <c r="Y220" s="39"/>
      <c r="Z220" s="39"/>
      <c r="AA220" s="39"/>
      <c r="AB220" s="39"/>
      <c r="AC220" s="39"/>
      <c r="AD220" s="39"/>
      <c r="AE220" s="39"/>
      <c r="AF220" s="39"/>
      <c r="AG220" s="39"/>
      <c r="AH220" s="39"/>
      <c r="AI220" s="39"/>
      <c r="AJ220" s="39"/>
      <c r="AK220" s="39"/>
      <c r="AL220" s="39"/>
      <c r="AM220" s="39"/>
      <c r="AN220" s="39"/>
      <c r="AO220" s="39"/>
      <c r="AP220" s="39"/>
      <c r="AQ220" s="39"/>
      <c r="AR220" s="39"/>
      <c r="AS220" s="39"/>
      <c r="AT220" s="39"/>
      <c r="AU220" s="39"/>
      <c r="AV220" s="39"/>
      <c r="AW220" s="39"/>
      <c r="AX220" s="39"/>
      <c r="AY220" s="39"/>
      <c r="AZ220" s="39"/>
      <c r="BA220" s="39"/>
      <c r="BB220" s="39"/>
      <c r="BC220" s="39"/>
      <c r="BD220" s="39"/>
      <c r="BE220" s="39"/>
      <c r="BF220" s="39"/>
      <c r="BG220" s="39"/>
      <c r="BH220" s="39"/>
      <c r="BI220" s="39"/>
      <c r="BJ220" s="45"/>
      <c r="BK220" s="45"/>
      <c r="BL220" s="45"/>
      <c r="BM220" s="45"/>
      <c r="BN220" s="45"/>
      <c r="BO220" s="45"/>
    </row>
    <row r="221" spans="1:67">
      <c r="A221" s="11"/>
      <c r="B221" s="11" t="s">
        <v>1103</v>
      </c>
      <c r="C221" s="11"/>
      <c r="D221" s="66">
        <f>'12 Site, Civil &amp; Utilities'!$D$148</f>
        <v>1.173888075569383</v>
      </c>
      <c r="E221" s="10" t="s">
        <v>175</v>
      </c>
      <c r="F221" s="10"/>
      <c r="G221" s="33"/>
      <c r="H221" s="33"/>
      <c r="I221" s="33"/>
      <c r="J221" s="33"/>
      <c r="K221" s="33"/>
      <c r="L221" s="33"/>
      <c r="M221" s="33"/>
      <c r="N221" s="33"/>
      <c r="O221" s="33"/>
      <c r="P221" s="33"/>
      <c r="Q221" s="33"/>
      <c r="R221" s="33"/>
      <c r="S221" s="33"/>
      <c r="T221" s="33"/>
      <c r="U221" s="33"/>
      <c r="V221" s="33"/>
      <c r="W221" s="33"/>
      <c r="X221" s="33"/>
      <c r="Y221" s="33"/>
      <c r="Z221" s="33"/>
      <c r="AA221" s="33"/>
      <c r="AB221" s="33"/>
      <c r="AC221" s="33"/>
      <c r="AD221" s="33"/>
      <c r="AE221" s="33"/>
      <c r="AF221" s="33"/>
      <c r="AG221" s="33"/>
      <c r="AH221" s="33"/>
      <c r="AI221" s="33"/>
      <c r="AJ221" s="33"/>
      <c r="AK221" s="33"/>
      <c r="AL221" s="33"/>
      <c r="AM221" s="33"/>
      <c r="AN221" s="33"/>
      <c r="AO221" s="33"/>
      <c r="AP221" s="33"/>
      <c r="AQ221" s="33"/>
      <c r="AR221" s="33"/>
      <c r="AS221" s="33"/>
      <c r="AT221" s="33"/>
      <c r="AU221" s="33"/>
      <c r="AV221" s="33"/>
      <c r="AW221" s="33"/>
      <c r="AX221" s="33"/>
      <c r="AY221" s="33"/>
      <c r="AZ221" s="33"/>
      <c r="BA221" s="33"/>
      <c r="BB221" s="33"/>
      <c r="BC221" s="33"/>
      <c r="BD221" s="33"/>
      <c r="BE221" s="33"/>
      <c r="BF221" s="33"/>
      <c r="BG221" s="33"/>
      <c r="BH221" s="33"/>
      <c r="BI221" s="33"/>
      <c r="BJ221" s="44"/>
      <c r="BK221" s="44"/>
      <c r="BL221" s="44"/>
      <c r="BM221" s="44"/>
      <c r="BN221" s="44"/>
      <c r="BO221" s="44"/>
    </row>
    <row r="222" spans="1:67">
      <c r="A222" s="11"/>
      <c r="B222" s="11"/>
      <c r="C222" s="11"/>
      <c r="D222" s="33"/>
      <c r="E222" s="33"/>
      <c r="F222" s="33"/>
      <c r="G222" s="33"/>
      <c r="H222" s="33"/>
      <c r="I222" s="33"/>
      <c r="J222" s="33"/>
      <c r="K222" s="33"/>
      <c r="L222" s="33"/>
      <c r="M222" s="33"/>
      <c r="N222" s="33"/>
      <c r="O222" s="33"/>
      <c r="P222" s="33"/>
      <c r="Q222" s="33"/>
      <c r="R222" s="33"/>
      <c r="S222" s="33"/>
      <c r="T222" s="33"/>
      <c r="U222" s="33"/>
      <c r="V222" s="33"/>
      <c r="W222" s="33"/>
      <c r="X222" s="33"/>
      <c r="Y222" s="33"/>
      <c r="Z222" s="33"/>
      <c r="AA222" s="33"/>
      <c r="AB222" s="33"/>
      <c r="AC222" s="33"/>
      <c r="AD222" s="33"/>
      <c r="AE222" s="33"/>
      <c r="AF222" s="33"/>
      <c r="AG222" s="33"/>
      <c r="AH222" s="33"/>
      <c r="AI222" s="33"/>
      <c r="AJ222" s="33"/>
      <c r="AK222" s="33"/>
      <c r="AL222" s="33"/>
      <c r="AM222" s="33"/>
      <c r="AN222" s="33"/>
      <c r="AO222" s="33"/>
      <c r="AP222" s="33"/>
      <c r="AQ222" s="33"/>
      <c r="AR222" s="33"/>
      <c r="AS222" s="33"/>
      <c r="AT222" s="33"/>
      <c r="AU222" s="33"/>
      <c r="AV222" s="33"/>
      <c r="AW222" s="33"/>
      <c r="AX222" s="33"/>
      <c r="AY222" s="33"/>
      <c r="AZ222" s="33"/>
      <c r="BA222" s="33"/>
      <c r="BB222" s="33"/>
      <c r="BC222" s="33"/>
      <c r="BD222" s="33"/>
      <c r="BE222" s="33"/>
      <c r="BF222" s="33"/>
      <c r="BG222" s="33"/>
      <c r="BH222" s="33"/>
      <c r="BI222" s="33"/>
      <c r="BJ222" s="44"/>
      <c r="BK222" s="44"/>
      <c r="BL222" s="44"/>
      <c r="BM222" s="44"/>
      <c r="BN222" s="44"/>
      <c r="BO222" s="44"/>
    </row>
    <row r="223" spans="1:67">
      <c r="A223" s="18" t="s">
        <v>1671</v>
      </c>
      <c r="B223" s="18"/>
      <c r="C223" s="18"/>
      <c r="D223" s="39"/>
      <c r="E223" s="39"/>
      <c r="F223" s="39"/>
      <c r="G223" s="33"/>
      <c r="H223" s="33"/>
      <c r="I223" s="33"/>
      <c r="J223" s="33"/>
      <c r="K223" s="33"/>
      <c r="L223" s="33"/>
      <c r="M223" s="33"/>
      <c r="N223" s="33"/>
      <c r="O223" s="33"/>
      <c r="P223" s="33"/>
      <c r="Q223" s="33"/>
      <c r="R223" s="33"/>
      <c r="S223" s="33"/>
      <c r="T223" s="33"/>
      <c r="U223" s="33"/>
      <c r="V223" s="33"/>
      <c r="W223" s="33"/>
      <c r="X223" s="33"/>
      <c r="Y223" s="33"/>
      <c r="Z223" s="33"/>
      <c r="AA223" s="33"/>
      <c r="AB223" s="33"/>
      <c r="AC223" s="33"/>
      <c r="AD223" s="33"/>
      <c r="AE223" s="33"/>
      <c r="AF223" s="33"/>
      <c r="AG223" s="33"/>
      <c r="AH223" s="33"/>
      <c r="AI223" s="33"/>
      <c r="AJ223" s="33"/>
      <c r="AK223" s="33"/>
      <c r="AL223" s="33"/>
      <c r="AM223" s="33"/>
      <c r="AN223" s="33"/>
      <c r="AO223" s="33"/>
      <c r="AP223" s="33"/>
      <c r="AQ223" s="33"/>
      <c r="AR223" s="33"/>
      <c r="AS223" s="33"/>
      <c r="AT223" s="33"/>
      <c r="AU223" s="33"/>
      <c r="AV223" s="33"/>
      <c r="AW223" s="33"/>
      <c r="AX223" s="33"/>
      <c r="AY223" s="33"/>
      <c r="AZ223" s="33"/>
      <c r="BA223" s="33"/>
      <c r="BB223" s="33"/>
      <c r="BC223" s="33"/>
      <c r="BD223" s="33"/>
      <c r="BE223" s="33"/>
      <c r="BF223" s="33"/>
      <c r="BG223" s="33"/>
      <c r="BH223" s="33"/>
      <c r="BI223" s="33"/>
      <c r="BJ223" s="44"/>
      <c r="BK223" s="44"/>
      <c r="BL223" s="44"/>
      <c r="BM223" s="44"/>
      <c r="BN223" s="44"/>
      <c r="BO223" s="44"/>
    </row>
    <row r="224" spans="1:67">
      <c r="A224" s="32"/>
      <c r="B224" s="32" t="s">
        <v>1672</v>
      </c>
      <c r="C224" s="11"/>
      <c r="D224" s="6">
        <v>0.03</v>
      </c>
      <c r="E224" s="11" t="s">
        <v>1673</v>
      </c>
      <c r="F224" s="11"/>
      <c r="G224" s="33"/>
      <c r="H224" s="33"/>
      <c r="I224" s="33"/>
      <c r="J224" s="33"/>
      <c r="K224" s="33"/>
      <c r="L224" s="33"/>
      <c r="M224" s="33"/>
      <c r="N224" s="33"/>
      <c r="O224" s="33"/>
      <c r="P224" s="33"/>
      <c r="Q224" s="33"/>
      <c r="R224" s="33"/>
      <c r="S224" s="33"/>
      <c r="T224" s="33"/>
      <c r="U224" s="33"/>
      <c r="V224" s="33"/>
      <c r="W224" s="33"/>
      <c r="X224" s="33"/>
      <c r="Y224" s="33"/>
      <c r="Z224" s="33"/>
      <c r="AA224" s="33"/>
      <c r="AB224" s="33"/>
      <c r="AC224" s="33"/>
      <c r="AD224" s="33"/>
      <c r="AE224" s="33"/>
      <c r="AF224" s="33"/>
      <c r="AG224" s="33"/>
      <c r="AH224" s="33"/>
      <c r="AI224" s="33"/>
      <c r="AJ224" s="33"/>
      <c r="AK224" s="33"/>
      <c r="AL224" s="33"/>
      <c r="AM224" s="33"/>
      <c r="AN224" s="33"/>
      <c r="AO224" s="33"/>
      <c r="AP224" s="33"/>
      <c r="AQ224" s="33"/>
      <c r="AR224" s="33"/>
      <c r="AS224" s="33"/>
      <c r="AT224" s="33"/>
      <c r="AU224" s="33"/>
      <c r="AV224" s="33"/>
      <c r="AW224" s="33"/>
      <c r="AX224" s="33"/>
      <c r="AY224" s="33"/>
      <c r="AZ224" s="33"/>
      <c r="BA224" s="33"/>
      <c r="BB224" s="33"/>
      <c r="BC224" s="33"/>
      <c r="BD224" s="33"/>
      <c r="BE224" s="33"/>
      <c r="BF224" s="33"/>
      <c r="BG224" s="33"/>
      <c r="BH224" s="33"/>
      <c r="BI224" s="33"/>
      <c r="BJ224" s="44"/>
      <c r="BK224" s="44"/>
      <c r="BL224" s="44"/>
      <c r="BM224" s="44"/>
      <c r="BN224" s="44"/>
      <c r="BO224" s="44"/>
    </row>
    <row r="225" spans="1:67">
      <c r="A225" s="32"/>
      <c r="B225" s="32" t="s">
        <v>1674</v>
      </c>
      <c r="C225" s="11"/>
      <c r="D225" s="90">
        <f>'03 CAPEX &amp; Depreciation'!F110+'03 CAPEX &amp; Depreciation'!F113+'03 CAPEX &amp; Depreciation'!F114</f>
        <v>725000000</v>
      </c>
      <c r="E225" s="11" t="s">
        <v>13</v>
      </c>
      <c r="F225" s="11"/>
      <c r="G225" s="33"/>
      <c r="H225" s="33"/>
      <c r="I225" s="33"/>
      <c r="J225" s="33"/>
      <c r="K225" s="33"/>
      <c r="L225" s="33"/>
      <c r="M225" s="33"/>
      <c r="N225" s="33"/>
      <c r="O225" s="33"/>
      <c r="P225" s="33"/>
      <c r="Q225" s="33"/>
      <c r="R225" s="33"/>
      <c r="S225" s="33"/>
      <c r="T225" s="33"/>
      <c r="U225" s="33"/>
      <c r="V225" s="33"/>
      <c r="W225" s="33"/>
      <c r="X225" s="33"/>
      <c r="Y225" s="33"/>
      <c r="Z225" s="33"/>
      <c r="AA225" s="33"/>
      <c r="AB225" s="33"/>
      <c r="AC225" s="33"/>
      <c r="AD225" s="33"/>
      <c r="AE225" s="33"/>
      <c r="AF225" s="33"/>
      <c r="AG225" s="33"/>
      <c r="AH225" s="33"/>
      <c r="AI225" s="33"/>
      <c r="AJ225" s="33"/>
      <c r="AK225" s="33"/>
      <c r="AL225" s="33"/>
      <c r="AM225" s="33"/>
      <c r="AN225" s="33"/>
      <c r="AO225" s="33"/>
      <c r="AP225" s="33"/>
      <c r="AQ225" s="33"/>
      <c r="AR225" s="33"/>
      <c r="AS225" s="33"/>
      <c r="AT225" s="33"/>
      <c r="AU225" s="33"/>
      <c r="AV225" s="33"/>
      <c r="AW225" s="33"/>
      <c r="AX225" s="33"/>
      <c r="AY225" s="33"/>
      <c r="AZ225" s="33"/>
      <c r="BA225" s="33"/>
      <c r="BB225" s="33"/>
      <c r="BC225" s="33"/>
      <c r="BD225" s="33"/>
      <c r="BE225" s="33"/>
      <c r="BF225" s="33"/>
      <c r="BG225" s="33"/>
      <c r="BH225" s="33"/>
      <c r="BI225" s="33"/>
      <c r="BJ225" s="44"/>
      <c r="BK225" s="44"/>
      <c r="BL225" s="44"/>
      <c r="BM225" s="44"/>
      <c r="BN225" s="44"/>
      <c r="BO225" s="44"/>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FA10EB-96F1-C743-A62C-2C6A2534F3E3}">
  <sheetPr>
    <tabColor rgb="FFFFE5B4"/>
  </sheetPr>
  <dimension ref="A1:BO75"/>
  <sheetViews>
    <sheetView topLeftCell="A16" workbookViewId="0">
      <selection activeCell="H25" sqref="H25"/>
    </sheetView>
  </sheetViews>
  <sheetFormatPr baseColWidth="10" defaultRowHeight="15"/>
  <cols>
    <col min="1" max="1" width="3.83203125" style="9" customWidth="1"/>
    <col min="2" max="2" width="58.33203125" style="9" customWidth="1"/>
    <col min="3" max="3" width="12.83203125" style="9" customWidth="1"/>
    <col min="4" max="6" width="12.83203125" style="42" customWidth="1"/>
    <col min="7" max="61" width="14" style="42" customWidth="1"/>
    <col min="62" max="67" width="14" style="34" customWidth="1"/>
  </cols>
  <sheetData>
    <row r="1" spans="1:67" ht="18">
      <c r="A1" s="21" t="s">
        <v>1678</v>
      </c>
      <c r="B1" s="11"/>
      <c r="C1" s="11"/>
      <c r="D1" s="33"/>
      <c r="E1" s="33"/>
      <c r="F1" s="33"/>
      <c r="G1" s="33"/>
      <c r="H1" s="33"/>
      <c r="I1" s="33"/>
      <c r="J1" s="33"/>
      <c r="K1" s="33"/>
      <c r="L1" s="33"/>
      <c r="M1" s="33"/>
      <c r="N1" s="33"/>
      <c r="O1" s="33"/>
      <c r="P1" s="33"/>
      <c r="Q1" s="33"/>
      <c r="R1" s="33"/>
      <c r="S1" s="33"/>
      <c r="T1" s="33"/>
      <c r="U1" s="33"/>
      <c r="V1" s="33"/>
      <c r="W1" s="33"/>
      <c r="X1" s="33"/>
      <c r="Y1" s="33"/>
      <c r="Z1" s="33"/>
      <c r="AA1" s="33"/>
      <c r="AB1" s="33"/>
      <c r="AC1" s="33"/>
      <c r="AD1" s="33"/>
      <c r="AE1" s="33"/>
      <c r="AF1" s="33"/>
      <c r="AG1" s="33"/>
      <c r="AH1" s="33"/>
      <c r="AI1" s="33"/>
      <c r="AJ1" s="33"/>
      <c r="AK1" s="33"/>
      <c r="AL1" s="33"/>
      <c r="AM1" s="33"/>
      <c r="AN1" s="33"/>
      <c r="AO1" s="33"/>
      <c r="AP1" s="33"/>
      <c r="AQ1" s="33"/>
      <c r="AR1" s="33"/>
      <c r="AS1" s="33"/>
      <c r="AT1" s="33"/>
      <c r="AU1" s="33"/>
      <c r="AV1" s="33"/>
      <c r="AW1" s="33"/>
      <c r="AX1" s="33"/>
      <c r="AY1" s="33"/>
      <c r="AZ1" s="33"/>
      <c r="BA1" s="33"/>
      <c r="BB1" s="33"/>
      <c r="BC1" s="33"/>
      <c r="BD1" s="33"/>
      <c r="BE1" s="33"/>
      <c r="BF1" s="33"/>
      <c r="BG1" s="33"/>
      <c r="BH1" s="33"/>
      <c r="BI1" s="33"/>
      <c r="BJ1" s="33"/>
      <c r="BK1" s="33"/>
      <c r="BL1" s="33"/>
      <c r="BM1" s="33"/>
      <c r="BN1" s="33"/>
      <c r="BO1" s="33"/>
    </row>
    <row r="2" spans="1:67" ht="16">
      <c r="A2" s="12" t="s">
        <v>1644</v>
      </c>
      <c r="B2" s="11"/>
      <c r="C2" s="11"/>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row>
    <row r="3" spans="1:67">
      <c r="A3" s="13" t="s">
        <v>1446</v>
      </c>
      <c r="B3" s="11"/>
      <c r="C3" s="11"/>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row>
    <row r="4" spans="1:67">
      <c r="A4" s="11"/>
      <c r="B4" s="11"/>
      <c r="C4" s="11"/>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row>
    <row r="5" spans="1:67">
      <c r="A5" s="18" t="s">
        <v>212</v>
      </c>
      <c r="B5" s="18"/>
      <c r="C5" s="18"/>
      <c r="D5" s="39"/>
      <c r="E5" s="39"/>
      <c r="F5" s="39"/>
      <c r="G5" s="39"/>
      <c r="H5" s="39"/>
      <c r="I5" s="39"/>
      <c r="J5" s="39"/>
      <c r="K5" s="39"/>
      <c r="L5" s="39"/>
      <c r="M5" s="39"/>
      <c r="N5" s="39"/>
      <c r="O5" s="39"/>
      <c r="P5" s="39"/>
      <c r="Q5" s="39"/>
      <c r="R5" s="39"/>
      <c r="S5" s="39"/>
      <c r="T5" s="39"/>
      <c r="U5" s="39"/>
      <c r="V5" s="39"/>
      <c r="W5" s="39"/>
      <c r="X5" s="39"/>
      <c r="Y5" s="39"/>
      <c r="Z5" s="39"/>
      <c r="AA5" s="39"/>
      <c r="AB5" s="39"/>
      <c r="AC5" s="39"/>
      <c r="AD5" s="39"/>
      <c r="AE5" s="39"/>
      <c r="AF5" s="39"/>
      <c r="AG5" s="39"/>
      <c r="AH5" s="39"/>
      <c r="AI5" s="39"/>
      <c r="AJ5" s="39"/>
      <c r="AK5" s="39"/>
      <c r="AL5" s="39"/>
      <c r="AM5" s="39"/>
      <c r="AN5" s="39"/>
      <c r="AO5" s="39"/>
      <c r="AP5" s="39"/>
      <c r="AQ5" s="39"/>
      <c r="AR5" s="39"/>
      <c r="AS5" s="39"/>
      <c r="AT5" s="39"/>
      <c r="AU5" s="39"/>
      <c r="AV5" s="39"/>
      <c r="AW5" s="39"/>
      <c r="AX5" s="39"/>
      <c r="AY5" s="39"/>
      <c r="AZ5" s="39"/>
      <c r="BA5" s="39"/>
      <c r="BB5" s="39"/>
      <c r="BC5" s="39"/>
      <c r="BD5" s="39"/>
      <c r="BE5" s="39"/>
      <c r="BF5" s="39"/>
      <c r="BG5" s="39"/>
      <c r="BH5" s="39"/>
      <c r="BI5" s="39"/>
      <c r="BJ5" s="39"/>
      <c r="BK5" s="39"/>
      <c r="BL5" s="39"/>
      <c r="BM5" s="39"/>
      <c r="BN5" s="39"/>
      <c r="BO5" s="39"/>
    </row>
    <row r="6" spans="1:67">
      <c r="A6" s="11"/>
      <c r="B6" s="22" t="s">
        <v>213</v>
      </c>
      <c r="C6" s="22"/>
      <c r="D6" s="22" t="s">
        <v>214</v>
      </c>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row>
    <row r="7" spans="1:67">
      <c r="A7" s="11"/>
      <c r="B7" s="11" t="s">
        <v>215</v>
      </c>
      <c r="C7" s="11"/>
      <c r="D7" s="66">
        <v>75.83</v>
      </c>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row>
    <row r="8" spans="1:67">
      <c r="A8" s="11"/>
      <c r="B8" s="11" t="s">
        <v>216</v>
      </c>
      <c r="C8" s="11"/>
      <c r="D8" s="66">
        <v>68.010000000000005</v>
      </c>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row>
    <row r="9" spans="1:67">
      <c r="A9" s="11"/>
      <c r="B9" s="11" t="s">
        <v>217</v>
      </c>
      <c r="C9" s="11"/>
      <c r="D9" s="92">
        <v>69</v>
      </c>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row>
    <row r="10" spans="1:67">
      <c r="A10" s="11"/>
      <c r="B10" s="11" t="s">
        <v>218</v>
      </c>
      <c r="C10" s="11"/>
      <c r="D10" s="66">
        <v>63.63</v>
      </c>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row>
    <row r="11" spans="1:67">
      <c r="A11" s="11"/>
      <c r="B11" s="11" t="s">
        <v>219</v>
      </c>
      <c r="C11" s="11"/>
      <c r="D11" s="66">
        <v>81.11</v>
      </c>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row>
    <row r="12" spans="1:67">
      <c r="A12" s="11"/>
      <c r="B12" s="11" t="s">
        <v>220</v>
      </c>
      <c r="C12" s="11"/>
      <c r="D12" s="66">
        <v>102.93</v>
      </c>
      <c r="E12" s="33"/>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row>
    <row r="13" spans="1:67">
      <c r="A13" s="11"/>
      <c r="B13" s="11" t="s">
        <v>221</v>
      </c>
      <c r="C13" s="11"/>
      <c r="D13" s="66">
        <v>74.03</v>
      </c>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row>
    <row r="14" spans="1:67">
      <c r="A14" s="11"/>
      <c r="B14" s="11" t="s">
        <v>222</v>
      </c>
      <c r="C14" s="11"/>
      <c r="D14" s="92">
        <v>70</v>
      </c>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row>
    <row r="15" spans="1:67">
      <c r="A15" s="11"/>
      <c r="B15" s="11" t="s">
        <v>223</v>
      </c>
      <c r="C15" s="11"/>
      <c r="D15" s="66">
        <v>67.63</v>
      </c>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row>
    <row r="16" spans="1:67">
      <c r="A16" s="11"/>
      <c r="B16" s="11" t="s">
        <v>224</v>
      </c>
      <c r="C16" s="11"/>
      <c r="D16" s="66">
        <v>65.66</v>
      </c>
      <c r="E16" s="33"/>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row>
    <row r="17" spans="1:67">
      <c r="A17" s="11"/>
      <c r="B17" s="11" t="s">
        <v>225</v>
      </c>
      <c r="C17" s="11"/>
      <c r="D17" s="66">
        <v>64.02</v>
      </c>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row>
    <row r="18" spans="1:67">
      <c r="A18" s="11"/>
      <c r="B18" s="11" t="s">
        <v>226</v>
      </c>
      <c r="C18" s="11"/>
      <c r="D18" s="66">
        <v>61.97</v>
      </c>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row>
    <row r="19" spans="1:67">
      <c r="A19" s="11"/>
      <c r="B19" s="11"/>
      <c r="C19" s="11"/>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row>
    <row r="20" spans="1:67">
      <c r="A20" s="11"/>
      <c r="B20" s="11" t="s">
        <v>227</v>
      </c>
      <c r="C20" s="11"/>
      <c r="D20" s="66">
        <v>69.040000000000006</v>
      </c>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row>
    <row r="21" spans="1:67">
      <c r="A21" s="11"/>
      <c r="B21" s="11" t="s">
        <v>228</v>
      </c>
      <c r="C21" s="11"/>
      <c r="D21" s="66">
        <v>81.91</v>
      </c>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row>
    <row r="22" spans="1:67">
      <c r="A22" s="11"/>
      <c r="B22" s="11" t="s">
        <v>229</v>
      </c>
      <c r="C22" s="11"/>
      <c r="D22" s="66">
        <v>64.760000000000005</v>
      </c>
      <c r="E22" s="33"/>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row>
    <row r="23" spans="1:67">
      <c r="A23" s="11"/>
      <c r="B23" s="11"/>
      <c r="C23" s="11"/>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row>
    <row r="24" spans="1:67">
      <c r="A24" s="18" t="s">
        <v>230</v>
      </c>
      <c r="B24" s="18"/>
      <c r="C24" s="18"/>
      <c r="D24" s="39"/>
      <c r="E24" s="39"/>
      <c r="F24" s="39"/>
      <c r="G24" s="39"/>
      <c r="H24" s="39"/>
      <c r="I24" s="39"/>
      <c r="J24" s="39"/>
      <c r="K24" s="39"/>
      <c r="L24" s="39"/>
      <c r="M24" s="39"/>
      <c r="N24" s="39"/>
      <c r="O24" s="39"/>
      <c r="P24" s="39"/>
      <c r="Q24" s="39"/>
      <c r="R24" s="39"/>
      <c r="S24" s="39"/>
      <c r="T24" s="39"/>
      <c r="U24" s="39"/>
      <c r="V24" s="39"/>
      <c r="W24" s="39"/>
      <c r="X24" s="39"/>
      <c r="Y24" s="39"/>
      <c r="Z24" s="39"/>
      <c r="AA24" s="39"/>
      <c r="AB24" s="39"/>
      <c r="AC24" s="39"/>
      <c r="AD24" s="39"/>
      <c r="AE24" s="39"/>
      <c r="AF24" s="39"/>
      <c r="AG24" s="39"/>
      <c r="AH24" s="39"/>
      <c r="AI24" s="39"/>
      <c r="AJ24" s="39"/>
      <c r="AK24" s="39"/>
      <c r="AL24" s="39"/>
      <c r="AM24" s="39"/>
      <c r="AN24" s="39"/>
      <c r="AO24" s="39"/>
      <c r="AP24" s="39"/>
      <c r="AQ24" s="39"/>
      <c r="AR24" s="39"/>
      <c r="AS24" s="39"/>
      <c r="AT24" s="39"/>
      <c r="AU24" s="39"/>
      <c r="AV24" s="39"/>
      <c r="AW24" s="39"/>
      <c r="AX24" s="39"/>
      <c r="AY24" s="39"/>
      <c r="AZ24" s="39"/>
      <c r="BA24" s="39"/>
      <c r="BB24" s="39"/>
      <c r="BC24" s="39"/>
      <c r="BD24" s="39"/>
      <c r="BE24" s="39"/>
      <c r="BF24" s="39"/>
      <c r="BG24" s="39"/>
      <c r="BH24" s="39"/>
      <c r="BI24" s="39"/>
      <c r="BJ24" s="39"/>
      <c r="BK24" s="39"/>
      <c r="BL24" s="39"/>
      <c r="BM24" s="39"/>
      <c r="BN24" s="39"/>
      <c r="BO24" s="39"/>
    </row>
    <row r="25" spans="1:67">
      <c r="A25" s="11"/>
      <c r="B25" s="11" t="s">
        <v>231</v>
      </c>
      <c r="C25" s="11"/>
      <c r="D25" s="16">
        <v>0.02</v>
      </c>
      <c r="E25" s="10" t="s">
        <v>53</v>
      </c>
      <c r="F25" s="10"/>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row>
    <row r="26" spans="1:67">
      <c r="A26" s="11"/>
      <c r="B26" s="22" t="s">
        <v>16</v>
      </c>
      <c r="C26" s="22"/>
      <c r="D26" s="22" t="s">
        <v>214</v>
      </c>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row>
    <row r="27" spans="1:67">
      <c r="A27" s="11"/>
      <c r="B27" s="46">
        <v>2025</v>
      </c>
      <c r="C27" s="11"/>
      <c r="D27" s="63">
        <f>D20</f>
        <v>69.040000000000006</v>
      </c>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row>
    <row r="28" spans="1:67">
      <c r="A28" s="11"/>
      <c r="B28" s="46">
        <v>2026</v>
      </c>
      <c r="C28" s="11"/>
      <c r="D28" s="63">
        <f>D21</f>
        <v>81.91</v>
      </c>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row>
    <row r="29" spans="1:67">
      <c r="A29" s="11"/>
      <c r="B29" s="46">
        <v>2027</v>
      </c>
      <c r="C29" s="11"/>
      <c r="D29" s="63">
        <f>D22</f>
        <v>64.760000000000005</v>
      </c>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row>
    <row r="30" spans="1:67">
      <c r="A30" s="11"/>
      <c r="B30" s="46">
        <v>2028</v>
      </c>
      <c r="C30" s="11"/>
      <c r="D30" s="63">
        <f t="shared" ref="D30:D39" si="0">D29*(1+$D$25)</f>
        <v>66.055200000000013</v>
      </c>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row>
    <row r="31" spans="1:67">
      <c r="A31" s="11"/>
      <c r="B31" s="46">
        <v>2029</v>
      </c>
      <c r="C31" s="11"/>
      <c r="D31" s="63">
        <f t="shared" si="0"/>
        <v>67.376304000000019</v>
      </c>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row>
    <row r="32" spans="1:67">
      <c r="A32" s="11"/>
      <c r="B32" s="46">
        <v>2030</v>
      </c>
      <c r="C32" s="11"/>
      <c r="D32" s="63">
        <f t="shared" si="0"/>
        <v>68.723830080000027</v>
      </c>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row>
    <row r="33" spans="1:67">
      <c r="A33" s="11"/>
      <c r="B33" s="46">
        <v>2031</v>
      </c>
      <c r="C33" s="11"/>
      <c r="D33" s="63">
        <f t="shared" si="0"/>
        <v>70.098306681600036</v>
      </c>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row>
    <row r="34" spans="1:67">
      <c r="A34" s="11"/>
      <c r="B34" s="46">
        <v>2032</v>
      </c>
      <c r="C34" s="11"/>
      <c r="D34" s="63">
        <f t="shared" si="0"/>
        <v>71.500272815232037</v>
      </c>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row>
    <row r="35" spans="1:67">
      <c r="A35" s="11"/>
      <c r="B35" s="46">
        <v>2033</v>
      </c>
      <c r="C35" s="11"/>
      <c r="D35" s="63">
        <f t="shared" si="0"/>
        <v>72.930278271536679</v>
      </c>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row>
    <row r="36" spans="1:67">
      <c r="A36" s="11"/>
      <c r="B36" s="46">
        <v>2034</v>
      </c>
      <c r="C36" s="11"/>
      <c r="D36" s="63">
        <f t="shared" si="0"/>
        <v>74.388883836967409</v>
      </c>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row>
    <row r="37" spans="1:67">
      <c r="A37" s="11"/>
      <c r="B37" s="46">
        <v>2035</v>
      </c>
      <c r="C37" s="11"/>
      <c r="D37" s="63">
        <f t="shared" si="0"/>
        <v>75.876661513706765</v>
      </c>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c r="BI37" s="33"/>
      <c r="BJ37" s="33"/>
      <c r="BK37" s="33"/>
      <c r="BL37" s="33"/>
      <c r="BM37" s="33"/>
      <c r="BN37" s="33"/>
      <c r="BO37" s="33"/>
    </row>
    <row r="38" spans="1:67">
      <c r="A38" s="11"/>
      <c r="B38" s="46">
        <v>2036</v>
      </c>
      <c r="C38" s="11"/>
      <c r="D38" s="63">
        <f t="shared" si="0"/>
        <v>77.394194743980904</v>
      </c>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row>
    <row r="39" spans="1:67">
      <c r="A39" s="11"/>
      <c r="B39" s="46">
        <v>2037</v>
      </c>
      <c r="C39" s="11"/>
      <c r="D39" s="63">
        <f t="shared" si="0"/>
        <v>78.942078638860522</v>
      </c>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row>
    <row r="40" spans="1:67">
      <c r="A40" s="11"/>
      <c r="B40" s="11"/>
      <c r="C40" s="11"/>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row>
    <row r="41" spans="1:67">
      <c r="A41" s="18" t="s">
        <v>232</v>
      </c>
      <c r="B41" s="18"/>
      <c r="C41" s="18"/>
      <c r="D41" s="39"/>
      <c r="E41" s="39"/>
      <c r="F41" s="39"/>
      <c r="G41" s="39"/>
      <c r="H41" s="39"/>
      <c r="I41" s="39"/>
      <c r="J41" s="39"/>
      <c r="K41" s="39"/>
      <c r="L41" s="39"/>
      <c r="M41" s="39"/>
      <c r="N41" s="39"/>
      <c r="O41" s="39"/>
      <c r="P41" s="39"/>
      <c r="Q41" s="39"/>
      <c r="R41" s="39"/>
      <c r="S41" s="39"/>
      <c r="T41" s="39"/>
      <c r="U41" s="39"/>
      <c r="V41" s="39"/>
      <c r="W41" s="39"/>
      <c r="X41" s="39"/>
      <c r="Y41" s="39"/>
      <c r="Z41" s="39"/>
      <c r="AA41" s="39"/>
      <c r="AB41" s="39"/>
      <c r="AC41" s="39"/>
      <c r="AD41" s="39"/>
      <c r="AE41" s="39"/>
      <c r="AF41" s="39"/>
      <c r="AG41" s="39"/>
      <c r="AH41" s="39"/>
      <c r="AI41" s="39"/>
      <c r="AJ41" s="39"/>
      <c r="AK41" s="39"/>
      <c r="AL41" s="39"/>
      <c r="AM41" s="39"/>
      <c r="AN41" s="39"/>
      <c r="AO41" s="39"/>
      <c r="AP41" s="39"/>
      <c r="AQ41" s="39"/>
      <c r="AR41" s="39"/>
      <c r="AS41" s="39"/>
      <c r="AT41" s="39"/>
      <c r="AU41" s="39"/>
      <c r="AV41" s="39"/>
      <c r="AW41" s="39"/>
      <c r="AX41" s="39"/>
      <c r="AY41" s="39"/>
      <c r="AZ41" s="39"/>
      <c r="BA41" s="39"/>
      <c r="BB41" s="39"/>
      <c r="BC41" s="39"/>
      <c r="BD41" s="39"/>
      <c r="BE41" s="39"/>
      <c r="BF41" s="39"/>
      <c r="BG41" s="39"/>
      <c r="BH41" s="39"/>
      <c r="BI41" s="39"/>
      <c r="BJ41" s="39"/>
      <c r="BK41" s="39"/>
      <c r="BL41" s="39"/>
      <c r="BM41" s="39"/>
      <c r="BN41" s="39"/>
      <c r="BO41" s="39"/>
    </row>
    <row r="42" spans="1:67">
      <c r="A42" s="11"/>
      <c r="B42" s="11" t="s">
        <v>233</v>
      </c>
      <c r="C42" s="11"/>
      <c r="D42" s="66">
        <v>0.94</v>
      </c>
      <c r="E42" s="10" t="s">
        <v>234</v>
      </c>
      <c r="F42" s="10"/>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row>
    <row r="43" spans="1:67">
      <c r="A43" s="11"/>
      <c r="B43" s="11" t="s">
        <v>235</v>
      </c>
      <c r="C43" s="11"/>
      <c r="D43" s="92">
        <v>159</v>
      </c>
      <c r="E43" s="10" t="s">
        <v>236</v>
      </c>
      <c r="F43" s="10"/>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row>
    <row r="44" spans="1:67">
      <c r="A44" s="11"/>
      <c r="B44" s="11" t="s">
        <v>237</v>
      </c>
      <c r="C44" s="11"/>
      <c r="D44" s="63">
        <f>1000/D42/D43</f>
        <v>6.6907533788304567</v>
      </c>
      <c r="E44" s="10" t="s">
        <v>238</v>
      </c>
      <c r="F44" s="10"/>
      <c r="G44" s="33"/>
      <c r="H44" s="33"/>
      <c r="I44" s="33"/>
      <c r="J44" s="33"/>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row>
    <row r="45" spans="1:67">
      <c r="A45" s="11"/>
      <c r="B45" s="11" t="s">
        <v>245</v>
      </c>
      <c r="C45" s="11"/>
      <c r="D45" s="63">
        <f>D28*D44</f>
        <v>548.03960926000263</v>
      </c>
      <c r="E45" s="10" t="s">
        <v>239</v>
      </c>
      <c r="F45" s="10"/>
      <c r="G45" s="33"/>
      <c r="H45" s="33"/>
      <c r="I45" s="33"/>
      <c r="J45" s="33"/>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row>
    <row r="46" spans="1:67">
      <c r="A46" s="11"/>
      <c r="B46" s="11" t="s">
        <v>50</v>
      </c>
      <c r="C46" s="11"/>
      <c r="D46" s="66">
        <f>'01 Major Assumptions'!D20</f>
        <v>32.5</v>
      </c>
      <c r="E46" s="10" t="s">
        <v>51</v>
      </c>
      <c r="F46" s="10"/>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row>
    <row r="47" spans="1:67">
      <c r="A47" s="11"/>
      <c r="B47" s="11" t="s">
        <v>240</v>
      </c>
      <c r="C47" s="11"/>
      <c r="D47" s="90">
        <f>D45*D46</f>
        <v>17811.287300950087</v>
      </c>
      <c r="E47" s="10" t="s">
        <v>70</v>
      </c>
      <c r="F47" s="10"/>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row>
    <row r="48" spans="1:67">
      <c r="A48" s="11"/>
      <c r="B48" s="11" t="s">
        <v>1447</v>
      </c>
      <c r="C48" s="11"/>
      <c r="D48" s="92">
        <v>19000</v>
      </c>
      <c r="E48" s="10" t="s">
        <v>70</v>
      </c>
      <c r="F48" s="10"/>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row>
    <row r="49" spans="1:67">
      <c r="A49" s="11"/>
      <c r="B49" s="11" t="s">
        <v>241</v>
      </c>
      <c r="C49" s="11"/>
      <c r="D49" s="6">
        <f>D48/D47</f>
        <v>1.0667392917179268</v>
      </c>
      <c r="E49" s="10" t="s">
        <v>7</v>
      </c>
      <c r="F49" s="10"/>
      <c r="G49" s="33"/>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row>
    <row r="50" spans="1:67">
      <c r="A50" s="11"/>
      <c r="B50" s="11" t="s">
        <v>242</v>
      </c>
      <c r="C50" s="11"/>
      <c r="D50" s="6">
        <f>1-D49</f>
        <v>-6.6739291717926807E-2</v>
      </c>
      <c r="E50" s="10" t="s">
        <v>7</v>
      </c>
      <c r="F50" s="10"/>
      <c r="G50" s="33"/>
      <c r="H50" s="33"/>
      <c r="I50" s="33"/>
      <c r="J50" s="33"/>
      <c r="K50" s="33"/>
      <c r="L50" s="33"/>
      <c r="M50" s="33"/>
      <c r="N50" s="33"/>
      <c r="O50" s="33"/>
      <c r="P50" s="33"/>
      <c r="Q50" s="33"/>
      <c r="R50" s="33"/>
      <c r="S50" s="33"/>
      <c r="T50" s="33"/>
      <c r="U50" s="33"/>
      <c r="V50" s="33"/>
      <c r="W50" s="33"/>
      <c r="X50" s="33"/>
      <c r="Y50" s="33"/>
      <c r="Z50" s="33"/>
      <c r="AA50" s="33"/>
      <c r="AB50" s="33"/>
      <c r="AC50" s="33"/>
      <c r="AD50" s="33"/>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3"/>
      <c r="BN50" s="33"/>
      <c r="BO50" s="33"/>
    </row>
    <row r="51" spans="1:67">
      <c r="A51" s="11"/>
      <c r="B51" s="1" t="s">
        <v>243</v>
      </c>
      <c r="C51" s="11"/>
      <c r="D51" s="33"/>
      <c r="E51" s="33"/>
      <c r="F51" s="33"/>
      <c r="G51" s="33"/>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c r="AJ51" s="33"/>
      <c r="AK51" s="33"/>
      <c r="AL51" s="33"/>
      <c r="AM51" s="33"/>
      <c r="AN51" s="33"/>
      <c r="AO51" s="33"/>
      <c r="AP51" s="33"/>
      <c r="AQ51" s="33"/>
      <c r="AR51" s="33"/>
      <c r="AS51" s="33"/>
      <c r="AT51" s="33"/>
      <c r="AU51" s="33"/>
      <c r="AV51" s="33"/>
      <c r="AW51" s="33"/>
      <c r="AX51" s="33"/>
      <c r="AY51" s="33"/>
      <c r="AZ51" s="33"/>
      <c r="BA51" s="33"/>
      <c r="BB51" s="33"/>
      <c r="BC51" s="33"/>
      <c r="BD51" s="33"/>
      <c r="BE51" s="33"/>
      <c r="BF51" s="33"/>
      <c r="BG51" s="33"/>
      <c r="BH51" s="33"/>
      <c r="BI51" s="33"/>
      <c r="BJ51" s="33"/>
      <c r="BK51" s="33"/>
      <c r="BL51" s="33"/>
      <c r="BM51" s="33"/>
      <c r="BN51" s="33"/>
      <c r="BO51" s="33"/>
    </row>
    <row r="52" spans="1:67">
      <c r="A52" s="11"/>
      <c r="B52" s="1" t="s">
        <v>244</v>
      </c>
      <c r="C52" s="11"/>
      <c r="D52" s="33"/>
      <c r="E52" s="33"/>
      <c r="F52" s="33"/>
      <c r="G52" s="33"/>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c r="BK52" s="33"/>
      <c r="BL52" s="33"/>
      <c r="BM52" s="33"/>
      <c r="BN52" s="33"/>
      <c r="BO52" s="33"/>
    </row>
    <row r="53" spans="1:67">
      <c r="A53" s="11"/>
      <c r="B53" s="1" t="s">
        <v>1448</v>
      </c>
      <c r="C53" s="11"/>
      <c r="D53" s="33"/>
      <c r="E53" s="33"/>
      <c r="F53" s="33"/>
      <c r="G53" s="33"/>
      <c r="H53" s="33"/>
      <c r="I53" s="33"/>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3"/>
      <c r="AP53" s="33"/>
      <c r="AQ53" s="33"/>
      <c r="AR53" s="33"/>
      <c r="AS53" s="33"/>
      <c r="AT53" s="33"/>
      <c r="AU53" s="33"/>
      <c r="AV53" s="33"/>
      <c r="AW53" s="33"/>
      <c r="AX53" s="33"/>
      <c r="AY53" s="33"/>
      <c r="AZ53" s="33"/>
      <c r="BA53" s="33"/>
      <c r="BB53" s="33"/>
      <c r="BC53" s="33"/>
      <c r="BD53" s="33"/>
      <c r="BE53" s="33"/>
      <c r="BF53" s="33"/>
      <c r="BG53" s="33"/>
      <c r="BH53" s="33"/>
      <c r="BI53" s="33"/>
      <c r="BJ53" s="33"/>
      <c r="BK53" s="33"/>
      <c r="BL53" s="33"/>
      <c r="BM53" s="33"/>
      <c r="BN53" s="33"/>
      <c r="BO53" s="33"/>
    </row>
    <row r="54" spans="1:67">
      <c r="A54" s="11"/>
      <c r="B54" s="1" t="s">
        <v>1449</v>
      </c>
      <c r="C54" s="11"/>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row>
    <row r="55" spans="1:67">
      <c r="A55" s="11"/>
      <c r="B55" s="11"/>
      <c r="C55" s="11"/>
      <c r="D55" s="33"/>
      <c r="E55" s="33"/>
      <c r="F55" s="33"/>
      <c r="G55" s="23" t="str">
        <f>'01 Major Assumptions'!G$12</f>
        <v>Jan-27</v>
      </c>
      <c r="H55" s="23" t="str">
        <f>'01 Major Assumptions'!H$12</f>
        <v>Feb-27</v>
      </c>
      <c r="I55" s="23" t="str">
        <f>'01 Major Assumptions'!I$12</f>
        <v>Mar-27</v>
      </c>
      <c r="J55" s="23" t="str">
        <f>'01 Major Assumptions'!J$12</f>
        <v>Apr-27</v>
      </c>
      <c r="K55" s="23" t="str">
        <f>'01 Major Assumptions'!K$12</f>
        <v>May-27</v>
      </c>
      <c r="L55" s="23" t="str">
        <f>'01 Major Assumptions'!L$12</f>
        <v>Jun-27</v>
      </c>
      <c r="M55" s="23" t="str">
        <f>'01 Major Assumptions'!M$12</f>
        <v>Jul-27</v>
      </c>
      <c r="N55" s="23" t="str">
        <f>'01 Major Assumptions'!N$12</f>
        <v>Aug-27</v>
      </c>
      <c r="O55" s="23" t="str">
        <f>'01 Major Assumptions'!O$12</f>
        <v>Sep-27</v>
      </c>
      <c r="P55" s="23" t="str">
        <f>'01 Major Assumptions'!P$12</f>
        <v>Oct-27</v>
      </c>
      <c r="Q55" s="23" t="str">
        <f>'01 Major Assumptions'!Q$12</f>
        <v>Nov-27</v>
      </c>
      <c r="R55" s="23" t="str">
        <f>'01 Major Assumptions'!R$12</f>
        <v>Dec-27</v>
      </c>
      <c r="S55" s="23" t="str">
        <f>'01 Major Assumptions'!S$12</f>
        <v>Jan-28</v>
      </c>
      <c r="T55" s="23" t="str">
        <f>'01 Major Assumptions'!T$12</f>
        <v>Feb-28</v>
      </c>
      <c r="U55" s="23" t="str">
        <f>'01 Major Assumptions'!U$12</f>
        <v>Mar-28</v>
      </c>
      <c r="V55" s="23" t="str">
        <f>'01 Major Assumptions'!V$12</f>
        <v>Apr-28</v>
      </c>
      <c r="W55" s="23" t="str">
        <f>'01 Major Assumptions'!W$12</f>
        <v>May-28</v>
      </c>
      <c r="X55" s="23" t="str">
        <f>'01 Major Assumptions'!X$12</f>
        <v>Jun-28</v>
      </c>
      <c r="Y55" s="23" t="str">
        <f>'01 Major Assumptions'!Y$12</f>
        <v>Jul-28</v>
      </c>
      <c r="Z55" s="23" t="str">
        <f>'01 Major Assumptions'!Z$12</f>
        <v>Aug-28</v>
      </c>
      <c r="AA55" s="23" t="str">
        <f>'01 Major Assumptions'!AA$12</f>
        <v>Sep-28</v>
      </c>
      <c r="AB55" s="23" t="str">
        <f>'01 Major Assumptions'!AB$12</f>
        <v>Oct-28</v>
      </c>
      <c r="AC55" s="23" t="str">
        <f>'01 Major Assumptions'!AC$12</f>
        <v>Nov-28</v>
      </c>
      <c r="AD55" s="23" t="str">
        <f>'01 Major Assumptions'!AD$12</f>
        <v>Dec-28</v>
      </c>
      <c r="AE55" s="23" t="str">
        <f>'01 Major Assumptions'!AE$12</f>
        <v>Jan-29</v>
      </c>
      <c r="AF55" s="23" t="str">
        <f>'01 Major Assumptions'!AF$12</f>
        <v>Feb-29</v>
      </c>
      <c r="AG55" s="23" t="str">
        <f>'01 Major Assumptions'!AG$12</f>
        <v>Mar-29</v>
      </c>
      <c r="AH55" s="23" t="str">
        <f>'01 Major Assumptions'!AH$12</f>
        <v>Apr-29</v>
      </c>
      <c r="AI55" s="23" t="str">
        <f>'01 Major Assumptions'!AI$12</f>
        <v>May-29</v>
      </c>
      <c r="AJ55" s="23" t="str">
        <f>'01 Major Assumptions'!AJ$12</f>
        <v>Jun-29</v>
      </c>
      <c r="AK55" s="23" t="str">
        <f>'01 Major Assumptions'!AK$12</f>
        <v>Jul-29</v>
      </c>
      <c r="AL55" s="23" t="str">
        <f>'01 Major Assumptions'!AL$12</f>
        <v>Aug-29</v>
      </c>
      <c r="AM55" s="23" t="str">
        <f>'01 Major Assumptions'!AM$12</f>
        <v>Sep-29</v>
      </c>
      <c r="AN55" s="23" t="str">
        <f>'01 Major Assumptions'!AN$12</f>
        <v>Oct-29</v>
      </c>
      <c r="AO55" s="23" t="str">
        <f>'01 Major Assumptions'!AO$12</f>
        <v>Nov-29</v>
      </c>
      <c r="AP55" s="23" t="str">
        <f>'01 Major Assumptions'!AP$12</f>
        <v>Dec-29</v>
      </c>
      <c r="AQ55" s="23" t="str">
        <f>'01 Major Assumptions'!AQ$12</f>
        <v>Jan-30</v>
      </c>
      <c r="AR55" s="23" t="str">
        <f>'01 Major Assumptions'!AR$12</f>
        <v>Feb-30</v>
      </c>
      <c r="AS55" s="23" t="str">
        <f>'01 Major Assumptions'!AS$12</f>
        <v>Mar-30</v>
      </c>
      <c r="AT55" s="23" t="str">
        <f>'01 Major Assumptions'!AT$12</f>
        <v>Apr-30</v>
      </c>
      <c r="AU55" s="23" t="str">
        <f>'01 Major Assumptions'!AU$12</f>
        <v>May-30</v>
      </c>
      <c r="AV55" s="23" t="str">
        <f>'01 Major Assumptions'!AV$12</f>
        <v>Jun-30</v>
      </c>
      <c r="AW55" s="23" t="str">
        <f>'01 Major Assumptions'!AW$12</f>
        <v>Jul-30</v>
      </c>
      <c r="AX55" s="23" t="str">
        <f>'01 Major Assumptions'!AX$12</f>
        <v>Aug-30</v>
      </c>
      <c r="AY55" s="23" t="str">
        <f>'01 Major Assumptions'!AY$12</f>
        <v>Sep-30</v>
      </c>
      <c r="AZ55" s="23" t="str">
        <f>'01 Major Assumptions'!AZ$12</f>
        <v>Oct-30</v>
      </c>
      <c r="BA55" s="23" t="str">
        <f>'01 Major Assumptions'!BA$12</f>
        <v>Nov-30</v>
      </c>
      <c r="BB55" s="23" t="str">
        <f>'01 Major Assumptions'!BB$12</f>
        <v>Dec-30</v>
      </c>
      <c r="BC55" s="23" t="str">
        <f>'01 Major Assumptions'!BC$12</f>
        <v>Jan-31</v>
      </c>
      <c r="BD55" s="23" t="str">
        <f>'01 Major Assumptions'!BD$12</f>
        <v>Feb-31</v>
      </c>
      <c r="BE55" s="23" t="str">
        <f>'01 Major Assumptions'!BE$12</f>
        <v>Mar-31</v>
      </c>
      <c r="BF55" s="23" t="str">
        <f>'01 Major Assumptions'!BF$12</f>
        <v>Apr-31</v>
      </c>
      <c r="BG55" s="23" t="str">
        <f>'01 Major Assumptions'!BG$12</f>
        <v>May-31</v>
      </c>
      <c r="BH55" s="23" t="str">
        <f>'01 Major Assumptions'!BH$12</f>
        <v>Jun-31</v>
      </c>
      <c r="BI55" s="23" t="str">
        <f>'01 Major Assumptions'!BI$12</f>
        <v>FY2032</v>
      </c>
      <c r="BJ55" s="23" t="str">
        <f>'01 Major Assumptions'!BJ$12</f>
        <v>FY2033</v>
      </c>
      <c r="BK55" s="23" t="str">
        <f>'01 Major Assumptions'!BK$12</f>
        <v>FY2034</v>
      </c>
      <c r="BL55" s="23" t="str">
        <f>'01 Major Assumptions'!BL$12</f>
        <v>FY2035</v>
      </c>
      <c r="BM55" s="23" t="str">
        <f>'01 Major Assumptions'!BM$12</f>
        <v>FY2036</v>
      </c>
      <c r="BN55" s="23" t="str">
        <f>'01 Major Assumptions'!BN$12</f>
        <v>FY2037</v>
      </c>
      <c r="BO55" s="23" t="str">
        <f>'01 Major Assumptions'!BO$12</f>
        <v>FY2038</v>
      </c>
    </row>
    <row r="56" spans="1:67">
      <c r="A56" s="18" t="s">
        <v>246</v>
      </c>
      <c r="B56" s="18"/>
      <c r="C56" s="18"/>
      <c r="D56" s="39"/>
      <c r="E56" s="39"/>
      <c r="F56" s="39"/>
      <c r="G56" s="39"/>
      <c r="H56" s="39"/>
      <c r="I56" s="39"/>
      <c r="J56" s="39"/>
      <c r="K56" s="39"/>
      <c r="L56" s="39"/>
      <c r="M56" s="39"/>
      <c r="N56" s="39"/>
      <c r="O56" s="39"/>
      <c r="P56" s="39"/>
      <c r="Q56" s="39"/>
      <c r="R56" s="39"/>
      <c r="S56" s="39"/>
      <c r="T56" s="39"/>
      <c r="U56" s="39"/>
      <c r="V56" s="39"/>
      <c r="W56" s="39"/>
      <c r="X56" s="39"/>
      <c r="Y56" s="39"/>
      <c r="Z56" s="39"/>
      <c r="AA56" s="39"/>
      <c r="AB56" s="39"/>
      <c r="AC56" s="39"/>
      <c r="AD56" s="39"/>
      <c r="AE56" s="39"/>
      <c r="AF56" s="39"/>
      <c r="AG56" s="39"/>
      <c r="AH56" s="39"/>
      <c r="AI56" s="39"/>
      <c r="AJ56" s="39"/>
      <c r="AK56" s="39"/>
      <c r="AL56" s="39"/>
      <c r="AM56" s="39"/>
      <c r="AN56" s="39"/>
      <c r="AO56" s="39"/>
      <c r="AP56" s="39"/>
      <c r="AQ56" s="39"/>
      <c r="AR56" s="39"/>
      <c r="AS56" s="39"/>
      <c r="AT56" s="39"/>
      <c r="AU56" s="39"/>
      <c r="AV56" s="39"/>
      <c r="AW56" s="39"/>
      <c r="AX56" s="39"/>
      <c r="AY56" s="39"/>
      <c r="AZ56" s="39"/>
      <c r="BA56" s="39"/>
      <c r="BB56" s="39"/>
      <c r="BC56" s="39"/>
      <c r="BD56" s="39"/>
      <c r="BE56" s="39"/>
      <c r="BF56" s="39"/>
      <c r="BG56" s="39"/>
      <c r="BH56" s="39"/>
      <c r="BI56" s="39"/>
      <c r="BJ56" s="39"/>
      <c r="BK56" s="39"/>
      <c r="BL56" s="39"/>
      <c r="BM56" s="39"/>
      <c r="BN56" s="39"/>
      <c r="BO56" s="39"/>
    </row>
    <row r="57" spans="1:67">
      <c r="A57" s="11"/>
      <c r="B57" s="11" t="s">
        <v>247</v>
      </c>
      <c r="C57" s="11"/>
      <c r="D57" s="33"/>
      <c r="E57" s="10" t="s">
        <v>45</v>
      </c>
      <c r="F57" s="10"/>
      <c r="G57" s="90">
        <f>YEAR('01 Major Assumptions'!G$11)-YEAR('01 Major Assumptions'!$D$6)</f>
        <v>0</v>
      </c>
      <c r="H57" s="90">
        <f>YEAR('01 Major Assumptions'!H$11)-YEAR('01 Major Assumptions'!$D$6)</f>
        <v>0</v>
      </c>
      <c r="I57" s="90">
        <f>YEAR('01 Major Assumptions'!I$11)-YEAR('01 Major Assumptions'!$D$6)</f>
        <v>0</v>
      </c>
      <c r="J57" s="90">
        <f>YEAR('01 Major Assumptions'!J$11)-YEAR('01 Major Assumptions'!$D$6)</f>
        <v>0</v>
      </c>
      <c r="K57" s="90">
        <f>YEAR('01 Major Assumptions'!K$11)-YEAR('01 Major Assumptions'!$D$6)</f>
        <v>0</v>
      </c>
      <c r="L57" s="90">
        <f>YEAR('01 Major Assumptions'!L$11)-YEAR('01 Major Assumptions'!$D$6)</f>
        <v>0</v>
      </c>
      <c r="M57" s="90">
        <f>YEAR('01 Major Assumptions'!M$11)-YEAR('01 Major Assumptions'!$D$6)</f>
        <v>0</v>
      </c>
      <c r="N57" s="90">
        <f>YEAR('01 Major Assumptions'!N$11)-YEAR('01 Major Assumptions'!$D$6)</f>
        <v>0</v>
      </c>
      <c r="O57" s="90">
        <f>YEAR('01 Major Assumptions'!O$11)-YEAR('01 Major Assumptions'!$D$6)</f>
        <v>0</v>
      </c>
      <c r="P57" s="90">
        <f>YEAR('01 Major Assumptions'!P$11)-YEAR('01 Major Assumptions'!$D$6)</f>
        <v>0</v>
      </c>
      <c r="Q57" s="90">
        <f>YEAR('01 Major Assumptions'!Q$11)-YEAR('01 Major Assumptions'!$D$6)</f>
        <v>0</v>
      </c>
      <c r="R57" s="90">
        <f>YEAR('01 Major Assumptions'!R$11)-YEAR('01 Major Assumptions'!$D$6)</f>
        <v>0</v>
      </c>
      <c r="S57" s="90">
        <f>YEAR('01 Major Assumptions'!S$11)-YEAR('01 Major Assumptions'!$D$6)</f>
        <v>1</v>
      </c>
      <c r="T57" s="90">
        <f>YEAR('01 Major Assumptions'!T$11)-YEAR('01 Major Assumptions'!$D$6)</f>
        <v>1</v>
      </c>
      <c r="U57" s="90">
        <f>YEAR('01 Major Assumptions'!U$11)-YEAR('01 Major Assumptions'!$D$6)</f>
        <v>1</v>
      </c>
      <c r="V57" s="90">
        <f>YEAR('01 Major Assumptions'!V$11)-YEAR('01 Major Assumptions'!$D$6)</f>
        <v>1</v>
      </c>
      <c r="W57" s="90">
        <f>YEAR('01 Major Assumptions'!W$11)-YEAR('01 Major Assumptions'!$D$6)</f>
        <v>1</v>
      </c>
      <c r="X57" s="90">
        <f>YEAR('01 Major Assumptions'!X$11)-YEAR('01 Major Assumptions'!$D$6)</f>
        <v>1</v>
      </c>
      <c r="Y57" s="90">
        <f>YEAR('01 Major Assumptions'!Y$11)-YEAR('01 Major Assumptions'!$D$6)</f>
        <v>1</v>
      </c>
      <c r="Z57" s="90">
        <f>YEAR('01 Major Assumptions'!Z$11)-YEAR('01 Major Assumptions'!$D$6)</f>
        <v>1</v>
      </c>
      <c r="AA57" s="90">
        <f>YEAR('01 Major Assumptions'!AA$11)-YEAR('01 Major Assumptions'!$D$6)</f>
        <v>1</v>
      </c>
      <c r="AB57" s="90">
        <f>YEAR('01 Major Assumptions'!AB$11)-YEAR('01 Major Assumptions'!$D$6)</f>
        <v>1</v>
      </c>
      <c r="AC57" s="90">
        <f>YEAR('01 Major Assumptions'!AC$11)-YEAR('01 Major Assumptions'!$D$6)</f>
        <v>1</v>
      </c>
      <c r="AD57" s="90">
        <f>YEAR('01 Major Assumptions'!AD$11)-YEAR('01 Major Assumptions'!$D$6)</f>
        <v>1</v>
      </c>
      <c r="AE57" s="90">
        <f>YEAR('01 Major Assumptions'!AE$11)-YEAR('01 Major Assumptions'!$D$6)</f>
        <v>2</v>
      </c>
      <c r="AF57" s="90">
        <f>YEAR('01 Major Assumptions'!AF$11)-YEAR('01 Major Assumptions'!$D$6)</f>
        <v>2</v>
      </c>
      <c r="AG57" s="90">
        <f>YEAR('01 Major Assumptions'!AG$11)-YEAR('01 Major Assumptions'!$D$6)</f>
        <v>2</v>
      </c>
      <c r="AH57" s="90">
        <f>YEAR('01 Major Assumptions'!AH$11)-YEAR('01 Major Assumptions'!$D$6)</f>
        <v>2</v>
      </c>
      <c r="AI57" s="90">
        <f>YEAR('01 Major Assumptions'!AI$11)-YEAR('01 Major Assumptions'!$D$6)</f>
        <v>2</v>
      </c>
      <c r="AJ57" s="90">
        <f>YEAR('01 Major Assumptions'!AJ$11)-YEAR('01 Major Assumptions'!$D$6)</f>
        <v>2</v>
      </c>
      <c r="AK57" s="90">
        <f>YEAR('01 Major Assumptions'!AK$11)-YEAR('01 Major Assumptions'!$D$6)</f>
        <v>2</v>
      </c>
      <c r="AL57" s="90">
        <f>YEAR('01 Major Assumptions'!AL$11)-YEAR('01 Major Assumptions'!$D$6)</f>
        <v>2</v>
      </c>
      <c r="AM57" s="90">
        <f>YEAR('01 Major Assumptions'!AM$11)-YEAR('01 Major Assumptions'!$D$6)</f>
        <v>2</v>
      </c>
      <c r="AN57" s="90">
        <f>YEAR('01 Major Assumptions'!AN$11)-YEAR('01 Major Assumptions'!$D$6)</f>
        <v>2</v>
      </c>
      <c r="AO57" s="90">
        <f>YEAR('01 Major Assumptions'!AO$11)-YEAR('01 Major Assumptions'!$D$6)</f>
        <v>2</v>
      </c>
      <c r="AP57" s="90">
        <f>YEAR('01 Major Assumptions'!AP$11)-YEAR('01 Major Assumptions'!$D$6)</f>
        <v>2</v>
      </c>
      <c r="AQ57" s="90">
        <f>YEAR('01 Major Assumptions'!AQ$11)-YEAR('01 Major Assumptions'!$D$6)</f>
        <v>3</v>
      </c>
      <c r="AR57" s="90">
        <f>YEAR('01 Major Assumptions'!AR$11)-YEAR('01 Major Assumptions'!$D$6)</f>
        <v>3</v>
      </c>
      <c r="AS57" s="90">
        <f>YEAR('01 Major Assumptions'!AS$11)-YEAR('01 Major Assumptions'!$D$6)</f>
        <v>3</v>
      </c>
      <c r="AT57" s="90">
        <f>YEAR('01 Major Assumptions'!AT$11)-YEAR('01 Major Assumptions'!$D$6)</f>
        <v>3</v>
      </c>
      <c r="AU57" s="90">
        <f>YEAR('01 Major Assumptions'!AU$11)-YEAR('01 Major Assumptions'!$D$6)</f>
        <v>3</v>
      </c>
      <c r="AV57" s="90">
        <f>YEAR('01 Major Assumptions'!AV$11)-YEAR('01 Major Assumptions'!$D$6)</f>
        <v>3</v>
      </c>
      <c r="AW57" s="90">
        <f>YEAR('01 Major Assumptions'!AW$11)-YEAR('01 Major Assumptions'!$D$6)</f>
        <v>3</v>
      </c>
      <c r="AX57" s="90">
        <f>YEAR('01 Major Assumptions'!AX$11)-YEAR('01 Major Assumptions'!$D$6)</f>
        <v>3</v>
      </c>
      <c r="AY57" s="90">
        <f>YEAR('01 Major Assumptions'!AY$11)-YEAR('01 Major Assumptions'!$D$6)</f>
        <v>3</v>
      </c>
      <c r="AZ57" s="90">
        <f>YEAR('01 Major Assumptions'!AZ$11)-YEAR('01 Major Assumptions'!$D$6)</f>
        <v>3</v>
      </c>
      <c r="BA57" s="90">
        <f>YEAR('01 Major Assumptions'!BA$11)-YEAR('01 Major Assumptions'!$D$6)</f>
        <v>3</v>
      </c>
      <c r="BB57" s="90">
        <f>YEAR('01 Major Assumptions'!BB$11)-YEAR('01 Major Assumptions'!$D$6)</f>
        <v>3</v>
      </c>
      <c r="BC57" s="90">
        <f>YEAR('01 Major Assumptions'!BC$11)-YEAR('01 Major Assumptions'!$D$6)</f>
        <v>4</v>
      </c>
      <c r="BD57" s="90">
        <f>YEAR('01 Major Assumptions'!BD$11)-YEAR('01 Major Assumptions'!$D$6)</f>
        <v>4</v>
      </c>
      <c r="BE57" s="90">
        <f>YEAR('01 Major Assumptions'!BE$11)-YEAR('01 Major Assumptions'!$D$6)</f>
        <v>4</v>
      </c>
      <c r="BF57" s="90">
        <f>YEAR('01 Major Assumptions'!BF$11)-YEAR('01 Major Assumptions'!$D$6)</f>
        <v>4</v>
      </c>
      <c r="BG57" s="90">
        <f>YEAR('01 Major Assumptions'!BG$11)-YEAR('01 Major Assumptions'!$D$6)</f>
        <v>4</v>
      </c>
      <c r="BH57" s="90">
        <f>YEAR('01 Major Assumptions'!BH$11)-YEAR('01 Major Assumptions'!$D$6)</f>
        <v>4</v>
      </c>
      <c r="BI57" s="90">
        <f>YEAR('01 Major Assumptions'!BI$11)-YEAR('01 Major Assumptions'!$D$6)</f>
        <v>5</v>
      </c>
      <c r="BJ57" s="90">
        <f>YEAR('01 Major Assumptions'!BJ$11)-YEAR('01 Major Assumptions'!$D$6)</f>
        <v>6</v>
      </c>
      <c r="BK57" s="90">
        <f>YEAR('01 Major Assumptions'!BK$11)-YEAR('01 Major Assumptions'!$D$6)</f>
        <v>7</v>
      </c>
      <c r="BL57" s="90">
        <f>YEAR('01 Major Assumptions'!BL$11)-YEAR('01 Major Assumptions'!$D$6)</f>
        <v>8</v>
      </c>
      <c r="BM57" s="90">
        <f>YEAR('01 Major Assumptions'!BM$11)-YEAR('01 Major Assumptions'!$D$6)</f>
        <v>9</v>
      </c>
      <c r="BN57" s="90">
        <f>YEAR('01 Major Assumptions'!BN$11)-YEAR('01 Major Assumptions'!$D$6)</f>
        <v>10</v>
      </c>
      <c r="BO57" s="90">
        <f>YEAR('01 Major Assumptions'!BO$11)-YEAR('01 Major Assumptions'!$D$6)</f>
        <v>11</v>
      </c>
    </row>
    <row r="58" spans="1:67">
      <c r="A58" s="11"/>
      <c r="B58" s="11" t="s">
        <v>248</v>
      </c>
      <c r="C58" s="11"/>
      <c r="D58" s="33"/>
      <c r="E58" s="10" t="s">
        <v>214</v>
      </c>
      <c r="F58" s="10"/>
      <c r="G58" s="63">
        <f>IFERROR(INDEX($D$27:$D$39,MATCH(YEAR('01 Major Assumptions'!G$11),$B$27:$B$39,0)),$D$39)</f>
        <v>64.760000000000005</v>
      </c>
      <c r="H58" s="63">
        <f>IFERROR(INDEX($D$27:$D$39,MATCH(YEAR('01 Major Assumptions'!H$11),$B$27:$B$39,0)),$D$39)</f>
        <v>64.760000000000005</v>
      </c>
      <c r="I58" s="63">
        <f>IFERROR(INDEX($D$27:$D$39,MATCH(YEAR('01 Major Assumptions'!I$11),$B$27:$B$39,0)),$D$39)</f>
        <v>64.760000000000005</v>
      </c>
      <c r="J58" s="63">
        <f>IFERROR(INDEX($D$27:$D$39,MATCH(YEAR('01 Major Assumptions'!J$11),$B$27:$B$39,0)),$D$39)</f>
        <v>64.760000000000005</v>
      </c>
      <c r="K58" s="63">
        <f>IFERROR(INDEX($D$27:$D$39,MATCH(YEAR('01 Major Assumptions'!K$11),$B$27:$B$39,0)),$D$39)</f>
        <v>64.760000000000005</v>
      </c>
      <c r="L58" s="63">
        <f>IFERROR(INDEX($D$27:$D$39,MATCH(YEAR('01 Major Assumptions'!L$11),$B$27:$B$39,0)),$D$39)</f>
        <v>64.760000000000005</v>
      </c>
      <c r="M58" s="63">
        <f>IFERROR(INDEX($D$27:$D$39,MATCH(YEAR('01 Major Assumptions'!M$11),$B$27:$B$39,0)),$D$39)</f>
        <v>64.760000000000005</v>
      </c>
      <c r="N58" s="63">
        <f>IFERROR(INDEX($D$27:$D$39,MATCH(YEAR('01 Major Assumptions'!N$11),$B$27:$B$39,0)),$D$39)</f>
        <v>64.760000000000005</v>
      </c>
      <c r="O58" s="63">
        <f>IFERROR(INDEX($D$27:$D$39,MATCH(YEAR('01 Major Assumptions'!O$11),$B$27:$B$39,0)),$D$39)</f>
        <v>64.760000000000005</v>
      </c>
      <c r="P58" s="63">
        <f>IFERROR(INDEX($D$27:$D$39,MATCH(YEAR('01 Major Assumptions'!P$11),$B$27:$B$39,0)),$D$39)</f>
        <v>64.760000000000005</v>
      </c>
      <c r="Q58" s="63">
        <f>IFERROR(INDEX($D$27:$D$39,MATCH(YEAR('01 Major Assumptions'!Q$11),$B$27:$B$39,0)),$D$39)</f>
        <v>64.760000000000005</v>
      </c>
      <c r="R58" s="63">
        <f>IFERROR(INDEX($D$27:$D$39,MATCH(YEAR('01 Major Assumptions'!R$11),$B$27:$B$39,0)),$D$39)</f>
        <v>64.760000000000005</v>
      </c>
      <c r="S58" s="63">
        <f>IFERROR(INDEX($D$27:$D$39,MATCH(YEAR('01 Major Assumptions'!S$11),$B$27:$B$39,0)),$D$39)</f>
        <v>66.055200000000013</v>
      </c>
      <c r="T58" s="63">
        <f>IFERROR(INDEX($D$27:$D$39,MATCH(YEAR('01 Major Assumptions'!T$11),$B$27:$B$39,0)),$D$39)</f>
        <v>66.055200000000013</v>
      </c>
      <c r="U58" s="63">
        <f>IFERROR(INDEX($D$27:$D$39,MATCH(YEAR('01 Major Assumptions'!U$11),$B$27:$B$39,0)),$D$39)</f>
        <v>66.055200000000013</v>
      </c>
      <c r="V58" s="63">
        <f>IFERROR(INDEX($D$27:$D$39,MATCH(YEAR('01 Major Assumptions'!V$11),$B$27:$B$39,0)),$D$39)</f>
        <v>66.055200000000013</v>
      </c>
      <c r="W58" s="63">
        <f>IFERROR(INDEX($D$27:$D$39,MATCH(YEAR('01 Major Assumptions'!W$11),$B$27:$B$39,0)),$D$39)</f>
        <v>66.055200000000013</v>
      </c>
      <c r="X58" s="63">
        <f>IFERROR(INDEX($D$27:$D$39,MATCH(YEAR('01 Major Assumptions'!X$11),$B$27:$B$39,0)),$D$39)</f>
        <v>66.055200000000013</v>
      </c>
      <c r="Y58" s="63">
        <f>IFERROR(INDEX($D$27:$D$39,MATCH(YEAR('01 Major Assumptions'!Y$11),$B$27:$B$39,0)),$D$39)</f>
        <v>66.055200000000013</v>
      </c>
      <c r="Z58" s="63">
        <f>IFERROR(INDEX($D$27:$D$39,MATCH(YEAR('01 Major Assumptions'!Z$11),$B$27:$B$39,0)),$D$39)</f>
        <v>66.055200000000013</v>
      </c>
      <c r="AA58" s="63">
        <f>IFERROR(INDEX($D$27:$D$39,MATCH(YEAR('01 Major Assumptions'!AA$11),$B$27:$B$39,0)),$D$39)</f>
        <v>66.055200000000013</v>
      </c>
      <c r="AB58" s="63">
        <f>IFERROR(INDEX($D$27:$D$39,MATCH(YEAR('01 Major Assumptions'!AB$11),$B$27:$B$39,0)),$D$39)</f>
        <v>66.055200000000013</v>
      </c>
      <c r="AC58" s="63">
        <f>IFERROR(INDEX($D$27:$D$39,MATCH(YEAR('01 Major Assumptions'!AC$11),$B$27:$B$39,0)),$D$39)</f>
        <v>66.055200000000013</v>
      </c>
      <c r="AD58" s="63">
        <f>IFERROR(INDEX($D$27:$D$39,MATCH(YEAR('01 Major Assumptions'!AD$11),$B$27:$B$39,0)),$D$39)</f>
        <v>66.055200000000013</v>
      </c>
      <c r="AE58" s="63">
        <f>IFERROR(INDEX($D$27:$D$39,MATCH(YEAR('01 Major Assumptions'!AE$11),$B$27:$B$39,0)),$D$39)</f>
        <v>67.376304000000019</v>
      </c>
      <c r="AF58" s="63">
        <f>IFERROR(INDEX($D$27:$D$39,MATCH(YEAR('01 Major Assumptions'!AF$11),$B$27:$B$39,0)),$D$39)</f>
        <v>67.376304000000019</v>
      </c>
      <c r="AG58" s="63">
        <f>IFERROR(INDEX($D$27:$D$39,MATCH(YEAR('01 Major Assumptions'!AG$11),$B$27:$B$39,0)),$D$39)</f>
        <v>67.376304000000019</v>
      </c>
      <c r="AH58" s="63">
        <f>IFERROR(INDEX($D$27:$D$39,MATCH(YEAR('01 Major Assumptions'!AH$11),$B$27:$B$39,0)),$D$39)</f>
        <v>67.376304000000019</v>
      </c>
      <c r="AI58" s="63">
        <f>IFERROR(INDEX($D$27:$D$39,MATCH(YEAR('01 Major Assumptions'!AI$11),$B$27:$B$39,0)),$D$39)</f>
        <v>67.376304000000019</v>
      </c>
      <c r="AJ58" s="63">
        <f>IFERROR(INDEX($D$27:$D$39,MATCH(YEAR('01 Major Assumptions'!AJ$11),$B$27:$B$39,0)),$D$39)</f>
        <v>67.376304000000019</v>
      </c>
      <c r="AK58" s="63">
        <f>IFERROR(INDEX($D$27:$D$39,MATCH(YEAR('01 Major Assumptions'!AK$11),$B$27:$B$39,0)),$D$39)</f>
        <v>67.376304000000019</v>
      </c>
      <c r="AL58" s="63">
        <f>IFERROR(INDEX($D$27:$D$39,MATCH(YEAR('01 Major Assumptions'!AL$11),$B$27:$B$39,0)),$D$39)</f>
        <v>67.376304000000019</v>
      </c>
      <c r="AM58" s="63">
        <f>IFERROR(INDEX($D$27:$D$39,MATCH(YEAR('01 Major Assumptions'!AM$11),$B$27:$B$39,0)),$D$39)</f>
        <v>67.376304000000019</v>
      </c>
      <c r="AN58" s="63">
        <f>IFERROR(INDEX($D$27:$D$39,MATCH(YEAR('01 Major Assumptions'!AN$11),$B$27:$B$39,0)),$D$39)</f>
        <v>67.376304000000019</v>
      </c>
      <c r="AO58" s="63">
        <f>IFERROR(INDEX($D$27:$D$39,MATCH(YEAR('01 Major Assumptions'!AO$11),$B$27:$B$39,0)),$D$39)</f>
        <v>67.376304000000019</v>
      </c>
      <c r="AP58" s="63">
        <f>IFERROR(INDEX($D$27:$D$39,MATCH(YEAR('01 Major Assumptions'!AP$11),$B$27:$B$39,0)),$D$39)</f>
        <v>67.376304000000019</v>
      </c>
      <c r="AQ58" s="63">
        <f>IFERROR(INDEX($D$27:$D$39,MATCH(YEAR('01 Major Assumptions'!AQ$11),$B$27:$B$39,0)),$D$39)</f>
        <v>68.723830080000027</v>
      </c>
      <c r="AR58" s="63">
        <f>IFERROR(INDEX($D$27:$D$39,MATCH(YEAR('01 Major Assumptions'!AR$11),$B$27:$B$39,0)),$D$39)</f>
        <v>68.723830080000027</v>
      </c>
      <c r="AS58" s="63">
        <f>IFERROR(INDEX($D$27:$D$39,MATCH(YEAR('01 Major Assumptions'!AS$11),$B$27:$B$39,0)),$D$39)</f>
        <v>68.723830080000027</v>
      </c>
      <c r="AT58" s="63">
        <f>IFERROR(INDEX($D$27:$D$39,MATCH(YEAR('01 Major Assumptions'!AT$11),$B$27:$B$39,0)),$D$39)</f>
        <v>68.723830080000027</v>
      </c>
      <c r="AU58" s="63">
        <f>IFERROR(INDEX($D$27:$D$39,MATCH(YEAR('01 Major Assumptions'!AU$11),$B$27:$B$39,0)),$D$39)</f>
        <v>68.723830080000027</v>
      </c>
      <c r="AV58" s="63">
        <f>IFERROR(INDEX($D$27:$D$39,MATCH(YEAR('01 Major Assumptions'!AV$11),$B$27:$B$39,0)),$D$39)</f>
        <v>68.723830080000027</v>
      </c>
      <c r="AW58" s="63">
        <f>IFERROR(INDEX($D$27:$D$39,MATCH(YEAR('01 Major Assumptions'!AW$11),$B$27:$B$39,0)),$D$39)</f>
        <v>68.723830080000027</v>
      </c>
      <c r="AX58" s="63">
        <f>IFERROR(INDEX($D$27:$D$39,MATCH(YEAR('01 Major Assumptions'!AX$11),$B$27:$B$39,0)),$D$39)</f>
        <v>68.723830080000027</v>
      </c>
      <c r="AY58" s="63">
        <f>IFERROR(INDEX($D$27:$D$39,MATCH(YEAR('01 Major Assumptions'!AY$11),$B$27:$B$39,0)),$D$39)</f>
        <v>68.723830080000027</v>
      </c>
      <c r="AZ58" s="63">
        <f>IFERROR(INDEX($D$27:$D$39,MATCH(YEAR('01 Major Assumptions'!AZ$11),$B$27:$B$39,0)),$D$39)</f>
        <v>68.723830080000027</v>
      </c>
      <c r="BA58" s="63">
        <f>IFERROR(INDEX($D$27:$D$39,MATCH(YEAR('01 Major Assumptions'!BA$11),$B$27:$B$39,0)),$D$39)</f>
        <v>68.723830080000027</v>
      </c>
      <c r="BB58" s="63">
        <f>IFERROR(INDEX($D$27:$D$39,MATCH(YEAR('01 Major Assumptions'!BB$11),$B$27:$B$39,0)),$D$39)</f>
        <v>68.723830080000027</v>
      </c>
      <c r="BC58" s="63">
        <f>IFERROR(INDEX($D$27:$D$39,MATCH(YEAR('01 Major Assumptions'!BC$11),$B$27:$B$39,0)),$D$39)</f>
        <v>70.098306681600036</v>
      </c>
      <c r="BD58" s="63">
        <f>IFERROR(INDEX($D$27:$D$39,MATCH(YEAR('01 Major Assumptions'!BD$11),$B$27:$B$39,0)),$D$39)</f>
        <v>70.098306681600036</v>
      </c>
      <c r="BE58" s="63">
        <f>IFERROR(INDEX($D$27:$D$39,MATCH(YEAR('01 Major Assumptions'!BE$11),$B$27:$B$39,0)),$D$39)</f>
        <v>70.098306681600036</v>
      </c>
      <c r="BF58" s="63">
        <f>IFERROR(INDEX($D$27:$D$39,MATCH(YEAR('01 Major Assumptions'!BF$11),$B$27:$B$39,0)),$D$39)</f>
        <v>70.098306681600036</v>
      </c>
      <c r="BG58" s="63">
        <f>IFERROR(INDEX($D$27:$D$39,MATCH(YEAR('01 Major Assumptions'!BG$11),$B$27:$B$39,0)),$D$39)</f>
        <v>70.098306681600036</v>
      </c>
      <c r="BH58" s="63">
        <f>IFERROR(INDEX($D$27:$D$39,MATCH(YEAR('01 Major Assumptions'!BH$11),$B$27:$B$39,0)),$D$39)</f>
        <v>70.098306681600036</v>
      </c>
      <c r="BI58" s="63">
        <f>IFERROR(INDEX($D$27:$D$39,MATCH(YEAR('01 Major Assumptions'!BI$11),$B$27:$B$39,0)),$D$39)</f>
        <v>71.500272815232037</v>
      </c>
      <c r="BJ58" s="63">
        <f>IFERROR(INDEX($D$27:$D$39,MATCH(YEAR('01 Major Assumptions'!BJ$11),$B$27:$B$39,0)),$D$39)</f>
        <v>72.930278271536679</v>
      </c>
      <c r="BK58" s="63">
        <f>IFERROR(INDEX($D$27:$D$39,MATCH(YEAR('01 Major Assumptions'!BK$11),$B$27:$B$39,0)),$D$39)</f>
        <v>74.388883836967409</v>
      </c>
      <c r="BL58" s="63">
        <f>IFERROR(INDEX($D$27:$D$39,MATCH(YEAR('01 Major Assumptions'!BL$11),$B$27:$B$39,0)),$D$39)</f>
        <v>75.876661513706765</v>
      </c>
      <c r="BM58" s="63">
        <f>IFERROR(INDEX($D$27:$D$39,MATCH(YEAR('01 Major Assumptions'!BM$11),$B$27:$B$39,0)),$D$39)</f>
        <v>77.394194743980904</v>
      </c>
      <c r="BN58" s="63">
        <f>IFERROR(INDEX($D$27:$D$39,MATCH(YEAR('01 Major Assumptions'!BN$11),$B$27:$B$39,0)),$D$39)</f>
        <v>78.942078638860522</v>
      </c>
      <c r="BO58" s="63">
        <f>IFERROR(INDEX($D$27:$D$39,MATCH(YEAR('01 Major Assumptions'!BO$11),$B$27:$B$39,0)),$D$39)</f>
        <v>78.942078638860522</v>
      </c>
    </row>
    <row r="59" spans="1:67">
      <c r="A59" s="11"/>
      <c r="B59" s="11" t="s">
        <v>54</v>
      </c>
      <c r="C59" s="11"/>
      <c r="D59" s="33"/>
      <c r="E59" s="10" t="s">
        <v>51</v>
      </c>
      <c r="F59" s="10"/>
      <c r="G59" s="66">
        <f>'01 Major Assumptions'!G$22</f>
        <v>32.5</v>
      </c>
      <c r="H59" s="66">
        <f>'01 Major Assumptions'!H$22</f>
        <v>32.5</v>
      </c>
      <c r="I59" s="66">
        <f>'01 Major Assumptions'!I$22</f>
        <v>32.5</v>
      </c>
      <c r="J59" s="66">
        <f>'01 Major Assumptions'!J$22</f>
        <v>32.5</v>
      </c>
      <c r="K59" s="66">
        <f>'01 Major Assumptions'!K$22</f>
        <v>32.5</v>
      </c>
      <c r="L59" s="66">
        <f>'01 Major Assumptions'!L$22</f>
        <v>32.5</v>
      </c>
      <c r="M59" s="66">
        <f>'01 Major Assumptions'!M$22</f>
        <v>32.5</v>
      </c>
      <c r="N59" s="66">
        <f>'01 Major Assumptions'!N$22</f>
        <v>32.5</v>
      </c>
      <c r="O59" s="66">
        <f>'01 Major Assumptions'!O$22</f>
        <v>32.5</v>
      </c>
      <c r="P59" s="66">
        <f>'01 Major Assumptions'!P$22</f>
        <v>32.5</v>
      </c>
      <c r="Q59" s="66">
        <f>'01 Major Assumptions'!Q$22</f>
        <v>32.5</v>
      </c>
      <c r="R59" s="66">
        <f>'01 Major Assumptions'!R$22</f>
        <v>32.5</v>
      </c>
      <c r="S59" s="66">
        <f>'01 Major Assumptions'!S$22</f>
        <v>32.5</v>
      </c>
      <c r="T59" s="66">
        <f>'01 Major Assumptions'!T$22</f>
        <v>32.5</v>
      </c>
      <c r="U59" s="66">
        <f>'01 Major Assumptions'!U$22</f>
        <v>32.5</v>
      </c>
      <c r="V59" s="66">
        <f>'01 Major Assumptions'!V$22</f>
        <v>32.5</v>
      </c>
      <c r="W59" s="66">
        <f>'01 Major Assumptions'!W$22</f>
        <v>32.5</v>
      </c>
      <c r="X59" s="66">
        <f>'01 Major Assumptions'!X$22</f>
        <v>32.5</v>
      </c>
      <c r="Y59" s="66">
        <f>'01 Major Assumptions'!Y$22</f>
        <v>32.5</v>
      </c>
      <c r="Z59" s="66">
        <f>'01 Major Assumptions'!Z$22</f>
        <v>32.5</v>
      </c>
      <c r="AA59" s="66">
        <f>'01 Major Assumptions'!AA$22</f>
        <v>32.5</v>
      </c>
      <c r="AB59" s="66">
        <f>'01 Major Assumptions'!AB$22</f>
        <v>32.5</v>
      </c>
      <c r="AC59" s="66">
        <f>'01 Major Assumptions'!AC$22</f>
        <v>32.5</v>
      </c>
      <c r="AD59" s="66">
        <f>'01 Major Assumptions'!AD$22</f>
        <v>32.5</v>
      </c>
      <c r="AE59" s="66">
        <f>'01 Major Assumptions'!AE$22</f>
        <v>32.5</v>
      </c>
      <c r="AF59" s="66">
        <f>'01 Major Assumptions'!AF$22</f>
        <v>32.5</v>
      </c>
      <c r="AG59" s="66">
        <f>'01 Major Assumptions'!AG$22</f>
        <v>32.5</v>
      </c>
      <c r="AH59" s="66">
        <f>'01 Major Assumptions'!AH$22</f>
        <v>32.5</v>
      </c>
      <c r="AI59" s="66">
        <f>'01 Major Assumptions'!AI$22</f>
        <v>32.5</v>
      </c>
      <c r="AJ59" s="66">
        <f>'01 Major Assumptions'!AJ$22</f>
        <v>32.5</v>
      </c>
      <c r="AK59" s="66">
        <f>'01 Major Assumptions'!AK$22</f>
        <v>32.5</v>
      </c>
      <c r="AL59" s="66">
        <f>'01 Major Assumptions'!AL$22</f>
        <v>32.5</v>
      </c>
      <c r="AM59" s="66">
        <f>'01 Major Assumptions'!AM$22</f>
        <v>32.5</v>
      </c>
      <c r="AN59" s="66">
        <f>'01 Major Assumptions'!AN$22</f>
        <v>32.5</v>
      </c>
      <c r="AO59" s="66">
        <f>'01 Major Assumptions'!AO$22</f>
        <v>32.5</v>
      </c>
      <c r="AP59" s="66">
        <f>'01 Major Assumptions'!AP$22</f>
        <v>32.5</v>
      </c>
      <c r="AQ59" s="66">
        <f>'01 Major Assumptions'!AQ$22</f>
        <v>32.5</v>
      </c>
      <c r="AR59" s="66">
        <f>'01 Major Assumptions'!AR$22</f>
        <v>32.5</v>
      </c>
      <c r="AS59" s="66">
        <f>'01 Major Assumptions'!AS$22</f>
        <v>32.5</v>
      </c>
      <c r="AT59" s="66">
        <f>'01 Major Assumptions'!AT$22</f>
        <v>32.5</v>
      </c>
      <c r="AU59" s="66">
        <f>'01 Major Assumptions'!AU$22</f>
        <v>32.5</v>
      </c>
      <c r="AV59" s="66">
        <f>'01 Major Assumptions'!AV$22</f>
        <v>32.5</v>
      </c>
      <c r="AW59" s="66">
        <f>'01 Major Assumptions'!AW$22</f>
        <v>32.5</v>
      </c>
      <c r="AX59" s="66">
        <f>'01 Major Assumptions'!AX$22</f>
        <v>32.5</v>
      </c>
      <c r="AY59" s="66">
        <f>'01 Major Assumptions'!AY$22</f>
        <v>32.5</v>
      </c>
      <c r="AZ59" s="66">
        <f>'01 Major Assumptions'!AZ$22</f>
        <v>32.5</v>
      </c>
      <c r="BA59" s="66">
        <f>'01 Major Assumptions'!BA$22</f>
        <v>32.5</v>
      </c>
      <c r="BB59" s="66">
        <f>'01 Major Assumptions'!BB$22</f>
        <v>32.5</v>
      </c>
      <c r="BC59" s="66">
        <f>'01 Major Assumptions'!BC$22</f>
        <v>32.5</v>
      </c>
      <c r="BD59" s="66">
        <f>'01 Major Assumptions'!BD$22</f>
        <v>32.5</v>
      </c>
      <c r="BE59" s="66">
        <f>'01 Major Assumptions'!BE$22</f>
        <v>32.5</v>
      </c>
      <c r="BF59" s="66">
        <f>'01 Major Assumptions'!BF$22</f>
        <v>32.5</v>
      </c>
      <c r="BG59" s="66">
        <f>'01 Major Assumptions'!BG$22</f>
        <v>32.5</v>
      </c>
      <c r="BH59" s="66">
        <f>'01 Major Assumptions'!BH$22</f>
        <v>32.5</v>
      </c>
      <c r="BI59" s="66">
        <f>'01 Major Assumptions'!BI$22</f>
        <v>32.5</v>
      </c>
      <c r="BJ59" s="66">
        <f>'01 Major Assumptions'!BJ$22</f>
        <v>32.5</v>
      </c>
      <c r="BK59" s="66">
        <f>'01 Major Assumptions'!BK$22</f>
        <v>32.5</v>
      </c>
      <c r="BL59" s="66">
        <f>'01 Major Assumptions'!BL$22</f>
        <v>32.5</v>
      </c>
      <c r="BM59" s="66">
        <f>'01 Major Assumptions'!BM$22</f>
        <v>32.5</v>
      </c>
      <c r="BN59" s="66">
        <f>'01 Major Assumptions'!BN$22</f>
        <v>32.5</v>
      </c>
      <c r="BO59" s="66">
        <f>'01 Major Assumptions'!BO$22</f>
        <v>32.5</v>
      </c>
    </row>
    <row r="60" spans="1:67">
      <c r="A60" s="11"/>
      <c r="B60" s="11" t="s">
        <v>249</v>
      </c>
      <c r="C60" s="11"/>
      <c r="D60" s="33"/>
      <c r="E60" s="10" t="s">
        <v>70</v>
      </c>
      <c r="F60" s="10"/>
      <c r="G60" s="90">
        <f>G58*$D$44*G59</f>
        <v>14082.028636424462</v>
      </c>
      <c r="H60" s="90">
        <f t="shared" ref="H60:BI60" si="1">H58*$D$44*H59</f>
        <v>14082.028636424462</v>
      </c>
      <c r="I60" s="90">
        <f t="shared" si="1"/>
        <v>14082.028636424462</v>
      </c>
      <c r="J60" s="90">
        <f t="shared" si="1"/>
        <v>14082.028636424462</v>
      </c>
      <c r="K60" s="90">
        <f t="shared" si="1"/>
        <v>14082.028636424462</v>
      </c>
      <c r="L60" s="90">
        <f t="shared" si="1"/>
        <v>14082.028636424462</v>
      </c>
      <c r="M60" s="90">
        <f t="shared" si="1"/>
        <v>14082.028636424462</v>
      </c>
      <c r="N60" s="90">
        <f t="shared" si="1"/>
        <v>14082.028636424462</v>
      </c>
      <c r="O60" s="90">
        <f t="shared" si="1"/>
        <v>14082.028636424462</v>
      </c>
      <c r="P60" s="90">
        <f t="shared" si="1"/>
        <v>14082.028636424462</v>
      </c>
      <c r="Q60" s="90">
        <f t="shared" si="1"/>
        <v>14082.028636424462</v>
      </c>
      <c r="R60" s="90">
        <f t="shared" si="1"/>
        <v>14082.028636424462</v>
      </c>
      <c r="S60" s="90">
        <f t="shared" si="1"/>
        <v>14363.669209152955</v>
      </c>
      <c r="T60" s="90">
        <f t="shared" si="1"/>
        <v>14363.669209152955</v>
      </c>
      <c r="U60" s="90">
        <f t="shared" si="1"/>
        <v>14363.669209152955</v>
      </c>
      <c r="V60" s="90">
        <f t="shared" si="1"/>
        <v>14363.669209152955</v>
      </c>
      <c r="W60" s="90">
        <f t="shared" si="1"/>
        <v>14363.669209152955</v>
      </c>
      <c r="X60" s="90">
        <f t="shared" si="1"/>
        <v>14363.669209152955</v>
      </c>
      <c r="Y60" s="90">
        <f t="shared" si="1"/>
        <v>14363.669209152955</v>
      </c>
      <c r="Z60" s="90">
        <f t="shared" si="1"/>
        <v>14363.669209152955</v>
      </c>
      <c r="AA60" s="90">
        <f t="shared" si="1"/>
        <v>14363.669209152955</v>
      </c>
      <c r="AB60" s="90">
        <f t="shared" si="1"/>
        <v>14363.669209152955</v>
      </c>
      <c r="AC60" s="90">
        <f t="shared" si="1"/>
        <v>14363.669209152955</v>
      </c>
      <c r="AD60" s="90">
        <f t="shared" si="1"/>
        <v>14363.669209152955</v>
      </c>
      <c r="AE60" s="90">
        <f t="shared" si="1"/>
        <v>14650.942593336014</v>
      </c>
      <c r="AF60" s="90">
        <f t="shared" si="1"/>
        <v>14650.942593336014</v>
      </c>
      <c r="AG60" s="90">
        <f t="shared" si="1"/>
        <v>14650.942593336014</v>
      </c>
      <c r="AH60" s="90">
        <f t="shared" si="1"/>
        <v>14650.942593336014</v>
      </c>
      <c r="AI60" s="90">
        <f t="shared" si="1"/>
        <v>14650.942593336014</v>
      </c>
      <c r="AJ60" s="90">
        <f t="shared" si="1"/>
        <v>14650.942593336014</v>
      </c>
      <c r="AK60" s="90">
        <f t="shared" si="1"/>
        <v>14650.942593336014</v>
      </c>
      <c r="AL60" s="90">
        <f t="shared" si="1"/>
        <v>14650.942593336014</v>
      </c>
      <c r="AM60" s="90">
        <f t="shared" si="1"/>
        <v>14650.942593336014</v>
      </c>
      <c r="AN60" s="90">
        <f t="shared" si="1"/>
        <v>14650.942593336014</v>
      </c>
      <c r="AO60" s="90">
        <f t="shared" si="1"/>
        <v>14650.942593336014</v>
      </c>
      <c r="AP60" s="90">
        <f t="shared" si="1"/>
        <v>14650.942593336014</v>
      </c>
      <c r="AQ60" s="90">
        <f t="shared" si="1"/>
        <v>14943.961445202738</v>
      </c>
      <c r="AR60" s="90">
        <f t="shared" si="1"/>
        <v>14943.961445202738</v>
      </c>
      <c r="AS60" s="90">
        <f t="shared" si="1"/>
        <v>14943.961445202738</v>
      </c>
      <c r="AT60" s="90">
        <f t="shared" si="1"/>
        <v>14943.961445202738</v>
      </c>
      <c r="AU60" s="90">
        <f t="shared" si="1"/>
        <v>14943.961445202738</v>
      </c>
      <c r="AV60" s="90">
        <f t="shared" si="1"/>
        <v>14943.961445202738</v>
      </c>
      <c r="AW60" s="90">
        <f t="shared" si="1"/>
        <v>14943.961445202738</v>
      </c>
      <c r="AX60" s="90">
        <f t="shared" si="1"/>
        <v>14943.961445202738</v>
      </c>
      <c r="AY60" s="90">
        <f t="shared" si="1"/>
        <v>14943.961445202738</v>
      </c>
      <c r="AZ60" s="90">
        <f t="shared" si="1"/>
        <v>14943.961445202738</v>
      </c>
      <c r="BA60" s="90">
        <f t="shared" si="1"/>
        <v>14943.961445202738</v>
      </c>
      <c r="BB60" s="90">
        <f t="shared" si="1"/>
        <v>14943.961445202738</v>
      </c>
      <c r="BC60" s="90">
        <f t="shared" si="1"/>
        <v>15242.840674106794</v>
      </c>
      <c r="BD60" s="90">
        <f t="shared" si="1"/>
        <v>15242.840674106794</v>
      </c>
      <c r="BE60" s="90">
        <f t="shared" si="1"/>
        <v>15242.840674106794</v>
      </c>
      <c r="BF60" s="90">
        <f t="shared" si="1"/>
        <v>15242.840674106794</v>
      </c>
      <c r="BG60" s="90">
        <f t="shared" si="1"/>
        <v>15242.840674106794</v>
      </c>
      <c r="BH60" s="90">
        <f t="shared" si="1"/>
        <v>15242.840674106794</v>
      </c>
      <c r="BI60" s="90">
        <f t="shared" si="1"/>
        <v>15547.697487588928</v>
      </c>
      <c r="BJ60" s="90">
        <f t="shared" ref="BJ60" si="2">BJ58*$D$44*BJ59</f>
        <v>15858.651437340708</v>
      </c>
      <c r="BK60" s="90">
        <f t="shared" ref="BK60" si="3">BK58*$D$44*BK59</f>
        <v>16175.824466087521</v>
      </c>
      <c r="BL60" s="90">
        <f t="shared" ref="BL60" si="4">BL58*$D$44*BL59</f>
        <v>16499.340955409272</v>
      </c>
      <c r="BM60" s="90">
        <f t="shared" ref="BM60" si="5">BM58*$D$44*BM59</f>
        <v>16829.32777451746</v>
      </c>
      <c r="BN60" s="90">
        <f t="shared" ref="BN60" si="6">BN58*$D$44*BN59</f>
        <v>17165.91433000781</v>
      </c>
      <c r="BO60" s="90">
        <f t="shared" ref="BO60" si="7">BO58*$D$44*BO59</f>
        <v>17165.91433000781</v>
      </c>
    </row>
    <row r="61" spans="1:67">
      <c r="A61" s="11"/>
      <c r="B61" s="11" t="s">
        <v>250</v>
      </c>
      <c r="C61" s="11"/>
      <c r="D61" s="33"/>
      <c r="E61" s="10" t="s">
        <v>7</v>
      </c>
      <c r="F61" s="10"/>
      <c r="G61" s="6">
        <f>$D$49</f>
        <v>1.0667392917179268</v>
      </c>
      <c r="H61" s="6">
        <f t="shared" ref="H61:BO61" si="8">$D$49</f>
        <v>1.0667392917179268</v>
      </c>
      <c r="I61" s="6">
        <f t="shared" si="8"/>
        <v>1.0667392917179268</v>
      </c>
      <c r="J61" s="6">
        <f t="shared" si="8"/>
        <v>1.0667392917179268</v>
      </c>
      <c r="K61" s="6">
        <f t="shared" si="8"/>
        <v>1.0667392917179268</v>
      </c>
      <c r="L61" s="6">
        <f t="shared" si="8"/>
        <v>1.0667392917179268</v>
      </c>
      <c r="M61" s="6">
        <f t="shared" si="8"/>
        <v>1.0667392917179268</v>
      </c>
      <c r="N61" s="6">
        <f t="shared" si="8"/>
        <v>1.0667392917179268</v>
      </c>
      <c r="O61" s="6">
        <f t="shared" si="8"/>
        <v>1.0667392917179268</v>
      </c>
      <c r="P61" s="6">
        <f t="shared" si="8"/>
        <v>1.0667392917179268</v>
      </c>
      <c r="Q61" s="6">
        <f t="shared" si="8"/>
        <v>1.0667392917179268</v>
      </c>
      <c r="R61" s="6">
        <f t="shared" si="8"/>
        <v>1.0667392917179268</v>
      </c>
      <c r="S61" s="6">
        <f t="shared" si="8"/>
        <v>1.0667392917179268</v>
      </c>
      <c r="T61" s="6">
        <f t="shared" si="8"/>
        <v>1.0667392917179268</v>
      </c>
      <c r="U61" s="6">
        <f t="shared" si="8"/>
        <v>1.0667392917179268</v>
      </c>
      <c r="V61" s="6">
        <f t="shared" si="8"/>
        <v>1.0667392917179268</v>
      </c>
      <c r="W61" s="6">
        <f t="shared" si="8"/>
        <v>1.0667392917179268</v>
      </c>
      <c r="X61" s="6">
        <f t="shared" si="8"/>
        <v>1.0667392917179268</v>
      </c>
      <c r="Y61" s="6">
        <f t="shared" si="8"/>
        <v>1.0667392917179268</v>
      </c>
      <c r="Z61" s="6">
        <f t="shared" si="8"/>
        <v>1.0667392917179268</v>
      </c>
      <c r="AA61" s="6">
        <f t="shared" si="8"/>
        <v>1.0667392917179268</v>
      </c>
      <c r="AB61" s="6">
        <f t="shared" si="8"/>
        <v>1.0667392917179268</v>
      </c>
      <c r="AC61" s="6">
        <f t="shared" si="8"/>
        <v>1.0667392917179268</v>
      </c>
      <c r="AD61" s="6">
        <f t="shared" si="8"/>
        <v>1.0667392917179268</v>
      </c>
      <c r="AE61" s="6">
        <f t="shared" si="8"/>
        <v>1.0667392917179268</v>
      </c>
      <c r="AF61" s="6">
        <f t="shared" si="8"/>
        <v>1.0667392917179268</v>
      </c>
      <c r="AG61" s="6">
        <f t="shared" si="8"/>
        <v>1.0667392917179268</v>
      </c>
      <c r="AH61" s="6">
        <f t="shared" si="8"/>
        <v>1.0667392917179268</v>
      </c>
      <c r="AI61" s="6">
        <f t="shared" si="8"/>
        <v>1.0667392917179268</v>
      </c>
      <c r="AJ61" s="6">
        <f t="shared" si="8"/>
        <v>1.0667392917179268</v>
      </c>
      <c r="AK61" s="6">
        <f t="shared" si="8"/>
        <v>1.0667392917179268</v>
      </c>
      <c r="AL61" s="6">
        <f t="shared" si="8"/>
        <v>1.0667392917179268</v>
      </c>
      <c r="AM61" s="6">
        <f t="shared" si="8"/>
        <v>1.0667392917179268</v>
      </c>
      <c r="AN61" s="6">
        <f t="shared" si="8"/>
        <v>1.0667392917179268</v>
      </c>
      <c r="AO61" s="6">
        <f t="shared" si="8"/>
        <v>1.0667392917179268</v>
      </c>
      <c r="AP61" s="6">
        <f t="shared" si="8"/>
        <v>1.0667392917179268</v>
      </c>
      <c r="AQ61" s="6">
        <f t="shared" si="8"/>
        <v>1.0667392917179268</v>
      </c>
      <c r="AR61" s="6">
        <f t="shared" si="8"/>
        <v>1.0667392917179268</v>
      </c>
      <c r="AS61" s="6">
        <f t="shared" si="8"/>
        <v>1.0667392917179268</v>
      </c>
      <c r="AT61" s="6">
        <f t="shared" si="8"/>
        <v>1.0667392917179268</v>
      </c>
      <c r="AU61" s="6">
        <f t="shared" si="8"/>
        <v>1.0667392917179268</v>
      </c>
      <c r="AV61" s="6">
        <f t="shared" si="8"/>
        <v>1.0667392917179268</v>
      </c>
      <c r="AW61" s="6">
        <f t="shared" si="8"/>
        <v>1.0667392917179268</v>
      </c>
      <c r="AX61" s="6">
        <f t="shared" si="8"/>
        <v>1.0667392917179268</v>
      </c>
      <c r="AY61" s="6">
        <f t="shared" si="8"/>
        <v>1.0667392917179268</v>
      </c>
      <c r="AZ61" s="6">
        <f t="shared" si="8"/>
        <v>1.0667392917179268</v>
      </c>
      <c r="BA61" s="6">
        <f t="shared" si="8"/>
        <v>1.0667392917179268</v>
      </c>
      <c r="BB61" s="6">
        <f t="shared" si="8"/>
        <v>1.0667392917179268</v>
      </c>
      <c r="BC61" s="6">
        <f t="shared" si="8"/>
        <v>1.0667392917179268</v>
      </c>
      <c r="BD61" s="6">
        <f t="shared" si="8"/>
        <v>1.0667392917179268</v>
      </c>
      <c r="BE61" s="6">
        <f t="shared" si="8"/>
        <v>1.0667392917179268</v>
      </c>
      <c r="BF61" s="6">
        <f t="shared" si="8"/>
        <v>1.0667392917179268</v>
      </c>
      <c r="BG61" s="6">
        <f t="shared" si="8"/>
        <v>1.0667392917179268</v>
      </c>
      <c r="BH61" s="6">
        <f t="shared" si="8"/>
        <v>1.0667392917179268</v>
      </c>
      <c r="BI61" s="6">
        <f t="shared" si="8"/>
        <v>1.0667392917179268</v>
      </c>
      <c r="BJ61" s="6">
        <f t="shared" si="8"/>
        <v>1.0667392917179268</v>
      </c>
      <c r="BK61" s="6">
        <f t="shared" si="8"/>
        <v>1.0667392917179268</v>
      </c>
      <c r="BL61" s="6">
        <f t="shared" si="8"/>
        <v>1.0667392917179268</v>
      </c>
      <c r="BM61" s="6">
        <f t="shared" si="8"/>
        <v>1.0667392917179268</v>
      </c>
      <c r="BN61" s="6">
        <f t="shared" si="8"/>
        <v>1.0667392917179268</v>
      </c>
      <c r="BO61" s="6">
        <f t="shared" si="8"/>
        <v>1.0667392917179268</v>
      </c>
    </row>
    <row r="62" spans="1:67">
      <c r="A62" s="11"/>
      <c r="B62" s="11" t="s">
        <v>251</v>
      </c>
      <c r="C62" s="11"/>
      <c r="D62" s="33"/>
      <c r="E62" s="10" t="s">
        <v>70</v>
      </c>
      <c r="F62" s="10"/>
      <c r="G62" s="90">
        <f>G60*G61*'08 Certification &amp; Premium'!G$48</f>
        <v>15021.853253570993</v>
      </c>
      <c r="H62" s="90">
        <f>H60*H61*'08 Certification &amp; Premium'!H$48</f>
        <v>15021.853253570993</v>
      </c>
      <c r="I62" s="90">
        <f>I60*I61*'08 Certification &amp; Premium'!I$48</f>
        <v>15021.853253570993</v>
      </c>
      <c r="J62" s="90">
        <f>J60*J61*'08 Certification &amp; Premium'!J$48</f>
        <v>15021.853253570993</v>
      </c>
      <c r="K62" s="90">
        <f>K60*K61*'08 Certification &amp; Premium'!K$48</f>
        <v>15021.853253570993</v>
      </c>
      <c r="L62" s="90">
        <f>L60*L61*'08 Certification &amp; Premium'!L$48</f>
        <v>15021.853253570993</v>
      </c>
      <c r="M62" s="90">
        <f>M60*M61*'08 Certification &amp; Premium'!M$48</f>
        <v>15021.853253570993</v>
      </c>
      <c r="N62" s="90">
        <f>N60*N61*'08 Certification &amp; Premium'!N$48</f>
        <v>15021.853253570993</v>
      </c>
      <c r="O62" s="90">
        <f>O60*O61*'08 Certification &amp; Premium'!O$48</f>
        <v>15021.853253570993</v>
      </c>
      <c r="P62" s="90">
        <f>P60*P61*'08 Certification &amp; Premium'!P$48</f>
        <v>15021.853253570993</v>
      </c>
      <c r="Q62" s="90">
        <f>Q60*Q61*'08 Certification &amp; Premium'!Q$48</f>
        <v>15021.853253570993</v>
      </c>
      <c r="R62" s="90">
        <f>R60*R61*'08 Certification &amp; Premium'!R$48</f>
        <v>15021.853253570993</v>
      </c>
      <c r="S62" s="90">
        <f>S60*S61*'08 Certification &amp; Premium'!S$48</f>
        <v>15322.290318642417</v>
      </c>
      <c r="T62" s="90">
        <f>T60*T61*'08 Certification &amp; Premium'!T$48</f>
        <v>15322.290318642417</v>
      </c>
      <c r="U62" s="90">
        <f>U60*U61*'08 Certification &amp; Premium'!U$48</f>
        <v>15322.290318642417</v>
      </c>
      <c r="V62" s="90">
        <f>V60*V61*'08 Certification &amp; Premium'!V$48</f>
        <v>15322.290318642417</v>
      </c>
      <c r="W62" s="90">
        <f>W60*W61*'08 Certification &amp; Premium'!W$48</f>
        <v>15322.290318642417</v>
      </c>
      <c r="X62" s="90">
        <f>X60*X61*'08 Certification &amp; Premium'!X$48</f>
        <v>15322.290318642417</v>
      </c>
      <c r="Y62" s="90">
        <f>Y60*Y61*'08 Certification &amp; Premium'!Y$48</f>
        <v>15322.290318642417</v>
      </c>
      <c r="Z62" s="90">
        <f>Z60*Z61*'08 Certification &amp; Premium'!Z$48</f>
        <v>16548.073544133811</v>
      </c>
      <c r="AA62" s="90">
        <f>AA60*AA61*'08 Certification &amp; Premium'!AA$48</f>
        <v>16548.073544133811</v>
      </c>
      <c r="AB62" s="90">
        <f>AB60*AB61*'08 Certification &amp; Premium'!AB$48</f>
        <v>16548.073544133811</v>
      </c>
      <c r="AC62" s="90">
        <f>AC60*AC61*'08 Certification &amp; Premium'!AC$48</f>
        <v>16548.073544133811</v>
      </c>
      <c r="AD62" s="90">
        <f>AD60*AD61*'08 Certification &amp; Premium'!AD$48</f>
        <v>16548.073544133811</v>
      </c>
      <c r="AE62" s="90">
        <f>AE60*AE61*'08 Certification &amp; Premium'!AE$48</f>
        <v>16879.035015016489</v>
      </c>
      <c r="AF62" s="90">
        <f>AF60*AF61*'08 Certification &amp; Premium'!AF$48</f>
        <v>16879.035015016489</v>
      </c>
      <c r="AG62" s="90">
        <f>AG60*AG61*'08 Certification &amp; Premium'!AG$48</f>
        <v>16879.035015016489</v>
      </c>
      <c r="AH62" s="90">
        <f>AH60*AH61*'08 Certification &amp; Premium'!AH$48</f>
        <v>16879.035015016489</v>
      </c>
      <c r="AI62" s="90">
        <f>AI60*AI61*'08 Certification &amp; Premium'!AI$48</f>
        <v>16879.035015016489</v>
      </c>
      <c r="AJ62" s="90">
        <f>AJ60*AJ61*'08 Certification &amp; Premium'!AJ$48</f>
        <v>16879.035015016489</v>
      </c>
      <c r="AK62" s="90">
        <f>AK60*AK61*'08 Certification &amp; Premium'!AK$48</f>
        <v>16879.035015016489</v>
      </c>
      <c r="AL62" s="90">
        <f>AL60*AL61*'08 Certification &amp; Premium'!AL$48</f>
        <v>16879.035015016489</v>
      </c>
      <c r="AM62" s="90">
        <f>AM60*AM61*'08 Certification &amp; Premium'!AM$48</f>
        <v>16879.035015016489</v>
      </c>
      <c r="AN62" s="90">
        <f>AN60*AN61*'08 Certification &amp; Premium'!AN$48</f>
        <v>16879.035015016489</v>
      </c>
      <c r="AO62" s="90">
        <f>AO60*AO61*'08 Certification &amp; Premium'!AO$48</f>
        <v>16879.035015016489</v>
      </c>
      <c r="AP62" s="90">
        <f>AP60*AP61*'08 Certification &amp; Premium'!AP$48</f>
        <v>16879.035015016489</v>
      </c>
      <c r="AQ62" s="90">
        <f>AQ60*AQ61*'08 Certification &amp; Premium'!AQ$48</f>
        <v>17216.615715316821</v>
      </c>
      <c r="AR62" s="90">
        <f>AR60*AR61*'08 Certification &amp; Premium'!AR$48</f>
        <v>17216.615715316821</v>
      </c>
      <c r="AS62" s="90">
        <f>AS60*AS61*'08 Certification &amp; Premium'!AS$48</f>
        <v>17216.615715316821</v>
      </c>
      <c r="AT62" s="90">
        <f>AT60*AT61*'08 Certification &amp; Premium'!AT$48</f>
        <v>17216.615715316821</v>
      </c>
      <c r="AU62" s="90">
        <f>AU60*AU61*'08 Certification &amp; Premium'!AU$48</f>
        <v>17216.615715316821</v>
      </c>
      <c r="AV62" s="90">
        <f>AV60*AV61*'08 Certification &amp; Premium'!AV$48</f>
        <v>17216.615715316821</v>
      </c>
      <c r="AW62" s="90">
        <f>AW60*AW61*'08 Certification &amp; Premium'!AW$48</f>
        <v>17216.615715316821</v>
      </c>
      <c r="AX62" s="90">
        <f>AX60*AX61*'08 Certification &amp; Premium'!AX$48</f>
        <v>17216.615715316821</v>
      </c>
      <c r="AY62" s="90">
        <f>AY60*AY61*'08 Certification &amp; Premium'!AY$48</f>
        <v>17216.615715316821</v>
      </c>
      <c r="AZ62" s="90">
        <f>AZ60*AZ61*'08 Certification &amp; Premium'!AZ$48</f>
        <v>17216.615715316821</v>
      </c>
      <c r="BA62" s="90">
        <f>BA60*BA61*'08 Certification &amp; Premium'!BA$48</f>
        <v>17216.615715316821</v>
      </c>
      <c r="BB62" s="90">
        <f>BB60*BB61*'08 Certification &amp; Premium'!BB$48</f>
        <v>17216.615715316821</v>
      </c>
      <c r="BC62" s="90">
        <f>BC60*BC61*'08 Certification &amp; Premium'!BC$48</f>
        <v>17560.94802962316</v>
      </c>
      <c r="BD62" s="90">
        <f>BD60*BD61*'08 Certification &amp; Premium'!BD$48</f>
        <v>17560.94802962316</v>
      </c>
      <c r="BE62" s="90">
        <f>BE60*BE61*'08 Certification &amp; Premium'!BE$48</f>
        <v>17560.94802962316</v>
      </c>
      <c r="BF62" s="90">
        <f>BF60*BF61*'08 Certification &amp; Premium'!BF$48</f>
        <v>17560.94802962316</v>
      </c>
      <c r="BG62" s="90">
        <f>BG60*BG61*'08 Certification &amp; Premium'!BG$48</f>
        <v>17560.94802962316</v>
      </c>
      <c r="BH62" s="90">
        <f>BH60*BH61*'08 Certification &amp; Premium'!BH$48</f>
        <v>17560.94802962316</v>
      </c>
      <c r="BI62" s="90">
        <f>BI60*BI61*'08 Certification &amp; Premium'!BI$48</f>
        <v>17912.166990215621</v>
      </c>
      <c r="BJ62" s="90">
        <f>BJ60*BJ61*'08 Certification &amp; Premium'!BJ$48</f>
        <v>18270.410330019935</v>
      </c>
      <c r="BK62" s="90">
        <f>BK60*BK61*'08 Certification &amp; Premium'!BK$48</f>
        <v>18635.818536620332</v>
      </c>
      <c r="BL62" s="90">
        <f>BL60*BL61*'08 Certification &amp; Premium'!BL$48</f>
        <v>19008.53490735274</v>
      </c>
      <c r="BM62" s="90">
        <f>BM60*BM61*'08 Certification &amp; Premium'!BM$48</f>
        <v>19388.705605499796</v>
      </c>
      <c r="BN62" s="90">
        <f>BN60*BN61*'08 Certification &amp; Premium'!BN$48</f>
        <v>19776.479717609793</v>
      </c>
      <c r="BO62" s="90">
        <f>BO60*BO61*'08 Certification &amp; Premium'!BO$48</f>
        <v>19776.479717609793</v>
      </c>
    </row>
    <row r="63" spans="1:67">
      <c r="A63" s="11"/>
      <c r="B63" s="11" t="s">
        <v>1744</v>
      </c>
      <c r="C63" s="1" t="s">
        <v>255</v>
      </c>
      <c r="D63" s="92">
        <v>20000</v>
      </c>
      <c r="E63" s="10" t="s">
        <v>70</v>
      </c>
      <c r="F63" s="10"/>
      <c r="G63" s="90">
        <f>$D$63*(1+'01 Major Assumptions'!$D$23)^G$57*'08 Certification &amp; Premium'!G$46</f>
        <v>20000</v>
      </c>
      <c r="H63" s="90">
        <f>$D$63*(1+'01 Major Assumptions'!$D$23)^H$57*'08 Certification &amp; Premium'!H$46</f>
        <v>20000</v>
      </c>
      <c r="I63" s="90">
        <f>$D$63*(1+'01 Major Assumptions'!$D$23)^I$57*'08 Certification &amp; Premium'!I$46</f>
        <v>20000</v>
      </c>
      <c r="J63" s="90">
        <f>$D$63*(1+'01 Major Assumptions'!$D$23)^J$57*'08 Certification &amp; Premium'!J$46</f>
        <v>20000</v>
      </c>
      <c r="K63" s="90">
        <f>$D$63*(1+'01 Major Assumptions'!$D$23)^K$57*'08 Certification &amp; Premium'!K$46</f>
        <v>20000</v>
      </c>
      <c r="L63" s="90">
        <f>$D$63*(1+'01 Major Assumptions'!$D$23)^L$57*'08 Certification &amp; Premium'!L$46</f>
        <v>20000</v>
      </c>
      <c r="M63" s="90">
        <f>$D$63*(1+'01 Major Assumptions'!$D$23)^M$57*'08 Certification &amp; Premium'!M$46</f>
        <v>20000</v>
      </c>
      <c r="N63" s="90">
        <f>$D$63*(1+'01 Major Assumptions'!$D$23)^N$57*'08 Certification &amp; Premium'!N$46</f>
        <v>20000</v>
      </c>
      <c r="O63" s="90">
        <f>$D$63*(1+'01 Major Assumptions'!$D$23)^O$57*'08 Certification &amp; Premium'!O$46</f>
        <v>20000</v>
      </c>
      <c r="P63" s="90">
        <f>$D$63*(1+'01 Major Assumptions'!$D$23)^P$57*'08 Certification &amp; Premium'!P$46</f>
        <v>20000</v>
      </c>
      <c r="Q63" s="90">
        <f>$D$63*(1+'01 Major Assumptions'!$D$23)^Q$57*'08 Certification &amp; Premium'!Q$46</f>
        <v>20000</v>
      </c>
      <c r="R63" s="90">
        <f>$D$63*(1+'01 Major Assumptions'!$D$23)^R$57*'08 Certification &amp; Premium'!R$46</f>
        <v>20000</v>
      </c>
      <c r="S63" s="90">
        <f>$D$63*(1+'01 Major Assumptions'!$D$23)^S$57*'08 Certification &amp; Premium'!S$46</f>
        <v>20460</v>
      </c>
      <c r="T63" s="90">
        <f>$D$63*(1+'01 Major Assumptions'!$D$23)^T$57*'08 Certification &amp; Premium'!T$46</f>
        <v>20460</v>
      </c>
      <c r="U63" s="90">
        <f>$D$63*(1+'01 Major Assumptions'!$D$23)^U$57*'08 Certification &amp; Premium'!U$46</f>
        <v>20460</v>
      </c>
      <c r="V63" s="90">
        <f>$D$63*(1+'01 Major Assumptions'!$D$23)^V$57*'08 Certification &amp; Premium'!V$46</f>
        <v>20460</v>
      </c>
      <c r="W63" s="90">
        <f>$D$63*(1+'01 Major Assumptions'!$D$23)^W$57*'08 Certification &amp; Premium'!W$46</f>
        <v>20460</v>
      </c>
      <c r="X63" s="90">
        <f>$D$63*(1+'01 Major Assumptions'!$D$23)^X$57*'08 Certification &amp; Premium'!X$46</f>
        <v>20460</v>
      </c>
      <c r="Y63" s="90">
        <f>$D$63*(1+'01 Major Assumptions'!$D$23)^Y$57*'08 Certification &amp; Premium'!Y$46</f>
        <v>20460</v>
      </c>
      <c r="Z63" s="90">
        <f>$D$63*(1+'01 Major Assumptions'!$D$23)^Z$57*'08 Certification &amp; Premium'!Z$46</f>
        <v>22506</v>
      </c>
      <c r="AA63" s="90">
        <f>$D$63*(1+'01 Major Assumptions'!$D$23)^AA$57*'08 Certification &amp; Premium'!AA$46</f>
        <v>22506</v>
      </c>
      <c r="AB63" s="90">
        <f>$D$63*(1+'01 Major Assumptions'!$D$23)^AB$57*'08 Certification &amp; Premium'!AB$46</f>
        <v>22506</v>
      </c>
      <c r="AC63" s="90">
        <f>$D$63*(1+'01 Major Assumptions'!$D$23)^AC$57*'08 Certification &amp; Premium'!AC$46</f>
        <v>22506</v>
      </c>
      <c r="AD63" s="90">
        <f>$D$63*(1+'01 Major Assumptions'!$D$23)^AD$57*'08 Certification &amp; Premium'!AD$46</f>
        <v>22506</v>
      </c>
      <c r="AE63" s="90">
        <f>$D$63*(1+'01 Major Assumptions'!$D$23)^AE$57*'08 Certification &amp; Premium'!AE$46</f>
        <v>23023.637999999999</v>
      </c>
      <c r="AF63" s="90">
        <f>$D$63*(1+'01 Major Assumptions'!$D$23)^AF$57*'08 Certification &amp; Premium'!AF$46</f>
        <v>23023.637999999999</v>
      </c>
      <c r="AG63" s="90">
        <f>$D$63*(1+'01 Major Assumptions'!$D$23)^AG$57*'08 Certification &amp; Premium'!AG$46</f>
        <v>23023.637999999999</v>
      </c>
      <c r="AH63" s="90">
        <f>$D$63*(1+'01 Major Assumptions'!$D$23)^AH$57*'08 Certification &amp; Premium'!AH$46</f>
        <v>23023.637999999999</v>
      </c>
      <c r="AI63" s="90">
        <f>$D$63*(1+'01 Major Assumptions'!$D$23)^AI$57*'08 Certification &amp; Premium'!AI$46</f>
        <v>23023.637999999999</v>
      </c>
      <c r="AJ63" s="90">
        <f>$D$63*(1+'01 Major Assumptions'!$D$23)^AJ$57*'08 Certification &amp; Premium'!AJ$46</f>
        <v>23023.637999999999</v>
      </c>
      <c r="AK63" s="90">
        <f>$D$63*(1+'01 Major Assumptions'!$D$23)^AK$57*'08 Certification &amp; Premium'!AK$46</f>
        <v>23023.637999999999</v>
      </c>
      <c r="AL63" s="90">
        <f>$D$63*(1+'01 Major Assumptions'!$D$23)^AL$57*'08 Certification &amp; Premium'!AL$46</f>
        <v>23023.637999999999</v>
      </c>
      <c r="AM63" s="90">
        <f>$D$63*(1+'01 Major Assumptions'!$D$23)^AM$57*'08 Certification &amp; Premium'!AM$46</f>
        <v>23023.637999999999</v>
      </c>
      <c r="AN63" s="90">
        <f>$D$63*(1+'01 Major Assumptions'!$D$23)^AN$57*'08 Certification &amp; Premium'!AN$46</f>
        <v>23023.637999999999</v>
      </c>
      <c r="AO63" s="90">
        <f>$D$63*(1+'01 Major Assumptions'!$D$23)^AO$57*'08 Certification &amp; Premium'!AO$46</f>
        <v>23023.637999999999</v>
      </c>
      <c r="AP63" s="90">
        <f>$D$63*(1+'01 Major Assumptions'!$D$23)^AP$57*'08 Certification &amp; Premium'!AP$46</f>
        <v>23023.637999999999</v>
      </c>
      <c r="AQ63" s="90">
        <f>$D$63*(1+'01 Major Assumptions'!$D$23)^AQ$57*'08 Certification &amp; Premium'!AQ$46</f>
        <v>23553.181673999996</v>
      </c>
      <c r="AR63" s="90">
        <f>$D$63*(1+'01 Major Assumptions'!$D$23)^AR$57*'08 Certification &amp; Premium'!AR$46</f>
        <v>23553.181673999996</v>
      </c>
      <c r="AS63" s="90">
        <f>$D$63*(1+'01 Major Assumptions'!$D$23)^AS$57*'08 Certification &amp; Premium'!AS$46</f>
        <v>23553.181673999996</v>
      </c>
      <c r="AT63" s="90">
        <f>$D$63*(1+'01 Major Assumptions'!$D$23)^AT$57*'08 Certification &amp; Premium'!AT$46</f>
        <v>23553.181673999996</v>
      </c>
      <c r="AU63" s="90">
        <f>$D$63*(1+'01 Major Assumptions'!$D$23)^AU$57*'08 Certification &amp; Premium'!AU$46</f>
        <v>23553.181673999996</v>
      </c>
      <c r="AV63" s="90">
        <f>$D$63*(1+'01 Major Assumptions'!$D$23)^AV$57*'08 Certification &amp; Premium'!AV$46</f>
        <v>23553.181673999996</v>
      </c>
      <c r="AW63" s="90">
        <f>$D$63*(1+'01 Major Assumptions'!$D$23)^AW$57*'08 Certification &amp; Premium'!AW$46</f>
        <v>23553.181673999996</v>
      </c>
      <c r="AX63" s="90">
        <f>$D$63*(1+'01 Major Assumptions'!$D$23)^AX$57*'08 Certification &amp; Premium'!AX$46</f>
        <v>23553.181673999996</v>
      </c>
      <c r="AY63" s="90">
        <f>$D$63*(1+'01 Major Assumptions'!$D$23)^AY$57*'08 Certification &amp; Premium'!AY$46</f>
        <v>23553.181673999996</v>
      </c>
      <c r="AZ63" s="90">
        <f>$D$63*(1+'01 Major Assumptions'!$D$23)^AZ$57*'08 Certification &amp; Premium'!AZ$46</f>
        <v>23553.181673999996</v>
      </c>
      <c r="BA63" s="90">
        <f>$D$63*(1+'01 Major Assumptions'!$D$23)^BA$57*'08 Certification &amp; Premium'!BA$46</f>
        <v>23553.181673999996</v>
      </c>
      <c r="BB63" s="90">
        <f>$D$63*(1+'01 Major Assumptions'!$D$23)^BB$57*'08 Certification &amp; Premium'!BB$46</f>
        <v>23553.181673999996</v>
      </c>
      <c r="BC63" s="90">
        <f>$D$63*(1+'01 Major Assumptions'!$D$23)^BC$57*'08 Certification &amp; Premium'!BC$46</f>
        <v>24094.904852501993</v>
      </c>
      <c r="BD63" s="90">
        <f>$D$63*(1+'01 Major Assumptions'!$D$23)^BD$57*'08 Certification &amp; Premium'!BD$46</f>
        <v>24094.904852501993</v>
      </c>
      <c r="BE63" s="90">
        <f>$D$63*(1+'01 Major Assumptions'!$D$23)^BE$57*'08 Certification &amp; Premium'!BE$46</f>
        <v>24094.904852501993</v>
      </c>
      <c r="BF63" s="90">
        <f>$D$63*(1+'01 Major Assumptions'!$D$23)^BF$57*'08 Certification &amp; Premium'!BF$46</f>
        <v>24094.904852501993</v>
      </c>
      <c r="BG63" s="90">
        <f>$D$63*(1+'01 Major Assumptions'!$D$23)^BG$57*'08 Certification &amp; Premium'!BG$46</f>
        <v>24094.904852501993</v>
      </c>
      <c r="BH63" s="90">
        <f>$D$63*(1+'01 Major Assumptions'!$D$23)^BH$57*'08 Certification &amp; Premium'!BH$46</f>
        <v>24094.904852501993</v>
      </c>
      <c r="BI63" s="90">
        <f>$D$63*(1+'01 Major Assumptions'!$D$23)^BI$57*'08 Certification &amp; Premium'!BI$46</f>
        <v>24649.087664109535</v>
      </c>
      <c r="BJ63" s="90">
        <f>$D$63*(1+'01 Major Assumptions'!$D$23)^BJ$57*'08 Certification &amp; Premium'!BJ$46</f>
        <v>25216.016680384055</v>
      </c>
      <c r="BK63" s="90">
        <f>$D$63*(1+'01 Major Assumptions'!$D$23)^BK$57*'08 Certification &amp; Premium'!BK$46</f>
        <v>25795.985064032884</v>
      </c>
      <c r="BL63" s="90">
        <f>$D$63*(1+'01 Major Assumptions'!$D$23)^BL$57*'08 Certification &amp; Premium'!BL$46</f>
        <v>26389.29272050564</v>
      </c>
      <c r="BM63" s="90">
        <f>$D$63*(1+'01 Major Assumptions'!$D$23)^BM$57*'08 Certification &amp; Premium'!BM$46</f>
        <v>26996.246453077263</v>
      </c>
      <c r="BN63" s="90">
        <f>$D$63*(1+'01 Major Assumptions'!$D$23)^BN$57*'08 Certification &amp; Premium'!BN$46</f>
        <v>27617.16012149804</v>
      </c>
      <c r="BO63" s="90">
        <f>$D$63*(1+'01 Major Assumptions'!$D$23)^BO$57*'08 Certification &amp; Premium'!BO$46</f>
        <v>28252.354804292492</v>
      </c>
    </row>
    <row r="64" spans="1:67">
      <c r="A64" s="11"/>
      <c r="B64" s="11" t="s">
        <v>1745</v>
      </c>
      <c r="C64" s="1" t="s">
        <v>255</v>
      </c>
      <c r="D64" s="92">
        <v>35000</v>
      </c>
      <c r="E64" s="10" t="s">
        <v>70</v>
      </c>
      <c r="F64" s="10"/>
      <c r="G64" s="90">
        <f>$D$64*(1+'01 Major Assumptions'!$D$23)^G$57*'08 Certification &amp; Premium'!G$47</f>
        <v>35000</v>
      </c>
      <c r="H64" s="90">
        <f>$D$64*(1+'01 Major Assumptions'!$D$23)^H$57*'08 Certification &amp; Premium'!H$47</f>
        <v>35000</v>
      </c>
      <c r="I64" s="90">
        <f>$D$64*(1+'01 Major Assumptions'!$D$23)^I$57*'08 Certification &amp; Premium'!I$47</f>
        <v>35000</v>
      </c>
      <c r="J64" s="90">
        <f>$D$64*(1+'01 Major Assumptions'!$D$23)^J$57*'08 Certification &amp; Premium'!J$47</f>
        <v>35000</v>
      </c>
      <c r="K64" s="90">
        <f>$D$64*(1+'01 Major Assumptions'!$D$23)^K$57*'08 Certification &amp; Premium'!K$47</f>
        <v>35000</v>
      </c>
      <c r="L64" s="90">
        <f>$D$64*(1+'01 Major Assumptions'!$D$23)^L$57*'08 Certification &amp; Premium'!L$47</f>
        <v>35000</v>
      </c>
      <c r="M64" s="90">
        <f>$D$64*(1+'01 Major Assumptions'!$D$23)^M$57*'08 Certification &amp; Premium'!M$47</f>
        <v>35000</v>
      </c>
      <c r="N64" s="90">
        <f>$D$64*(1+'01 Major Assumptions'!$D$23)^N$57*'08 Certification &amp; Premium'!N$47</f>
        <v>35000</v>
      </c>
      <c r="O64" s="90">
        <f>$D$64*(1+'01 Major Assumptions'!$D$23)^O$57*'08 Certification &amp; Premium'!O$47</f>
        <v>35000</v>
      </c>
      <c r="P64" s="90">
        <f>$D$64*(1+'01 Major Assumptions'!$D$23)^P$57*'08 Certification &amp; Premium'!P$47</f>
        <v>35000</v>
      </c>
      <c r="Q64" s="90">
        <f>$D$64*(1+'01 Major Assumptions'!$D$23)^Q$57*'08 Certification &amp; Premium'!Q$47</f>
        <v>35000</v>
      </c>
      <c r="R64" s="90">
        <f>$D$64*(1+'01 Major Assumptions'!$D$23)^R$57*'08 Certification &amp; Premium'!R$47</f>
        <v>35000</v>
      </c>
      <c r="S64" s="90">
        <f>$D$64*(1+'01 Major Assumptions'!$D$23)^S$57*'08 Certification &amp; Premium'!S$47</f>
        <v>35805</v>
      </c>
      <c r="T64" s="90">
        <f>$D$64*(1+'01 Major Assumptions'!$D$23)^T$57*'08 Certification &amp; Premium'!T$47</f>
        <v>35805</v>
      </c>
      <c r="U64" s="90">
        <f>$D$64*(1+'01 Major Assumptions'!$D$23)^U$57*'08 Certification &amp; Premium'!U$47</f>
        <v>35805</v>
      </c>
      <c r="V64" s="90">
        <f>$D$64*(1+'01 Major Assumptions'!$D$23)^V$57*'08 Certification &amp; Premium'!V$47</f>
        <v>35805</v>
      </c>
      <c r="W64" s="90">
        <f>$D$64*(1+'01 Major Assumptions'!$D$23)^W$57*'08 Certification &amp; Premium'!W$47</f>
        <v>35805</v>
      </c>
      <c r="X64" s="90">
        <f>$D$64*(1+'01 Major Assumptions'!$D$23)^X$57*'08 Certification &amp; Premium'!X$47</f>
        <v>35805</v>
      </c>
      <c r="Y64" s="90">
        <f>$D$64*(1+'01 Major Assumptions'!$D$23)^Y$57*'08 Certification &amp; Premium'!Y$47</f>
        <v>35805</v>
      </c>
      <c r="Z64" s="90">
        <f>$D$64*(1+'01 Major Assumptions'!$D$23)^Z$57*'08 Certification &amp; Premium'!Z$47</f>
        <v>41175.75</v>
      </c>
      <c r="AA64" s="90">
        <f>$D$64*(1+'01 Major Assumptions'!$D$23)^AA$57*'08 Certification &amp; Premium'!AA$47</f>
        <v>41175.75</v>
      </c>
      <c r="AB64" s="90">
        <f>$D$64*(1+'01 Major Assumptions'!$D$23)^AB$57*'08 Certification &amp; Premium'!AB$47</f>
        <v>41175.75</v>
      </c>
      <c r="AC64" s="90">
        <f>$D$64*(1+'01 Major Assumptions'!$D$23)^AC$57*'08 Certification &amp; Premium'!AC$47</f>
        <v>41175.75</v>
      </c>
      <c r="AD64" s="90">
        <f>$D$64*(1+'01 Major Assumptions'!$D$23)^AD$57*'08 Certification &amp; Premium'!AD$47</f>
        <v>41175.75</v>
      </c>
      <c r="AE64" s="90">
        <f>$D$64*(1+'01 Major Assumptions'!$D$23)^AE$57*'08 Certification &amp; Premium'!AE$47</f>
        <v>42122.792249999991</v>
      </c>
      <c r="AF64" s="90">
        <f>$D$64*(1+'01 Major Assumptions'!$D$23)^AF$57*'08 Certification &amp; Premium'!AF$47</f>
        <v>42122.792249999991</v>
      </c>
      <c r="AG64" s="90">
        <f>$D$64*(1+'01 Major Assumptions'!$D$23)^AG$57*'08 Certification &amp; Premium'!AG$47</f>
        <v>42122.792249999991</v>
      </c>
      <c r="AH64" s="90">
        <f>$D$64*(1+'01 Major Assumptions'!$D$23)^AH$57*'08 Certification &amp; Premium'!AH$47</f>
        <v>42122.792249999991</v>
      </c>
      <c r="AI64" s="90">
        <f>$D$64*(1+'01 Major Assumptions'!$D$23)^AI$57*'08 Certification &amp; Premium'!AI$47</f>
        <v>42122.792249999991</v>
      </c>
      <c r="AJ64" s="90">
        <f>$D$64*(1+'01 Major Assumptions'!$D$23)^AJ$57*'08 Certification &amp; Premium'!AJ$47</f>
        <v>42122.792249999991</v>
      </c>
      <c r="AK64" s="90">
        <f>$D$64*(1+'01 Major Assumptions'!$D$23)^AK$57*'08 Certification &amp; Premium'!AK$47</f>
        <v>42122.792249999991</v>
      </c>
      <c r="AL64" s="90">
        <f>$D$64*(1+'01 Major Assumptions'!$D$23)^AL$57*'08 Certification &amp; Premium'!AL$47</f>
        <v>42122.792249999991</v>
      </c>
      <c r="AM64" s="90">
        <f>$D$64*(1+'01 Major Assumptions'!$D$23)^AM$57*'08 Certification &amp; Premium'!AM$47</f>
        <v>42122.792249999991</v>
      </c>
      <c r="AN64" s="90">
        <f>$D$64*(1+'01 Major Assumptions'!$D$23)^AN$57*'08 Certification &amp; Premium'!AN$47</f>
        <v>42122.792249999991</v>
      </c>
      <c r="AO64" s="90">
        <f>$D$64*(1+'01 Major Assumptions'!$D$23)^AO$57*'08 Certification &amp; Premium'!AO$47</f>
        <v>42122.792249999991</v>
      </c>
      <c r="AP64" s="90">
        <f>$D$64*(1+'01 Major Assumptions'!$D$23)^AP$57*'08 Certification &amp; Premium'!AP$47</f>
        <v>42122.792249999991</v>
      </c>
      <c r="AQ64" s="90">
        <f>$D$64*(1+'01 Major Assumptions'!$D$23)^AQ$57*'08 Certification &amp; Premium'!AQ$47</f>
        <v>43091.616471749985</v>
      </c>
      <c r="AR64" s="90">
        <f>$D$64*(1+'01 Major Assumptions'!$D$23)^AR$57*'08 Certification &amp; Premium'!AR$47</f>
        <v>43091.616471749985</v>
      </c>
      <c r="AS64" s="90">
        <f>$D$64*(1+'01 Major Assumptions'!$D$23)^AS$57*'08 Certification &amp; Premium'!AS$47</f>
        <v>43091.616471749985</v>
      </c>
      <c r="AT64" s="90">
        <f>$D$64*(1+'01 Major Assumptions'!$D$23)^AT$57*'08 Certification &amp; Premium'!AT$47</f>
        <v>43091.616471749985</v>
      </c>
      <c r="AU64" s="90">
        <f>$D$64*(1+'01 Major Assumptions'!$D$23)^AU$57*'08 Certification &amp; Premium'!AU$47</f>
        <v>43091.616471749985</v>
      </c>
      <c r="AV64" s="90">
        <f>$D$64*(1+'01 Major Assumptions'!$D$23)^AV$57*'08 Certification &amp; Premium'!AV$47</f>
        <v>43091.616471749985</v>
      </c>
      <c r="AW64" s="90">
        <f>$D$64*(1+'01 Major Assumptions'!$D$23)^AW$57*'08 Certification &amp; Premium'!AW$47</f>
        <v>43091.616471749985</v>
      </c>
      <c r="AX64" s="90">
        <f>$D$64*(1+'01 Major Assumptions'!$D$23)^AX$57*'08 Certification &amp; Premium'!AX$47</f>
        <v>43091.616471749985</v>
      </c>
      <c r="AY64" s="90">
        <f>$D$64*(1+'01 Major Assumptions'!$D$23)^AY$57*'08 Certification &amp; Premium'!AY$47</f>
        <v>43091.616471749985</v>
      </c>
      <c r="AZ64" s="90">
        <f>$D$64*(1+'01 Major Assumptions'!$D$23)^AZ$57*'08 Certification &amp; Premium'!AZ$47</f>
        <v>43091.616471749985</v>
      </c>
      <c r="BA64" s="90">
        <f>$D$64*(1+'01 Major Assumptions'!$D$23)^BA$57*'08 Certification &amp; Premium'!BA$47</f>
        <v>43091.616471749985</v>
      </c>
      <c r="BB64" s="90">
        <f>$D$64*(1+'01 Major Assumptions'!$D$23)^BB$57*'08 Certification &amp; Premium'!BB$47</f>
        <v>43091.616471749985</v>
      </c>
      <c r="BC64" s="90">
        <f>$D$64*(1+'01 Major Assumptions'!$D$23)^BC$57*'08 Certification &amp; Premium'!BC$47</f>
        <v>44082.72365060023</v>
      </c>
      <c r="BD64" s="90">
        <f>$D$64*(1+'01 Major Assumptions'!$D$23)^BD$57*'08 Certification &amp; Premium'!BD$47</f>
        <v>44082.72365060023</v>
      </c>
      <c r="BE64" s="90">
        <f>$D$64*(1+'01 Major Assumptions'!$D$23)^BE$57*'08 Certification &amp; Premium'!BE$47</f>
        <v>44082.72365060023</v>
      </c>
      <c r="BF64" s="90">
        <f>$D$64*(1+'01 Major Assumptions'!$D$23)^BF$57*'08 Certification &amp; Premium'!BF$47</f>
        <v>44082.72365060023</v>
      </c>
      <c r="BG64" s="90">
        <f>$D$64*(1+'01 Major Assumptions'!$D$23)^BG$57*'08 Certification &amp; Premium'!BG$47</f>
        <v>44082.72365060023</v>
      </c>
      <c r="BH64" s="90">
        <f>$D$64*(1+'01 Major Assumptions'!$D$23)^BH$57*'08 Certification &amp; Premium'!BH$47</f>
        <v>44082.72365060023</v>
      </c>
      <c r="BI64" s="90">
        <f>$D$64*(1+'01 Major Assumptions'!$D$23)^BI$57*'08 Certification &amp; Premium'!BI$47</f>
        <v>45096.626294564034</v>
      </c>
      <c r="BJ64" s="90">
        <f>$D$64*(1+'01 Major Assumptions'!$D$23)^BJ$57*'08 Certification &amp; Premium'!BJ$47</f>
        <v>46133.848699339003</v>
      </c>
      <c r="BK64" s="90">
        <f>$D$64*(1+'01 Major Assumptions'!$D$23)^BK$57*'08 Certification &amp; Premium'!BK$47</f>
        <v>47194.927219423793</v>
      </c>
      <c r="BL64" s="90">
        <f>$D$64*(1+'01 Major Assumptions'!$D$23)^BL$57*'08 Certification &amp; Premium'!BL$47</f>
        <v>48280.410545470535</v>
      </c>
      <c r="BM64" s="90">
        <f>$D$64*(1+'01 Major Assumptions'!$D$23)^BM$57*'08 Certification &amp; Premium'!BM$47</f>
        <v>49390.859988016346</v>
      </c>
      <c r="BN64" s="90">
        <f>$D$64*(1+'01 Major Assumptions'!$D$23)^BN$57*'08 Certification &amp; Premium'!BN$47</f>
        <v>50526.849767740721</v>
      </c>
      <c r="BO64" s="90">
        <f>$D$64*(1+'01 Major Assumptions'!$D$23)^BO$57*'08 Certification &amp; Premium'!BO$47</f>
        <v>51688.96731239876</v>
      </c>
    </row>
    <row r="65" spans="1:67">
      <c r="A65" s="11"/>
      <c r="B65" s="11" t="s">
        <v>1746</v>
      </c>
      <c r="C65" s="1" t="s">
        <v>255</v>
      </c>
      <c r="D65" s="92">
        <v>4500</v>
      </c>
      <c r="E65" s="10" t="s">
        <v>70</v>
      </c>
      <c r="F65" s="10"/>
      <c r="G65" s="90">
        <f>$D$65*(1+'01 Major Assumptions'!$D$23)^G$57</f>
        <v>4500</v>
      </c>
      <c r="H65" s="90">
        <f>$D$65*(1+'01 Major Assumptions'!$D$23)^H$57</f>
        <v>4500</v>
      </c>
      <c r="I65" s="90">
        <f>$D$65*(1+'01 Major Assumptions'!$D$23)^I$57</f>
        <v>4500</v>
      </c>
      <c r="J65" s="90">
        <f>$D$65*(1+'01 Major Assumptions'!$D$23)^J$57</f>
        <v>4500</v>
      </c>
      <c r="K65" s="90">
        <f>$D$65*(1+'01 Major Assumptions'!$D$23)^K$57</f>
        <v>4500</v>
      </c>
      <c r="L65" s="90">
        <f>$D$65*(1+'01 Major Assumptions'!$D$23)^L$57</f>
        <v>4500</v>
      </c>
      <c r="M65" s="90">
        <f>$D$65*(1+'01 Major Assumptions'!$D$23)^M$57</f>
        <v>4500</v>
      </c>
      <c r="N65" s="90">
        <f>$D$65*(1+'01 Major Assumptions'!$D$23)^N$57</f>
        <v>4500</v>
      </c>
      <c r="O65" s="90">
        <f>$D$65*(1+'01 Major Assumptions'!$D$23)^O$57</f>
        <v>4500</v>
      </c>
      <c r="P65" s="90">
        <f>$D$65*(1+'01 Major Assumptions'!$D$23)^P$57</f>
        <v>4500</v>
      </c>
      <c r="Q65" s="90">
        <f>$D$65*(1+'01 Major Assumptions'!$D$23)^Q$57</f>
        <v>4500</v>
      </c>
      <c r="R65" s="90">
        <f>$D$65*(1+'01 Major Assumptions'!$D$23)^R$57</f>
        <v>4500</v>
      </c>
      <c r="S65" s="90">
        <f>$D$65*(1+'01 Major Assumptions'!$D$23)^S$57</f>
        <v>4603.5</v>
      </c>
      <c r="T65" s="90">
        <f>$D$65*(1+'01 Major Assumptions'!$D$23)^T$57</f>
        <v>4603.5</v>
      </c>
      <c r="U65" s="90">
        <f>$D$65*(1+'01 Major Assumptions'!$D$23)^U$57</f>
        <v>4603.5</v>
      </c>
      <c r="V65" s="90">
        <f>$D$65*(1+'01 Major Assumptions'!$D$23)^V$57</f>
        <v>4603.5</v>
      </c>
      <c r="W65" s="90">
        <f>$D$65*(1+'01 Major Assumptions'!$D$23)^W$57</f>
        <v>4603.5</v>
      </c>
      <c r="X65" s="90">
        <f>$D$65*(1+'01 Major Assumptions'!$D$23)^X$57</f>
        <v>4603.5</v>
      </c>
      <c r="Y65" s="90">
        <f>$D$65*(1+'01 Major Assumptions'!$D$23)^Y$57</f>
        <v>4603.5</v>
      </c>
      <c r="Z65" s="90">
        <f>$D$65*(1+'01 Major Assumptions'!$D$23)^Z$57</f>
        <v>4603.5</v>
      </c>
      <c r="AA65" s="90">
        <f>$D$65*(1+'01 Major Assumptions'!$D$23)^AA$57</f>
        <v>4603.5</v>
      </c>
      <c r="AB65" s="90">
        <f>$D$65*(1+'01 Major Assumptions'!$D$23)^AB$57</f>
        <v>4603.5</v>
      </c>
      <c r="AC65" s="90">
        <f>$D$65*(1+'01 Major Assumptions'!$D$23)^AC$57</f>
        <v>4603.5</v>
      </c>
      <c r="AD65" s="90">
        <f>$D$65*(1+'01 Major Assumptions'!$D$23)^AD$57</f>
        <v>4603.5</v>
      </c>
      <c r="AE65" s="90">
        <f>$D$65*(1+'01 Major Assumptions'!$D$23)^AE$57</f>
        <v>4709.3804999999993</v>
      </c>
      <c r="AF65" s="90">
        <f>$D$65*(1+'01 Major Assumptions'!$D$23)^AF$57</f>
        <v>4709.3804999999993</v>
      </c>
      <c r="AG65" s="90">
        <f>$D$65*(1+'01 Major Assumptions'!$D$23)^AG$57</f>
        <v>4709.3804999999993</v>
      </c>
      <c r="AH65" s="90">
        <f>$D$65*(1+'01 Major Assumptions'!$D$23)^AH$57</f>
        <v>4709.3804999999993</v>
      </c>
      <c r="AI65" s="90">
        <f>$D$65*(1+'01 Major Assumptions'!$D$23)^AI$57</f>
        <v>4709.3804999999993</v>
      </c>
      <c r="AJ65" s="90">
        <f>$D$65*(1+'01 Major Assumptions'!$D$23)^AJ$57</f>
        <v>4709.3804999999993</v>
      </c>
      <c r="AK65" s="90">
        <f>$D$65*(1+'01 Major Assumptions'!$D$23)^AK$57</f>
        <v>4709.3804999999993</v>
      </c>
      <c r="AL65" s="90">
        <f>$D$65*(1+'01 Major Assumptions'!$D$23)^AL$57</f>
        <v>4709.3804999999993</v>
      </c>
      <c r="AM65" s="90">
        <f>$D$65*(1+'01 Major Assumptions'!$D$23)^AM$57</f>
        <v>4709.3804999999993</v>
      </c>
      <c r="AN65" s="90">
        <f>$D$65*(1+'01 Major Assumptions'!$D$23)^AN$57</f>
        <v>4709.3804999999993</v>
      </c>
      <c r="AO65" s="90">
        <f>$D$65*(1+'01 Major Assumptions'!$D$23)^AO$57</f>
        <v>4709.3804999999993</v>
      </c>
      <c r="AP65" s="90">
        <f>$D$65*(1+'01 Major Assumptions'!$D$23)^AP$57</f>
        <v>4709.3804999999993</v>
      </c>
      <c r="AQ65" s="90">
        <f>$D$65*(1+'01 Major Assumptions'!$D$23)^AQ$57</f>
        <v>4817.6962514999987</v>
      </c>
      <c r="AR65" s="90">
        <f>$D$65*(1+'01 Major Assumptions'!$D$23)^AR$57</f>
        <v>4817.6962514999987</v>
      </c>
      <c r="AS65" s="90">
        <f>$D$65*(1+'01 Major Assumptions'!$D$23)^AS$57</f>
        <v>4817.6962514999987</v>
      </c>
      <c r="AT65" s="90">
        <f>$D$65*(1+'01 Major Assumptions'!$D$23)^AT$57</f>
        <v>4817.6962514999987</v>
      </c>
      <c r="AU65" s="90">
        <f>$D$65*(1+'01 Major Assumptions'!$D$23)^AU$57</f>
        <v>4817.6962514999987</v>
      </c>
      <c r="AV65" s="90">
        <f>$D$65*(1+'01 Major Assumptions'!$D$23)^AV$57</f>
        <v>4817.6962514999987</v>
      </c>
      <c r="AW65" s="90">
        <f>$D$65*(1+'01 Major Assumptions'!$D$23)^AW$57</f>
        <v>4817.6962514999987</v>
      </c>
      <c r="AX65" s="90">
        <f>$D$65*(1+'01 Major Assumptions'!$D$23)^AX$57</f>
        <v>4817.6962514999987</v>
      </c>
      <c r="AY65" s="90">
        <f>$D$65*(1+'01 Major Assumptions'!$D$23)^AY$57</f>
        <v>4817.6962514999987</v>
      </c>
      <c r="AZ65" s="90">
        <f>$D$65*(1+'01 Major Assumptions'!$D$23)^AZ$57</f>
        <v>4817.6962514999987</v>
      </c>
      <c r="BA65" s="90">
        <f>$D$65*(1+'01 Major Assumptions'!$D$23)^BA$57</f>
        <v>4817.6962514999987</v>
      </c>
      <c r="BB65" s="90">
        <f>$D$65*(1+'01 Major Assumptions'!$D$23)^BB$57</f>
        <v>4817.6962514999987</v>
      </c>
      <c r="BC65" s="90">
        <f>$D$65*(1+'01 Major Assumptions'!$D$23)^BC$57</f>
        <v>4928.5032652844984</v>
      </c>
      <c r="BD65" s="90">
        <f>$D$65*(1+'01 Major Assumptions'!$D$23)^BD$57</f>
        <v>4928.5032652844984</v>
      </c>
      <c r="BE65" s="90">
        <f>$D$65*(1+'01 Major Assumptions'!$D$23)^BE$57</f>
        <v>4928.5032652844984</v>
      </c>
      <c r="BF65" s="90">
        <f>$D$65*(1+'01 Major Assumptions'!$D$23)^BF$57</f>
        <v>4928.5032652844984</v>
      </c>
      <c r="BG65" s="90">
        <f>$D$65*(1+'01 Major Assumptions'!$D$23)^BG$57</f>
        <v>4928.5032652844984</v>
      </c>
      <c r="BH65" s="90">
        <f>$D$65*(1+'01 Major Assumptions'!$D$23)^BH$57</f>
        <v>4928.5032652844984</v>
      </c>
      <c r="BI65" s="90">
        <f>$D$65*(1+'01 Major Assumptions'!$D$23)^BI$57</f>
        <v>5041.8588403860413</v>
      </c>
      <c r="BJ65" s="90">
        <f>$D$65*(1+'01 Major Assumptions'!$D$23)^BJ$57</f>
        <v>5157.8215937149198</v>
      </c>
      <c r="BK65" s="90">
        <f>$D$65*(1+'01 Major Assumptions'!$D$23)^BK$57</f>
        <v>5276.4514903703621</v>
      </c>
      <c r="BL65" s="90">
        <f>$D$65*(1+'01 Major Assumptions'!$D$23)^BL$57</f>
        <v>5397.8098746488804</v>
      </c>
      <c r="BM65" s="90">
        <f>$D$65*(1+'01 Major Assumptions'!$D$23)^BM$57</f>
        <v>5521.9595017658039</v>
      </c>
      <c r="BN65" s="90">
        <f>$D$65*(1+'01 Major Assumptions'!$D$23)^BN$57</f>
        <v>5648.9645703064161</v>
      </c>
      <c r="BO65" s="90">
        <f>$D$65*(1+'01 Major Assumptions'!$D$23)^BO$57</f>
        <v>5778.8907554234638</v>
      </c>
    </row>
    <row r="66" spans="1:67">
      <c r="A66" s="11"/>
      <c r="B66" s="11" t="s">
        <v>1747</v>
      </c>
      <c r="C66" s="1" t="s">
        <v>256</v>
      </c>
      <c r="D66" s="16"/>
      <c r="E66" s="10" t="s">
        <v>70</v>
      </c>
      <c r="F66" s="10"/>
      <c r="G66" s="90">
        <f>-'01 Major Assumptions'!$D$199*(1+'01 Major Assumptions'!$D$23)^G$57</f>
        <v>-2500</v>
      </c>
      <c r="H66" s="90">
        <f>-'01 Major Assumptions'!$D$199*(1+'01 Major Assumptions'!$D$23)^H$57</f>
        <v>-2500</v>
      </c>
      <c r="I66" s="90">
        <f>-'01 Major Assumptions'!$D$199*(1+'01 Major Assumptions'!$D$23)^I$57</f>
        <v>-2500</v>
      </c>
      <c r="J66" s="90">
        <f>-'01 Major Assumptions'!$D$199*(1+'01 Major Assumptions'!$D$23)^J$57</f>
        <v>-2500</v>
      </c>
      <c r="K66" s="90">
        <f>-'01 Major Assumptions'!$D$199*(1+'01 Major Assumptions'!$D$23)^K$57</f>
        <v>-2500</v>
      </c>
      <c r="L66" s="90">
        <f>-'01 Major Assumptions'!$D$199*(1+'01 Major Assumptions'!$D$23)^L$57</f>
        <v>-2500</v>
      </c>
      <c r="M66" s="90">
        <f>-'01 Major Assumptions'!$D$199*(1+'01 Major Assumptions'!$D$23)^M$57</f>
        <v>-2500</v>
      </c>
      <c r="N66" s="90">
        <f>-'01 Major Assumptions'!$D$199*(1+'01 Major Assumptions'!$D$23)^N$57</f>
        <v>-2500</v>
      </c>
      <c r="O66" s="90">
        <f>-'01 Major Assumptions'!$D$199*(1+'01 Major Assumptions'!$D$23)^O$57</f>
        <v>-2500</v>
      </c>
      <c r="P66" s="90">
        <f>-'01 Major Assumptions'!$D$199*(1+'01 Major Assumptions'!$D$23)^P$57</f>
        <v>-2500</v>
      </c>
      <c r="Q66" s="90">
        <f>-'01 Major Assumptions'!$D$199*(1+'01 Major Assumptions'!$D$23)^Q$57</f>
        <v>-2500</v>
      </c>
      <c r="R66" s="90">
        <f>-'01 Major Assumptions'!$D$199*(1+'01 Major Assumptions'!$D$23)^R$57</f>
        <v>-2500</v>
      </c>
      <c r="S66" s="90">
        <f>-'01 Major Assumptions'!$D$199*(1+'01 Major Assumptions'!$D$23)^S$57</f>
        <v>-2557.5</v>
      </c>
      <c r="T66" s="90">
        <f>-'01 Major Assumptions'!$D$199*(1+'01 Major Assumptions'!$D$23)^T$57</f>
        <v>-2557.5</v>
      </c>
      <c r="U66" s="90">
        <f>-'01 Major Assumptions'!$D$199*(1+'01 Major Assumptions'!$D$23)^U$57</f>
        <v>-2557.5</v>
      </c>
      <c r="V66" s="90">
        <f>-'01 Major Assumptions'!$D$199*(1+'01 Major Assumptions'!$D$23)^V$57</f>
        <v>-2557.5</v>
      </c>
      <c r="W66" s="90">
        <f>-'01 Major Assumptions'!$D$199*(1+'01 Major Assumptions'!$D$23)^W$57</f>
        <v>-2557.5</v>
      </c>
      <c r="X66" s="90">
        <f>-'01 Major Assumptions'!$D$199*(1+'01 Major Assumptions'!$D$23)^X$57</f>
        <v>-2557.5</v>
      </c>
      <c r="Y66" s="90">
        <f>-'01 Major Assumptions'!$D$199*(1+'01 Major Assumptions'!$D$23)^Y$57</f>
        <v>-2557.5</v>
      </c>
      <c r="Z66" s="90">
        <f>-'01 Major Assumptions'!$D$199*(1+'01 Major Assumptions'!$D$23)^Z$57</f>
        <v>-2557.5</v>
      </c>
      <c r="AA66" s="90">
        <f>-'01 Major Assumptions'!$D$199*(1+'01 Major Assumptions'!$D$23)^AA$57</f>
        <v>-2557.5</v>
      </c>
      <c r="AB66" s="90">
        <f>-'01 Major Assumptions'!$D$199*(1+'01 Major Assumptions'!$D$23)^AB$57</f>
        <v>-2557.5</v>
      </c>
      <c r="AC66" s="90">
        <f>-'01 Major Assumptions'!$D$199*(1+'01 Major Assumptions'!$D$23)^AC$57</f>
        <v>-2557.5</v>
      </c>
      <c r="AD66" s="90">
        <f>-'01 Major Assumptions'!$D$199*(1+'01 Major Assumptions'!$D$23)^AD$57</f>
        <v>-2557.5</v>
      </c>
      <c r="AE66" s="90">
        <f>-'01 Major Assumptions'!$D$199*(1+'01 Major Assumptions'!$D$23)^AE$57</f>
        <v>-2616.3224999999998</v>
      </c>
      <c r="AF66" s="90">
        <f>-'01 Major Assumptions'!$D$199*(1+'01 Major Assumptions'!$D$23)^AF$57</f>
        <v>-2616.3224999999998</v>
      </c>
      <c r="AG66" s="90">
        <f>-'01 Major Assumptions'!$D$199*(1+'01 Major Assumptions'!$D$23)^AG$57</f>
        <v>-2616.3224999999998</v>
      </c>
      <c r="AH66" s="90">
        <f>-'01 Major Assumptions'!$D$199*(1+'01 Major Assumptions'!$D$23)^AH$57</f>
        <v>-2616.3224999999998</v>
      </c>
      <c r="AI66" s="90">
        <f>-'01 Major Assumptions'!$D$199*(1+'01 Major Assumptions'!$D$23)^AI$57</f>
        <v>-2616.3224999999998</v>
      </c>
      <c r="AJ66" s="90">
        <f>-'01 Major Assumptions'!$D$199*(1+'01 Major Assumptions'!$D$23)^AJ$57</f>
        <v>-2616.3224999999998</v>
      </c>
      <c r="AK66" s="90">
        <f>-'01 Major Assumptions'!$D$199*(1+'01 Major Assumptions'!$D$23)^AK$57</f>
        <v>-2616.3224999999998</v>
      </c>
      <c r="AL66" s="90">
        <f>-'01 Major Assumptions'!$D$199*(1+'01 Major Assumptions'!$D$23)^AL$57</f>
        <v>-2616.3224999999998</v>
      </c>
      <c r="AM66" s="90">
        <f>-'01 Major Assumptions'!$D$199*(1+'01 Major Assumptions'!$D$23)^AM$57</f>
        <v>-2616.3224999999998</v>
      </c>
      <c r="AN66" s="90">
        <f>-'01 Major Assumptions'!$D$199*(1+'01 Major Assumptions'!$D$23)^AN$57</f>
        <v>-2616.3224999999998</v>
      </c>
      <c r="AO66" s="90">
        <f>-'01 Major Assumptions'!$D$199*(1+'01 Major Assumptions'!$D$23)^AO$57</f>
        <v>-2616.3224999999998</v>
      </c>
      <c r="AP66" s="90">
        <f>-'01 Major Assumptions'!$D$199*(1+'01 Major Assumptions'!$D$23)^AP$57</f>
        <v>-2616.3224999999998</v>
      </c>
      <c r="AQ66" s="90">
        <f>-'01 Major Assumptions'!$D$199*(1+'01 Major Assumptions'!$D$23)^AQ$57</f>
        <v>-2676.4979174999994</v>
      </c>
      <c r="AR66" s="90">
        <f>-'01 Major Assumptions'!$D$199*(1+'01 Major Assumptions'!$D$23)^AR$57</f>
        <v>-2676.4979174999994</v>
      </c>
      <c r="AS66" s="90">
        <f>-'01 Major Assumptions'!$D$199*(1+'01 Major Assumptions'!$D$23)^AS$57</f>
        <v>-2676.4979174999994</v>
      </c>
      <c r="AT66" s="90">
        <f>-'01 Major Assumptions'!$D$199*(1+'01 Major Assumptions'!$D$23)^AT$57</f>
        <v>-2676.4979174999994</v>
      </c>
      <c r="AU66" s="90">
        <f>-'01 Major Assumptions'!$D$199*(1+'01 Major Assumptions'!$D$23)^AU$57</f>
        <v>-2676.4979174999994</v>
      </c>
      <c r="AV66" s="90">
        <f>-'01 Major Assumptions'!$D$199*(1+'01 Major Assumptions'!$D$23)^AV$57</f>
        <v>-2676.4979174999994</v>
      </c>
      <c r="AW66" s="90">
        <f>-'01 Major Assumptions'!$D$199*(1+'01 Major Assumptions'!$D$23)^AW$57</f>
        <v>-2676.4979174999994</v>
      </c>
      <c r="AX66" s="90">
        <f>-'01 Major Assumptions'!$D$199*(1+'01 Major Assumptions'!$D$23)^AX$57</f>
        <v>-2676.4979174999994</v>
      </c>
      <c r="AY66" s="90">
        <f>-'01 Major Assumptions'!$D$199*(1+'01 Major Assumptions'!$D$23)^AY$57</f>
        <v>-2676.4979174999994</v>
      </c>
      <c r="AZ66" s="90">
        <f>-'01 Major Assumptions'!$D$199*(1+'01 Major Assumptions'!$D$23)^AZ$57</f>
        <v>-2676.4979174999994</v>
      </c>
      <c r="BA66" s="90">
        <f>-'01 Major Assumptions'!$D$199*(1+'01 Major Assumptions'!$D$23)^BA$57</f>
        <v>-2676.4979174999994</v>
      </c>
      <c r="BB66" s="90">
        <f>-'01 Major Assumptions'!$D$199*(1+'01 Major Assumptions'!$D$23)^BB$57</f>
        <v>-2676.4979174999994</v>
      </c>
      <c r="BC66" s="90">
        <f>-'01 Major Assumptions'!$D$199*(1+'01 Major Assumptions'!$D$23)^BC$57</f>
        <v>-2738.057369602499</v>
      </c>
      <c r="BD66" s="90">
        <f>-'01 Major Assumptions'!$D$199*(1+'01 Major Assumptions'!$D$23)^BD$57</f>
        <v>-2738.057369602499</v>
      </c>
      <c r="BE66" s="90">
        <f>-'01 Major Assumptions'!$D$199*(1+'01 Major Assumptions'!$D$23)^BE$57</f>
        <v>-2738.057369602499</v>
      </c>
      <c r="BF66" s="90">
        <f>-'01 Major Assumptions'!$D$199*(1+'01 Major Assumptions'!$D$23)^BF$57</f>
        <v>-2738.057369602499</v>
      </c>
      <c r="BG66" s="90">
        <f>-'01 Major Assumptions'!$D$199*(1+'01 Major Assumptions'!$D$23)^BG$57</f>
        <v>-2738.057369602499</v>
      </c>
      <c r="BH66" s="90">
        <f>-'01 Major Assumptions'!$D$199*(1+'01 Major Assumptions'!$D$23)^BH$57</f>
        <v>-2738.057369602499</v>
      </c>
      <c r="BI66" s="90">
        <f>-'01 Major Assumptions'!$D$199*(1+'01 Major Assumptions'!$D$23)^BI$57</f>
        <v>-2801.032689103356</v>
      </c>
      <c r="BJ66" s="90">
        <f>-'01 Major Assumptions'!$D$199*(1+'01 Major Assumptions'!$D$23)^BJ$57</f>
        <v>-2865.4564409527334</v>
      </c>
      <c r="BK66" s="90">
        <f>-'01 Major Assumptions'!$D$199*(1+'01 Major Assumptions'!$D$23)^BK$57</f>
        <v>-2931.3619390946455</v>
      </c>
      <c r="BL66" s="90">
        <f>-'01 Major Assumptions'!$D$199*(1+'01 Major Assumptions'!$D$23)^BL$57</f>
        <v>-2998.7832636938224</v>
      </c>
      <c r="BM66" s="90">
        <f>-'01 Major Assumptions'!$D$199*(1+'01 Major Assumptions'!$D$23)^BM$57</f>
        <v>-3067.7552787587797</v>
      </c>
      <c r="BN66" s="90">
        <f>-'01 Major Assumptions'!$D$199*(1+'01 Major Assumptions'!$D$23)^BN$57</f>
        <v>-3138.3136501702315</v>
      </c>
      <c r="BO66" s="90">
        <f>-'01 Major Assumptions'!$D$199*(1+'01 Major Assumptions'!$D$23)^BO$57</f>
        <v>-3210.4948641241467</v>
      </c>
    </row>
    <row r="67" spans="1:67">
      <c r="A67" s="11"/>
      <c r="B67" s="11" t="s">
        <v>254</v>
      </c>
      <c r="C67" s="11"/>
      <c r="D67" s="33"/>
      <c r="E67" s="10" t="s">
        <v>70</v>
      </c>
      <c r="F67" s="10"/>
      <c r="G67" s="90">
        <f>0</f>
        <v>0</v>
      </c>
      <c r="H67" s="90">
        <f>0</f>
        <v>0</v>
      </c>
      <c r="I67" s="90">
        <f>0</f>
        <v>0</v>
      </c>
      <c r="J67" s="90">
        <f>0</f>
        <v>0</v>
      </c>
      <c r="K67" s="90">
        <f>0</f>
        <v>0</v>
      </c>
      <c r="L67" s="90">
        <f>0</f>
        <v>0</v>
      </c>
      <c r="M67" s="90">
        <f>0</f>
        <v>0</v>
      </c>
      <c r="N67" s="90">
        <f>0</f>
        <v>0</v>
      </c>
      <c r="O67" s="90">
        <f>0</f>
        <v>0</v>
      </c>
      <c r="P67" s="90">
        <f>0</f>
        <v>0</v>
      </c>
      <c r="Q67" s="90">
        <f>0</f>
        <v>0</v>
      </c>
      <c r="R67" s="90">
        <f>0</f>
        <v>0</v>
      </c>
      <c r="S67" s="90">
        <f>0</f>
        <v>0</v>
      </c>
      <c r="T67" s="90">
        <f>0</f>
        <v>0</v>
      </c>
      <c r="U67" s="90">
        <f>0</f>
        <v>0</v>
      </c>
      <c r="V67" s="90">
        <f>0</f>
        <v>0</v>
      </c>
      <c r="W67" s="90">
        <f>0</f>
        <v>0</v>
      </c>
      <c r="X67" s="90">
        <f>0</f>
        <v>0</v>
      </c>
      <c r="Y67" s="90">
        <f>0</f>
        <v>0</v>
      </c>
      <c r="Z67" s="90">
        <f>0</f>
        <v>0</v>
      </c>
      <c r="AA67" s="90">
        <f>0</f>
        <v>0</v>
      </c>
      <c r="AB67" s="90">
        <f>0</f>
        <v>0</v>
      </c>
      <c r="AC67" s="90">
        <f>0</f>
        <v>0</v>
      </c>
      <c r="AD67" s="90">
        <f>0</f>
        <v>0</v>
      </c>
      <c r="AE67" s="90">
        <f>0</f>
        <v>0</v>
      </c>
      <c r="AF67" s="90">
        <f>0</f>
        <v>0</v>
      </c>
      <c r="AG67" s="90">
        <f>0</f>
        <v>0</v>
      </c>
      <c r="AH67" s="90">
        <f>0</f>
        <v>0</v>
      </c>
      <c r="AI67" s="90">
        <f>0</f>
        <v>0</v>
      </c>
      <c r="AJ67" s="90">
        <f>0</f>
        <v>0</v>
      </c>
      <c r="AK67" s="90">
        <f>0</f>
        <v>0</v>
      </c>
      <c r="AL67" s="90">
        <f>0</f>
        <v>0</v>
      </c>
      <c r="AM67" s="90">
        <f>0</f>
        <v>0</v>
      </c>
      <c r="AN67" s="90">
        <f>0</f>
        <v>0</v>
      </c>
      <c r="AO67" s="90">
        <f>0</f>
        <v>0</v>
      </c>
      <c r="AP67" s="90">
        <f>0</f>
        <v>0</v>
      </c>
      <c r="AQ67" s="90">
        <f>0</f>
        <v>0</v>
      </c>
      <c r="AR67" s="90">
        <f>0</f>
        <v>0</v>
      </c>
      <c r="AS67" s="90">
        <f>0</f>
        <v>0</v>
      </c>
      <c r="AT67" s="90">
        <f>0</f>
        <v>0</v>
      </c>
      <c r="AU67" s="90">
        <f>0</f>
        <v>0</v>
      </c>
      <c r="AV67" s="90">
        <f>0</f>
        <v>0</v>
      </c>
      <c r="AW67" s="90">
        <f>0</f>
        <v>0</v>
      </c>
      <c r="AX67" s="90">
        <f>0</f>
        <v>0</v>
      </c>
      <c r="AY67" s="90">
        <f>0</f>
        <v>0</v>
      </c>
      <c r="AZ67" s="90">
        <f>0</f>
        <v>0</v>
      </c>
      <c r="BA67" s="90">
        <f>0</f>
        <v>0</v>
      </c>
      <c r="BB67" s="90">
        <f>0</f>
        <v>0</v>
      </c>
      <c r="BC67" s="90">
        <f>0</f>
        <v>0</v>
      </c>
      <c r="BD67" s="90">
        <f>0</f>
        <v>0</v>
      </c>
      <c r="BE67" s="90">
        <f>0</f>
        <v>0</v>
      </c>
      <c r="BF67" s="90">
        <f>0</f>
        <v>0</v>
      </c>
      <c r="BG67" s="90">
        <f>0</f>
        <v>0</v>
      </c>
      <c r="BH67" s="90">
        <f>0</f>
        <v>0</v>
      </c>
      <c r="BI67" s="90">
        <f>0</f>
        <v>0</v>
      </c>
      <c r="BJ67" s="90">
        <f>0</f>
        <v>0</v>
      </c>
      <c r="BK67" s="90">
        <f>0</f>
        <v>0</v>
      </c>
      <c r="BL67" s="90">
        <f>0</f>
        <v>0</v>
      </c>
      <c r="BM67" s="90">
        <f>0</f>
        <v>0</v>
      </c>
      <c r="BN67" s="90">
        <f>0</f>
        <v>0</v>
      </c>
      <c r="BO67" s="90">
        <f>0</f>
        <v>0</v>
      </c>
    </row>
    <row r="68" spans="1:67">
      <c r="A68" s="11"/>
      <c r="B68" s="11"/>
      <c r="C68" s="11"/>
      <c r="D68" s="33"/>
      <c r="E68" s="33"/>
      <c r="F68" s="33"/>
      <c r="G68" s="33"/>
      <c r="H68" s="33"/>
      <c r="I68" s="33"/>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44"/>
      <c r="BK68" s="44"/>
      <c r="BL68" s="44"/>
      <c r="BM68" s="44"/>
      <c r="BN68" s="44"/>
      <c r="BO68" s="44"/>
    </row>
    <row r="69" spans="1:67">
      <c r="A69" s="18" t="s">
        <v>1193</v>
      </c>
      <c r="B69" s="18"/>
      <c r="C69" s="18"/>
      <c r="D69" s="39"/>
      <c r="E69" s="39"/>
      <c r="F69" s="39"/>
      <c r="G69" s="39"/>
      <c r="H69" s="39"/>
      <c r="I69" s="39"/>
      <c r="J69" s="39"/>
      <c r="K69" s="39"/>
      <c r="L69" s="39"/>
      <c r="M69" s="39"/>
      <c r="N69" s="39"/>
      <c r="O69" s="39"/>
      <c r="P69" s="39"/>
      <c r="Q69" s="39"/>
      <c r="R69" s="39"/>
      <c r="S69" s="39"/>
      <c r="T69" s="39"/>
      <c r="U69" s="39"/>
      <c r="V69" s="39"/>
      <c r="W69" s="39"/>
      <c r="X69" s="39"/>
      <c r="Y69" s="39"/>
      <c r="Z69" s="39"/>
      <c r="AA69" s="39"/>
      <c r="AB69" s="39"/>
      <c r="AC69" s="39"/>
      <c r="AD69" s="39"/>
      <c r="AE69" s="39"/>
      <c r="AF69" s="39"/>
      <c r="AG69" s="39"/>
      <c r="AH69" s="39"/>
      <c r="AI69" s="39"/>
      <c r="AJ69" s="39"/>
      <c r="AK69" s="39"/>
      <c r="AL69" s="39"/>
      <c r="AM69" s="39"/>
      <c r="AN69" s="39"/>
      <c r="AO69" s="39"/>
      <c r="AP69" s="39"/>
      <c r="AQ69" s="39"/>
      <c r="AR69" s="39"/>
      <c r="AS69" s="39"/>
      <c r="AT69" s="39"/>
      <c r="AU69" s="39"/>
      <c r="AV69" s="39"/>
      <c r="AW69" s="39"/>
      <c r="AX69" s="39"/>
      <c r="AY69" s="39"/>
      <c r="AZ69" s="39"/>
      <c r="BA69" s="39"/>
      <c r="BB69" s="39"/>
      <c r="BC69" s="39"/>
      <c r="BD69" s="39"/>
      <c r="BE69" s="39"/>
      <c r="BF69" s="39"/>
      <c r="BG69" s="39"/>
      <c r="BH69" s="39"/>
      <c r="BI69" s="39"/>
      <c r="BJ69" s="45"/>
      <c r="BK69" s="45"/>
      <c r="BL69" s="45"/>
      <c r="BM69" s="45"/>
      <c r="BN69" s="45"/>
      <c r="BO69" s="45"/>
    </row>
    <row r="70" spans="1:67">
      <c r="A70" s="11"/>
      <c r="B70" s="11" t="s">
        <v>1194</v>
      </c>
      <c r="C70" s="11"/>
      <c r="D70" s="66">
        <f>$D$28</f>
        <v>81.91</v>
      </c>
      <c r="E70" s="10" t="s">
        <v>214</v>
      </c>
      <c r="F70" s="10"/>
      <c r="G70" s="33"/>
      <c r="H70" s="33"/>
      <c r="I70" s="33"/>
      <c r="J70" s="33"/>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44"/>
      <c r="BK70" s="44"/>
      <c r="BL70" s="44"/>
      <c r="BM70" s="44"/>
      <c r="BN70" s="44"/>
      <c r="BO70" s="44"/>
    </row>
    <row r="71" spans="1:67">
      <c r="A71" s="11"/>
      <c r="B71" s="11" t="s">
        <v>1195</v>
      </c>
      <c r="C71" s="11"/>
      <c r="D71" s="69">
        <v>15.24</v>
      </c>
      <c r="E71" s="10" t="s">
        <v>102</v>
      </c>
      <c r="F71" s="10"/>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3"/>
      <c r="BE71" s="33"/>
      <c r="BF71" s="33"/>
      <c r="BG71" s="33"/>
      <c r="BH71" s="33"/>
      <c r="BI71" s="33"/>
      <c r="BJ71" s="44"/>
      <c r="BK71" s="44"/>
      <c r="BL71" s="44"/>
      <c r="BM71" s="44"/>
      <c r="BN71" s="44"/>
      <c r="BO71" s="44"/>
    </row>
    <row r="72" spans="1:67">
      <c r="A72" s="11"/>
      <c r="B72" s="11" t="s">
        <v>1196</v>
      </c>
      <c r="C72" s="11"/>
      <c r="D72" s="66">
        <f>D70/159*$D$46+D71</f>
        <v>31.98261006289308</v>
      </c>
      <c r="E72" s="10" t="s">
        <v>102</v>
      </c>
      <c r="F72" s="10"/>
      <c r="G72" s="33"/>
      <c r="H72" s="33"/>
      <c r="I72" s="33"/>
      <c r="J72" s="33"/>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3"/>
      <c r="AP72" s="33"/>
      <c r="AQ72" s="33"/>
      <c r="AR72" s="33"/>
      <c r="AS72" s="33"/>
      <c r="AT72" s="33"/>
      <c r="AU72" s="33"/>
      <c r="AV72" s="33"/>
      <c r="AW72" s="33"/>
      <c r="AX72" s="33"/>
      <c r="AY72" s="33"/>
      <c r="AZ72" s="33"/>
      <c r="BA72" s="33"/>
      <c r="BB72" s="33"/>
      <c r="BC72" s="33"/>
      <c r="BD72" s="33"/>
      <c r="BE72" s="33"/>
      <c r="BF72" s="33"/>
      <c r="BG72" s="33"/>
      <c r="BH72" s="33"/>
      <c r="BI72" s="33"/>
      <c r="BJ72" s="44"/>
      <c r="BK72" s="44"/>
      <c r="BL72" s="44"/>
      <c r="BM72" s="44"/>
      <c r="BN72" s="44"/>
      <c r="BO72" s="44"/>
    </row>
    <row r="73" spans="1:67">
      <c r="A73" s="11"/>
      <c r="B73" s="11"/>
      <c r="C73" s="11" t="s">
        <v>1197</v>
      </c>
      <c r="D73" s="33"/>
      <c r="E73" s="43"/>
      <c r="F73" s="43"/>
      <c r="G73" s="63">
        <f>G$58/159*G$59</f>
        <v>13.237106918238995</v>
      </c>
      <c r="H73" s="63">
        <f t="shared" ref="H73:BO73" si="9">H$58/159*H$59</f>
        <v>13.237106918238995</v>
      </c>
      <c r="I73" s="63">
        <f t="shared" si="9"/>
        <v>13.237106918238995</v>
      </c>
      <c r="J73" s="63">
        <f t="shared" si="9"/>
        <v>13.237106918238995</v>
      </c>
      <c r="K73" s="63">
        <f t="shared" si="9"/>
        <v>13.237106918238995</v>
      </c>
      <c r="L73" s="63">
        <f t="shared" si="9"/>
        <v>13.237106918238995</v>
      </c>
      <c r="M73" s="63">
        <f t="shared" si="9"/>
        <v>13.237106918238995</v>
      </c>
      <c r="N73" s="63">
        <f t="shared" si="9"/>
        <v>13.237106918238995</v>
      </c>
      <c r="O73" s="63">
        <f t="shared" si="9"/>
        <v>13.237106918238995</v>
      </c>
      <c r="P73" s="63">
        <f t="shared" si="9"/>
        <v>13.237106918238995</v>
      </c>
      <c r="Q73" s="63">
        <f t="shared" si="9"/>
        <v>13.237106918238995</v>
      </c>
      <c r="R73" s="63">
        <f t="shared" si="9"/>
        <v>13.237106918238995</v>
      </c>
      <c r="S73" s="63">
        <f t="shared" si="9"/>
        <v>13.501849056603776</v>
      </c>
      <c r="T73" s="63">
        <f t="shared" si="9"/>
        <v>13.501849056603776</v>
      </c>
      <c r="U73" s="63">
        <f t="shared" si="9"/>
        <v>13.501849056603776</v>
      </c>
      <c r="V73" s="63">
        <f t="shared" si="9"/>
        <v>13.501849056603776</v>
      </c>
      <c r="W73" s="63">
        <f t="shared" si="9"/>
        <v>13.501849056603776</v>
      </c>
      <c r="X73" s="63">
        <f t="shared" si="9"/>
        <v>13.501849056603776</v>
      </c>
      <c r="Y73" s="63">
        <f t="shared" si="9"/>
        <v>13.501849056603776</v>
      </c>
      <c r="Z73" s="63">
        <f t="shared" si="9"/>
        <v>13.501849056603776</v>
      </c>
      <c r="AA73" s="63">
        <f t="shared" si="9"/>
        <v>13.501849056603776</v>
      </c>
      <c r="AB73" s="63">
        <f t="shared" si="9"/>
        <v>13.501849056603776</v>
      </c>
      <c r="AC73" s="63">
        <f t="shared" si="9"/>
        <v>13.501849056603776</v>
      </c>
      <c r="AD73" s="63">
        <f t="shared" si="9"/>
        <v>13.501849056603776</v>
      </c>
      <c r="AE73" s="63">
        <f t="shared" si="9"/>
        <v>13.771886037735854</v>
      </c>
      <c r="AF73" s="63">
        <f t="shared" si="9"/>
        <v>13.771886037735854</v>
      </c>
      <c r="AG73" s="63">
        <f t="shared" si="9"/>
        <v>13.771886037735854</v>
      </c>
      <c r="AH73" s="63">
        <f t="shared" si="9"/>
        <v>13.771886037735854</v>
      </c>
      <c r="AI73" s="63">
        <f t="shared" si="9"/>
        <v>13.771886037735854</v>
      </c>
      <c r="AJ73" s="63">
        <f t="shared" si="9"/>
        <v>13.771886037735854</v>
      </c>
      <c r="AK73" s="63">
        <f t="shared" si="9"/>
        <v>13.771886037735854</v>
      </c>
      <c r="AL73" s="63">
        <f t="shared" si="9"/>
        <v>13.771886037735854</v>
      </c>
      <c r="AM73" s="63">
        <f t="shared" si="9"/>
        <v>13.771886037735854</v>
      </c>
      <c r="AN73" s="63">
        <f t="shared" si="9"/>
        <v>13.771886037735854</v>
      </c>
      <c r="AO73" s="63">
        <f t="shared" si="9"/>
        <v>13.771886037735854</v>
      </c>
      <c r="AP73" s="63">
        <f t="shared" si="9"/>
        <v>13.771886037735854</v>
      </c>
      <c r="AQ73" s="63">
        <f t="shared" si="9"/>
        <v>14.047323758490572</v>
      </c>
      <c r="AR73" s="63">
        <f t="shared" si="9"/>
        <v>14.047323758490572</v>
      </c>
      <c r="AS73" s="63">
        <f t="shared" si="9"/>
        <v>14.047323758490572</v>
      </c>
      <c r="AT73" s="63">
        <f t="shared" si="9"/>
        <v>14.047323758490572</v>
      </c>
      <c r="AU73" s="63">
        <f t="shared" si="9"/>
        <v>14.047323758490572</v>
      </c>
      <c r="AV73" s="63">
        <f t="shared" si="9"/>
        <v>14.047323758490572</v>
      </c>
      <c r="AW73" s="63">
        <f t="shared" si="9"/>
        <v>14.047323758490572</v>
      </c>
      <c r="AX73" s="63">
        <f t="shared" si="9"/>
        <v>14.047323758490572</v>
      </c>
      <c r="AY73" s="63">
        <f t="shared" si="9"/>
        <v>14.047323758490572</v>
      </c>
      <c r="AZ73" s="63">
        <f t="shared" si="9"/>
        <v>14.047323758490572</v>
      </c>
      <c r="BA73" s="63">
        <f t="shared" si="9"/>
        <v>14.047323758490572</v>
      </c>
      <c r="BB73" s="63">
        <f t="shared" si="9"/>
        <v>14.047323758490572</v>
      </c>
      <c r="BC73" s="63">
        <f t="shared" si="9"/>
        <v>14.328270233660385</v>
      </c>
      <c r="BD73" s="63">
        <f t="shared" si="9"/>
        <v>14.328270233660385</v>
      </c>
      <c r="BE73" s="63">
        <f t="shared" si="9"/>
        <v>14.328270233660385</v>
      </c>
      <c r="BF73" s="63">
        <f t="shared" si="9"/>
        <v>14.328270233660385</v>
      </c>
      <c r="BG73" s="63">
        <f t="shared" si="9"/>
        <v>14.328270233660385</v>
      </c>
      <c r="BH73" s="63">
        <f t="shared" si="9"/>
        <v>14.328270233660385</v>
      </c>
      <c r="BI73" s="63">
        <f t="shared" si="9"/>
        <v>14.614835638333592</v>
      </c>
      <c r="BJ73" s="70">
        <f t="shared" si="9"/>
        <v>14.907132351100264</v>
      </c>
      <c r="BK73" s="70">
        <f t="shared" si="9"/>
        <v>15.205274998122269</v>
      </c>
      <c r="BL73" s="70">
        <f t="shared" si="9"/>
        <v>15.509380498084717</v>
      </c>
      <c r="BM73" s="70">
        <f t="shared" si="9"/>
        <v>15.819568108046411</v>
      </c>
      <c r="BN73" s="70">
        <f t="shared" si="9"/>
        <v>16.135959470207339</v>
      </c>
      <c r="BO73" s="70">
        <f t="shared" si="9"/>
        <v>16.135959470207339</v>
      </c>
    </row>
    <row r="74" spans="1:67">
      <c r="A74" s="11"/>
      <c r="B74" s="11"/>
      <c r="C74" s="11" t="s">
        <v>1198</v>
      </c>
      <c r="D74" s="33"/>
      <c r="E74" s="43"/>
      <c r="F74" s="43"/>
      <c r="G74" s="63">
        <f>G73+$D$71*(1+'01 Major Assumptions'!$D$23)^G$57</f>
        <v>28.477106918238995</v>
      </c>
      <c r="H74" s="63">
        <f>H73+$D$71*(1+'01 Major Assumptions'!$D$23)^H$57</f>
        <v>28.477106918238995</v>
      </c>
      <c r="I74" s="63">
        <f>I73+$D$71*(1+'01 Major Assumptions'!$D$23)^I$57</f>
        <v>28.477106918238995</v>
      </c>
      <c r="J74" s="63">
        <f>J73+$D$71*(1+'01 Major Assumptions'!$D$23)^J$57</f>
        <v>28.477106918238995</v>
      </c>
      <c r="K74" s="63">
        <f>K73+$D$71*(1+'01 Major Assumptions'!$D$23)^K$57</f>
        <v>28.477106918238995</v>
      </c>
      <c r="L74" s="63">
        <f>L73+$D$71*(1+'01 Major Assumptions'!$D$23)^L$57</f>
        <v>28.477106918238995</v>
      </c>
      <c r="M74" s="63">
        <f>M73+$D$71*(1+'01 Major Assumptions'!$D$23)^M$57</f>
        <v>28.477106918238995</v>
      </c>
      <c r="N74" s="63">
        <f>N73+$D$71*(1+'01 Major Assumptions'!$D$23)^N$57</f>
        <v>28.477106918238995</v>
      </c>
      <c r="O74" s="63">
        <f>O73+$D$71*(1+'01 Major Assumptions'!$D$23)^O$57</f>
        <v>28.477106918238995</v>
      </c>
      <c r="P74" s="63">
        <f>P73+$D$71*(1+'01 Major Assumptions'!$D$23)^P$57</f>
        <v>28.477106918238995</v>
      </c>
      <c r="Q74" s="63">
        <f>Q73+$D$71*(1+'01 Major Assumptions'!$D$23)^Q$57</f>
        <v>28.477106918238995</v>
      </c>
      <c r="R74" s="63">
        <f>R73+$D$71*(1+'01 Major Assumptions'!$D$23)^R$57</f>
        <v>28.477106918238995</v>
      </c>
      <c r="S74" s="63">
        <f>S73+$D$71*(1+'01 Major Assumptions'!$D$23)^S$57</f>
        <v>29.092369056603776</v>
      </c>
      <c r="T74" s="63">
        <f>T73+$D$71*(1+'01 Major Assumptions'!$D$23)^T$57</f>
        <v>29.092369056603776</v>
      </c>
      <c r="U74" s="63">
        <f>U73+$D$71*(1+'01 Major Assumptions'!$D$23)^U$57</f>
        <v>29.092369056603776</v>
      </c>
      <c r="V74" s="63">
        <f>V73+$D$71*(1+'01 Major Assumptions'!$D$23)^V$57</f>
        <v>29.092369056603776</v>
      </c>
      <c r="W74" s="63">
        <f>W73+$D$71*(1+'01 Major Assumptions'!$D$23)^W$57</f>
        <v>29.092369056603776</v>
      </c>
      <c r="X74" s="63">
        <f>X73+$D$71*(1+'01 Major Assumptions'!$D$23)^X$57</f>
        <v>29.092369056603776</v>
      </c>
      <c r="Y74" s="63">
        <f>Y73+$D$71*(1+'01 Major Assumptions'!$D$23)^Y$57</f>
        <v>29.092369056603776</v>
      </c>
      <c r="Z74" s="63">
        <f>Z73+$D$71*(1+'01 Major Assumptions'!$D$23)^Z$57</f>
        <v>29.092369056603776</v>
      </c>
      <c r="AA74" s="63">
        <f>AA73+$D$71*(1+'01 Major Assumptions'!$D$23)^AA$57</f>
        <v>29.092369056603776</v>
      </c>
      <c r="AB74" s="63">
        <f>AB73+$D$71*(1+'01 Major Assumptions'!$D$23)^AB$57</f>
        <v>29.092369056603776</v>
      </c>
      <c r="AC74" s="63">
        <f>AC73+$D$71*(1+'01 Major Assumptions'!$D$23)^AC$57</f>
        <v>29.092369056603776</v>
      </c>
      <c r="AD74" s="63">
        <f>AD73+$D$71*(1+'01 Major Assumptions'!$D$23)^AD$57</f>
        <v>29.092369056603776</v>
      </c>
      <c r="AE74" s="63">
        <f>AE73+$D$71*(1+'01 Major Assumptions'!$D$23)^AE$57</f>
        <v>29.720987997735854</v>
      </c>
      <c r="AF74" s="63">
        <f>AF73+$D$71*(1+'01 Major Assumptions'!$D$23)^AF$57</f>
        <v>29.720987997735854</v>
      </c>
      <c r="AG74" s="63">
        <f>AG73+$D$71*(1+'01 Major Assumptions'!$D$23)^AG$57</f>
        <v>29.720987997735854</v>
      </c>
      <c r="AH74" s="63">
        <f>AH73+$D$71*(1+'01 Major Assumptions'!$D$23)^AH$57</f>
        <v>29.720987997735854</v>
      </c>
      <c r="AI74" s="63">
        <f>AI73+$D$71*(1+'01 Major Assumptions'!$D$23)^AI$57</f>
        <v>29.720987997735854</v>
      </c>
      <c r="AJ74" s="63">
        <f>AJ73+$D$71*(1+'01 Major Assumptions'!$D$23)^AJ$57</f>
        <v>29.720987997735854</v>
      </c>
      <c r="AK74" s="63">
        <f>AK73+$D$71*(1+'01 Major Assumptions'!$D$23)^AK$57</f>
        <v>29.720987997735854</v>
      </c>
      <c r="AL74" s="63">
        <f>AL73+$D$71*(1+'01 Major Assumptions'!$D$23)^AL$57</f>
        <v>29.720987997735854</v>
      </c>
      <c r="AM74" s="63">
        <f>AM73+$D$71*(1+'01 Major Assumptions'!$D$23)^AM$57</f>
        <v>29.720987997735854</v>
      </c>
      <c r="AN74" s="63">
        <f>AN73+$D$71*(1+'01 Major Assumptions'!$D$23)^AN$57</f>
        <v>29.720987997735854</v>
      </c>
      <c r="AO74" s="63">
        <f>AO73+$D$71*(1+'01 Major Assumptions'!$D$23)^AO$57</f>
        <v>29.720987997735854</v>
      </c>
      <c r="AP74" s="63">
        <f>AP73+$D$71*(1+'01 Major Assumptions'!$D$23)^AP$57</f>
        <v>29.720987997735854</v>
      </c>
      <c r="AQ74" s="63">
        <f>AQ73+$D$71*(1+'01 Major Assumptions'!$D$23)^AQ$57</f>
        <v>30.36325506357057</v>
      </c>
      <c r="AR74" s="63">
        <f>AR73+$D$71*(1+'01 Major Assumptions'!$D$23)^AR$57</f>
        <v>30.36325506357057</v>
      </c>
      <c r="AS74" s="63">
        <f>AS73+$D$71*(1+'01 Major Assumptions'!$D$23)^AS$57</f>
        <v>30.36325506357057</v>
      </c>
      <c r="AT74" s="63">
        <f>AT73+$D$71*(1+'01 Major Assumptions'!$D$23)^AT$57</f>
        <v>30.36325506357057</v>
      </c>
      <c r="AU74" s="63">
        <f>AU73+$D$71*(1+'01 Major Assumptions'!$D$23)^AU$57</f>
        <v>30.36325506357057</v>
      </c>
      <c r="AV74" s="63">
        <f>AV73+$D$71*(1+'01 Major Assumptions'!$D$23)^AV$57</f>
        <v>30.36325506357057</v>
      </c>
      <c r="AW74" s="63">
        <f>AW73+$D$71*(1+'01 Major Assumptions'!$D$23)^AW$57</f>
        <v>30.36325506357057</v>
      </c>
      <c r="AX74" s="63">
        <f>AX73+$D$71*(1+'01 Major Assumptions'!$D$23)^AX$57</f>
        <v>30.36325506357057</v>
      </c>
      <c r="AY74" s="63">
        <f>AY73+$D$71*(1+'01 Major Assumptions'!$D$23)^AY$57</f>
        <v>30.36325506357057</v>
      </c>
      <c r="AZ74" s="63">
        <f>AZ73+$D$71*(1+'01 Major Assumptions'!$D$23)^AZ$57</f>
        <v>30.36325506357057</v>
      </c>
      <c r="BA74" s="63">
        <f>BA73+$D$71*(1+'01 Major Assumptions'!$D$23)^BA$57</f>
        <v>30.36325506357057</v>
      </c>
      <c r="BB74" s="63">
        <f>BB73+$D$71*(1+'01 Major Assumptions'!$D$23)^BB$57</f>
        <v>30.36325506357057</v>
      </c>
      <c r="BC74" s="63">
        <f>BC73+$D$71*(1+'01 Major Assumptions'!$D$23)^BC$57</f>
        <v>31.019467958757218</v>
      </c>
      <c r="BD74" s="63">
        <f>BD73+$D$71*(1+'01 Major Assumptions'!$D$23)^BD$57</f>
        <v>31.019467958757218</v>
      </c>
      <c r="BE74" s="63">
        <f>BE73+$D$71*(1+'01 Major Assumptions'!$D$23)^BE$57</f>
        <v>31.019467958757218</v>
      </c>
      <c r="BF74" s="63">
        <f>BF73+$D$71*(1+'01 Major Assumptions'!$D$23)^BF$57</f>
        <v>31.019467958757218</v>
      </c>
      <c r="BG74" s="63">
        <f>BG73+$D$71*(1+'01 Major Assumptions'!$D$23)^BG$57</f>
        <v>31.019467958757218</v>
      </c>
      <c r="BH74" s="63">
        <f>BH73+$D$71*(1+'01 Major Assumptions'!$D$23)^BH$57</f>
        <v>31.019467958757218</v>
      </c>
      <c r="BI74" s="63">
        <f>BI73+$D$71*(1+'01 Major Assumptions'!$D$23)^BI$57</f>
        <v>31.689930911107648</v>
      </c>
      <c r="BJ74" s="70">
        <f>BJ73+$D$71*(1+'01 Major Assumptions'!$D$23)^BJ$57</f>
        <v>32.374954815148129</v>
      </c>
      <c r="BK74" s="70">
        <f>BK73+$D$71*(1+'01 Major Assumptions'!$D$23)^BK$57</f>
        <v>33.074857378843227</v>
      </c>
      <c r="BL74" s="70">
        <f>BL73+$D$71*(1+'01 Major Assumptions'!$D$23)^BL$57</f>
        <v>33.789963273562257</v>
      </c>
      <c r="BM74" s="70">
        <f>BM73+$D$71*(1+'01 Major Assumptions'!$D$23)^BM$57</f>
        <v>34.52060428735993</v>
      </c>
      <c r="BN74" s="70">
        <f>BN73+$D$71*(1+'01 Major Assumptions'!$D$23)^BN$57</f>
        <v>35.267119481645068</v>
      </c>
      <c r="BO74" s="70">
        <f>BO73+$D$71*(1+'01 Major Assumptions'!$D$23)^BO$57</f>
        <v>35.707136161908139</v>
      </c>
    </row>
    <row r="75" spans="1:67">
      <c r="A75" s="11"/>
      <c r="B75" s="11"/>
      <c r="C75" s="11" t="s">
        <v>1199</v>
      </c>
      <c r="D75" s="33"/>
      <c r="E75" s="43"/>
      <c r="F75" s="43"/>
      <c r="G75" s="63">
        <f>IF($D$72=0,1,G74/$D$72)</f>
        <v>0.89039346264233621</v>
      </c>
      <c r="H75" s="63">
        <f t="shared" ref="H75:BO75" si="10">IF($D$72=0,1,H74/$D$72)</f>
        <v>0.89039346264233621</v>
      </c>
      <c r="I75" s="63">
        <f t="shared" si="10"/>
        <v>0.89039346264233621</v>
      </c>
      <c r="J75" s="63">
        <f t="shared" si="10"/>
        <v>0.89039346264233621</v>
      </c>
      <c r="K75" s="63">
        <f t="shared" si="10"/>
        <v>0.89039346264233621</v>
      </c>
      <c r="L75" s="63">
        <f t="shared" si="10"/>
        <v>0.89039346264233621</v>
      </c>
      <c r="M75" s="63">
        <f t="shared" si="10"/>
        <v>0.89039346264233621</v>
      </c>
      <c r="N75" s="63">
        <f t="shared" si="10"/>
        <v>0.89039346264233621</v>
      </c>
      <c r="O75" s="63">
        <f t="shared" si="10"/>
        <v>0.89039346264233621</v>
      </c>
      <c r="P75" s="63">
        <f t="shared" si="10"/>
        <v>0.89039346264233621</v>
      </c>
      <c r="Q75" s="63">
        <f t="shared" si="10"/>
        <v>0.89039346264233621</v>
      </c>
      <c r="R75" s="63">
        <f t="shared" si="10"/>
        <v>0.89039346264233621</v>
      </c>
      <c r="S75" s="63">
        <f t="shared" si="10"/>
        <v>0.90963085875087391</v>
      </c>
      <c r="T75" s="63">
        <f t="shared" si="10"/>
        <v>0.90963085875087391</v>
      </c>
      <c r="U75" s="63">
        <f t="shared" si="10"/>
        <v>0.90963085875087391</v>
      </c>
      <c r="V75" s="63">
        <f t="shared" si="10"/>
        <v>0.90963085875087391</v>
      </c>
      <c r="W75" s="63">
        <f t="shared" si="10"/>
        <v>0.90963085875087391</v>
      </c>
      <c r="X75" s="63">
        <f t="shared" si="10"/>
        <v>0.90963085875087391</v>
      </c>
      <c r="Y75" s="63">
        <f t="shared" si="10"/>
        <v>0.90963085875087391</v>
      </c>
      <c r="Z75" s="63">
        <f t="shared" si="10"/>
        <v>0.90963085875087391</v>
      </c>
      <c r="AA75" s="63">
        <f t="shared" si="10"/>
        <v>0.90963085875087391</v>
      </c>
      <c r="AB75" s="63">
        <f t="shared" si="10"/>
        <v>0.90963085875087391</v>
      </c>
      <c r="AC75" s="63">
        <f t="shared" si="10"/>
        <v>0.90963085875087391</v>
      </c>
      <c r="AD75" s="63">
        <f t="shared" si="10"/>
        <v>0.90963085875087391</v>
      </c>
      <c r="AE75" s="63">
        <f t="shared" si="10"/>
        <v>0.92928588189926342</v>
      </c>
      <c r="AF75" s="63">
        <f t="shared" si="10"/>
        <v>0.92928588189926342</v>
      </c>
      <c r="AG75" s="63">
        <f t="shared" si="10"/>
        <v>0.92928588189926342</v>
      </c>
      <c r="AH75" s="63">
        <f t="shared" si="10"/>
        <v>0.92928588189926342</v>
      </c>
      <c r="AI75" s="63">
        <f t="shared" si="10"/>
        <v>0.92928588189926342</v>
      </c>
      <c r="AJ75" s="63">
        <f t="shared" si="10"/>
        <v>0.92928588189926342</v>
      </c>
      <c r="AK75" s="63">
        <f t="shared" si="10"/>
        <v>0.92928588189926342</v>
      </c>
      <c r="AL75" s="63">
        <f t="shared" si="10"/>
        <v>0.92928588189926342</v>
      </c>
      <c r="AM75" s="63">
        <f t="shared" si="10"/>
        <v>0.92928588189926342</v>
      </c>
      <c r="AN75" s="63">
        <f t="shared" si="10"/>
        <v>0.92928588189926342</v>
      </c>
      <c r="AO75" s="63">
        <f t="shared" si="10"/>
        <v>0.92928588189926342</v>
      </c>
      <c r="AP75" s="63">
        <f t="shared" si="10"/>
        <v>0.92928588189926342</v>
      </c>
      <c r="AQ75" s="63">
        <f t="shared" si="10"/>
        <v>0.94936764084800818</v>
      </c>
      <c r="AR75" s="63">
        <f t="shared" si="10"/>
        <v>0.94936764084800818</v>
      </c>
      <c r="AS75" s="63">
        <f t="shared" si="10"/>
        <v>0.94936764084800818</v>
      </c>
      <c r="AT75" s="63">
        <f t="shared" si="10"/>
        <v>0.94936764084800818</v>
      </c>
      <c r="AU75" s="63">
        <f t="shared" si="10"/>
        <v>0.94936764084800818</v>
      </c>
      <c r="AV75" s="63">
        <f t="shared" si="10"/>
        <v>0.94936764084800818</v>
      </c>
      <c r="AW75" s="63">
        <f t="shared" si="10"/>
        <v>0.94936764084800818</v>
      </c>
      <c r="AX75" s="63">
        <f t="shared" si="10"/>
        <v>0.94936764084800818</v>
      </c>
      <c r="AY75" s="63">
        <f t="shared" si="10"/>
        <v>0.94936764084800818</v>
      </c>
      <c r="AZ75" s="63">
        <f t="shared" si="10"/>
        <v>0.94936764084800818</v>
      </c>
      <c r="BA75" s="63">
        <f t="shared" si="10"/>
        <v>0.94936764084800818</v>
      </c>
      <c r="BB75" s="63">
        <f t="shared" si="10"/>
        <v>0.94936764084800818</v>
      </c>
      <c r="BC75" s="63">
        <f t="shared" si="10"/>
        <v>0.96988544392587517</v>
      </c>
      <c r="BD75" s="63">
        <f t="shared" si="10"/>
        <v>0.96988544392587517</v>
      </c>
      <c r="BE75" s="63">
        <f t="shared" si="10"/>
        <v>0.96988544392587517</v>
      </c>
      <c r="BF75" s="63">
        <f t="shared" si="10"/>
        <v>0.96988544392587517</v>
      </c>
      <c r="BG75" s="63">
        <f t="shared" si="10"/>
        <v>0.96988544392587517</v>
      </c>
      <c r="BH75" s="63">
        <f t="shared" si="10"/>
        <v>0.96988544392587517</v>
      </c>
      <c r="BI75" s="63">
        <f t="shared" si="10"/>
        <v>0.99084880342130033</v>
      </c>
      <c r="BJ75" s="70">
        <f t="shared" si="10"/>
        <v>1.0122674400708231</v>
      </c>
      <c r="BK75" s="70">
        <f t="shared" si="10"/>
        <v>1.0341512876467014</v>
      </c>
      <c r="BL75" s="70">
        <f t="shared" si="10"/>
        <v>1.0565104976459101</v>
      </c>
      <c r="BM75" s="70">
        <f t="shared" si="10"/>
        <v>1.0793554440827668</v>
      </c>
      <c r="BN75" s="70">
        <f t="shared" si="10"/>
        <v>1.1026967283874916</v>
      </c>
      <c r="BO75" s="70">
        <f t="shared" si="10"/>
        <v>1.1164547262306255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524D65-6293-B845-B9B0-C6D2DF797038}">
  <sheetPr>
    <tabColor rgb="FFFFD1DC"/>
  </sheetPr>
  <dimension ref="A1:BO315"/>
  <sheetViews>
    <sheetView workbookViewId="0">
      <pane xSplit="6" ySplit="6" topLeftCell="G205" activePane="bottomRight" state="frozen"/>
      <selection pane="topRight" activeCell="G1" sqref="G1"/>
      <selection pane="bottomLeft" activeCell="A7" sqref="A7"/>
      <selection pane="bottomRight" activeCell="J33" sqref="J33"/>
    </sheetView>
  </sheetViews>
  <sheetFormatPr baseColWidth="10" defaultRowHeight="15"/>
  <cols>
    <col min="1" max="1" width="3.83203125" style="9" customWidth="1"/>
    <col min="2" max="2" width="58.33203125" style="9" customWidth="1"/>
    <col min="3" max="4" width="12.83203125" style="9" customWidth="1"/>
    <col min="5" max="6" width="12.83203125" style="42" customWidth="1"/>
    <col min="7" max="61" width="14" style="42" customWidth="1"/>
    <col min="62" max="67" width="14" style="34" customWidth="1"/>
  </cols>
  <sheetData>
    <row r="1" spans="1:67" ht="18">
      <c r="A1" s="21" t="s">
        <v>1678</v>
      </c>
      <c r="B1" s="11"/>
      <c r="C1" s="11"/>
      <c r="D1" s="11"/>
      <c r="E1" s="33"/>
      <c r="F1" s="33"/>
      <c r="G1" s="33"/>
      <c r="H1" s="33"/>
      <c r="I1" s="33"/>
      <c r="J1" s="33"/>
      <c r="K1" s="33"/>
      <c r="L1" s="33"/>
      <c r="M1" s="33"/>
      <c r="N1" s="33"/>
      <c r="O1" s="33"/>
      <c r="P1" s="33"/>
      <c r="Q1" s="33"/>
      <c r="R1" s="33"/>
      <c r="S1" s="33"/>
      <c r="T1" s="33"/>
      <c r="U1" s="33"/>
      <c r="V1" s="33"/>
      <c r="W1" s="33"/>
      <c r="X1" s="33"/>
      <c r="Y1" s="33"/>
      <c r="Z1" s="33"/>
      <c r="AA1" s="33"/>
      <c r="AB1" s="33"/>
      <c r="AC1" s="33"/>
      <c r="AD1" s="33"/>
      <c r="AE1" s="33"/>
      <c r="AF1" s="33"/>
      <c r="AG1" s="33"/>
      <c r="AH1" s="33"/>
      <c r="AI1" s="33"/>
      <c r="AJ1" s="33"/>
      <c r="AK1" s="33"/>
      <c r="AL1" s="33"/>
      <c r="AM1" s="33"/>
      <c r="AN1" s="33"/>
      <c r="AO1" s="33"/>
      <c r="AP1" s="33"/>
      <c r="AQ1" s="33"/>
      <c r="AR1" s="33"/>
      <c r="AS1" s="33"/>
      <c r="AT1" s="33"/>
      <c r="AU1" s="33"/>
      <c r="AV1" s="33"/>
      <c r="AW1" s="33"/>
      <c r="AX1" s="33"/>
      <c r="AY1" s="33"/>
      <c r="AZ1" s="33"/>
      <c r="BA1" s="33"/>
      <c r="BB1" s="33"/>
      <c r="BC1" s="33"/>
      <c r="BD1" s="33"/>
      <c r="BE1" s="33"/>
      <c r="BF1" s="33"/>
      <c r="BG1" s="33"/>
      <c r="BH1" s="33"/>
      <c r="BI1" s="33"/>
      <c r="BJ1" s="33"/>
      <c r="BK1" s="33"/>
      <c r="BL1" s="33"/>
      <c r="BM1" s="33"/>
      <c r="BN1" s="33"/>
      <c r="BO1" s="33"/>
    </row>
    <row r="2" spans="1:67" ht="16">
      <c r="A2" s="12" t="s">
        <v>257</v>
      </c>
      <c r="B2" s="11"/>
      <c r="C2" s="11"/>
      <c r="D2" s="11"/>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row>
    <row r="3" spans="1:67">
      <c r="A3" s="13" t="s">
        <v>1741</v>
      </c>
      <c r="B3" s="11"/>
      <c r="C3" s="11"/>
      <c r="D3" s="11"/>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row>
    <row r="4" spans="1:67">
      <c r="A4" s="11"/>
      <c r="B4" s="11"/>
      <c r="C4" s="11"/>
      <c r="D4" s="11"/>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row>
    <row r="5" spans="1:67">
      <c r="A5" s="11"/>
      <c r="B5" s="22" t="s">
        <v>213</v>
      </c>
      <c r="C5" s="22"/>
      <c r="D5" s="11"/>
      <c r="E5" s="33"/>
      <c r="F5" s="33"/>
      <c r="G5" s="23" t="str">
        <f>'01 Major Assumptions'!G$12</f>
        <v>Jan-27</v>
      </c>
      <c r="H5" s="23" t="str">
        <f>'01 Major Assumptions'!H$12</f>
        <v>Feb-27</v>
      </c>
      <c r="I5" s="23" t="str">
        <f>'01 Major Assumptions'!I$12</f>
        <v>Mar-27</v>
      </c>
      <c r="J5" s="23" t="str">
        <f>'01 Major Assumptions'!J$12</f>
        <v>Apr-27</v>
      </c>
      <c r="K5" s="23" t="str">
        <f>'01 Major Assumptions'!K$12</f>
        <v>May-27</v>
      </c>
      <c r="L5" s="23" t="str">
        <f>'01 Major Assumptions'!L$12</f>
        <v>Jun-27</v>
      </c>
      <c r="M5" s="23" t="str">
        <f>'01 Major Assumptions'!M$12</f>
        <v>Jul-27</v>
      </c>
      <c r="N5" s="23" t="str">
        <f>'01 Major Assumptions'!N$12</f>
        <v>Aug-27</v>
      </c>
      <c r="O5" s="23" t="str">
        <f>'01 Major Assumptions'!O$12</f>
        <v>Sep-27</v>
      </c>
      <c r="P5" s="23" t="str">
        <f>'01 Major Assumptions'!P$12</f>
        <v>Oct-27</v>
      </c>
      <c r="Q5" s="23" t="str">
        <f>'01 Major Assumptions'!Q$12</f>
        <v>Nov-27</v>
      </c>
      <c r="R5" s="23" t="str">
        <f>'01 Major Assumptions'!R$12</f>
        <v>Dec-27</v>
      </c>
      <c r="S5" s="23" t="str">
        <f>'01 Major Assumptions'!S$12</f>
        <v>Jan-28</v>
      </c>
      <c r="T5" s="23" t="str">
        <f>'01 Major Assumptions'!T$12</f>
        <v>Feb-28</v>
      </c>
      <c r="U5" s="23" t="str">
        <f>'01 Major Assumptions'!U$12</f>
        <v>Mar-28</v>
      </c>
      <c r="V5" s="23" t="str">
        <f>'01 Major Assumptions'!V$12</f>
        <v>Apr-28</v>
      </c>
      <c r="W5" s="23" t="str">
        <f>'01 Major Assumptions'!W$12</f>
        <v>May-28</v>
      </c>
      <c r="X5" s="23" t="str">
        <f>'01 Major Assumptions'!X$12</f>
        <v>Jun-28</v>
      </c>
      <c r="Y5" s="23" t="str">
        <f>'01 Major Assumptions'!Y$12</f>
        <v>Jul-28</v>
      </c>
      <c r="Z5" s="23" t="str">
        <f>'01 Major Assumptions'!Z$12</f>
        <v>Aug-28</v>
      </c>
      <c r="AA5" s="23" t="str">
        <f>'01 Major Assumptions'!AA$12</f>
        <v>Sep-28</v>
      </c>
      <c r="AB5" s="23" t="str">
        <f>'01 Major Assumptions'!AB$12</f>
        <v>Oct-28</v>
      </c>
      <c r="AC5" s="23" t="str">
        <f>'01 Major Assumptions'!AC$12</f>
        <v>Nov-28</v>
      </c>
      <c r="AD5" s="23" t="str">
        <f>'01 Major Assumptions'!AD$12</f>
        <v>Dec-28</v>
      </c>
      <c r="AE5" s="23" t="str">
        <f>'01 Major Assumptions'!AE$12</f>
        <v>Jan-29</v>
      </c>
      <c r="AF5" s="23" t="str">
        <f>'01 Major Assumptions'!AF$12</f>
        <v>Feb-29</v>
      </c>
      <c r="AG5" s="23" t="str">
        <f>'01 Major Assumptions'!AG$12</f>
        <v>Mar-29</v>
      </c>
      <c r="AH5" s="23" t="str">
        <f>'01 Major Assumptions'!AH$12</f>
        <v>Apr-29</v>
      </c>
      <c r="AI5" s="23" t="str">
        <f>'01 Major Assumptions'!AI$12</f>
        <v>May-29</v>
      </c>
      <c r="AJ5" s="23" t="str">
        <f>'01 Major Assumptions'!AJ$12</f>
        <v>Jun-29</v>
      </c>
      <c r="AK5" s="23" t="str">
        <f>'01 Major Assumptions'!AK$12</f>
        <v>Jul-29</v>
      </c>
      <c r="AL5" s="23" t="str">
        <f>'01 Major Assumptions'!AL$12</f>
        <v>Aug-29</v>
      </c>
      <c r="AM5" s="23" t="str">
        <f>'01 Major Assumptions'!AM$12</f>
        <v>Sep-29</v>
      </c>
      <c r="AN5" s="23" t="str">
        <f>'01 Major Assumptions'!AN$12</f>
        <v>Oct-29</v>
      </c>
      <c r="AO5" s="23" t="str">
        <f>'01 Major Assumptions'!AO$12</f>
        <v>Nov-29</v>
      </c>
      <c r="AP5" s="23" t="str">
        <f>'01 Major Assumptions'!AP$12</f>
        <v>Dec-29</v>
      </c>
      <c r="AQ5" s="23" t="str">
        <f>'01 Major Assumptions'!AQ$12</f>
        <v>Jan-30</v>
      </c>
      <c r="AR5" s="23" t="str">
        <f>'01 Major Assumptions'!AR$12</f>
        <v>Feb-30</v>
      </c>
      <c r="AS5" s="23" t="str">
        <f>'01 Major Assumptions'!AS$12</f>
        <v>Mar-30</v>
      </c>
      <c r="AT5" s="23" t="str">
        <f>'01 Major Assumptions'!AT$12</f>
        <v>Apr-30</v>
      </c>
      <c r="AU5" s="23" t="str">
        <f>'01 Major Assumptions'!AU$12</f>
        <v>May-30</v>
      </c>
      <c r="AV5" s="23" t="str">
        <f>'01 Major Assumptions'!AV$12</f>
        <v>Jun-30</v>
      </c>
      <c r="AW5" s="23" t="str">
        <f>'01 Major Assumptions'!AW$12</f>
        <v>Jul-30</v>
      </c>
      <c r="AX5" s="23" t="str">
        <f>'01 Major Assumptions'!AX$12</f>
        <v>Aug-30</v>
      </c>
      <c r="AY5" s="23" t="str">
        <f>'01 Major Assumptions'!AY$12</f>
        <v>Sep-30</v>
      </c>
      <c r="AZ5" s="23" t="str">
        <f>'01 Major Assumptions'!AZ$12</f>
        <v>Oct-30</v>
      </c>
      <c r="BA5" s="23" t="str">
        <f>'01 Major Assumptions'!BA$12</f>
        <v>Nov-30</v>
      </c>
      <c r="BB5" s="23" t="str">
        <f>'01 Major Assumptions'!BB$12</f>
        <v>Dec-30</v>
      </c>
      <c r="BC5" s="23" t="str">
        <f>'01 Major Assumptions'!BC$12</f>
        <v>Jan-31</v>
      </c>
      <c r="BD5" s="23" t="str">
        <f>'01 Major Assumptions'!BD$12</f>
        <v>Feb-31</v>
      </c>
      <c r="BE5" s="23" t="str">
        <f>'01 Major Assumptions'!BE$12</f>
        <v>Mar-31</v>
      </c>
      <c r="BF5" s="23" t="str">
        <f>'01 Major Assumptions'!BF$12</f>
        <v>Apr-31</v>
      </c>
      <c r="BG5" s="23" t="str">
        <f>'01 Major Assumptions'!BG$12</f>
        <v>May-31</v>
      </c>
      <c r="BH5" s="23" t="str">
        <f>'01 Major Assumptions'!BH$12</f>
        <v>Jun-31</v>
      </c>
      <c r="BI5" s="23" t="str">
        <f>'01 Major Assumptions'!BI$12</f>
        <v>FY2032</v>
      </c>
      <c r="BJ5" s="23" t="str">
        <f>'01 Major Assumptions'!BJ$12</f>
        <v>FY2033</v>
      </c>
      <c r="BK5" s="23" t="str">
        <f>'01 Major Assumptions'!BK$12</f>
        <v>FY2034</v>
      </c>
      <c r="BL5" s="23" t="str">
        <f>'01 Major Assumptions'!BL$12</f>
        <v>FY2035</v>
      </c>
      <c r="BM5" s="23" t="str">
        <f>'01 Major Assumptions'!BM$12</f>
        <v>FY2036</v>
      </c>
      <c r="BN5" s="23" t="str">
        <f>'01 Major Assumptions'!BN$12</f>
        <v>FY2037</v>
      </c>
      <c r="BO5" s="23" t="str">
        <f>'01 Major Assumptions'!BO$12</f>
        <v>FY2038</v>
      </c>
    </row>
    <row r="6" spans="1:67">
      <c r="A6" s="11"/>
      <c r="B6" s="11"/>
      <c r="C6" s="11"/>
      <c r="D6" s="11"/>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row>
    <row r="7" spans="1:67">
      <c r="A7" s="18" t="s">
        <v>1511</v>
      </c>
      <c r="B7" s="18"/>
      <c r="C7" s="18"/>
      <c r="D7" s="18"/>
      <c r="E7" s="39"/>
      <c r="F7" s="39"/>
      <c r="G7" s="39"/>
      <c r="H7" s="39"/>
      <c r="I7" s="39"/>
      <c r="J7" s="39"/>
      <c r="K7" s="39"/>
      <c r="L7" s="39"/>
      <c r="M7" s="39"/>
      <c r="N7" s="39"/>
      <c r="O7" s="39"/>
      <c r="P7" s="39"/>
      <c r="Q7" s="39"/>
      <c r="R7" s="39"/>
      <c r="S7" s="39"/>
      <c r="T7" s="39"/>
      <c r="U7" s="39"/>
      <c r="V7" s="39"/>
      <c r="W7" s="39"/>
      <c r="X7" s="39"/>
      <c r="Y7" s="39"/>
      <c r="Z7" s="39"/>
      <c r="AA7" s="39"/>
      <c r="AB7" s="39"/>
      <c r="AC7" s="39"/>
      <c r="AD7" s="39"/>
      <c r="AE7" s="39"/>
      <c r="AF7" s="39"/>
      <c r="AG7" s="39"/>
      <c r="AH7" s="39"/>
      <c r="AI7" s="39"/>
      <c r="AJ7" s="39"/>
      <c r="AK7" s="39"/>
      <c r="AL7" s="39"/>
      <c r="AM7" s="39"/>
      <c r="AN7" s="39"/>
      <c r="AO7" s="39"/>
      <c r="AP7" s="39"/>
      <c r="AQ7" s="39"/>
      <c r="AR7" s="39"/>
      <c r="AS7" s="39"/>
      <c r="AT7" s="39"/>
      <c r="AU7" s="39"/>
      <c r="AV7" s="39"/>
      <c r="AW7" s="39"/>
      <c r="AX7" s="39"/>
      <c r="AY7" s="39"/>
      <c r="AZ7" s="39"/>
      <c r="BA7" s="39"/>
      <c r="BB7" s="39"/>
      <c r="BC7" s="39"/>
      <c r="BD7" s="39"/>
      <c r="BE7" s="39"/>
      <c r="BF7" s="39"/>
      <c r="BG7" s="39"/>
      <c r="BH7" s="39"/>
      <c r="BI7" s="39"/>
      <c r="BJ7" s="39"/>
      <c r="BK7" s="39"/>
      <c r="BL7" s="39"/>
      <c r="BM7" s="39"/>
      <c r="BN7" s="39"/>
      <c r="BO7" s="39"/>
    </row>
    <row r="8" spans="1:67">
      <c r="A8" s="11"/>
      <c r="B8" s="11" t="s">
        <v>1697</v>
      </c>
      <c r="C8" s="11"/>
      <c r="D8" s="11"/>
      <c r="E8" s="33"/>
      <c r="F8" s="6">
        <f>SUM(G8:BO8)</f>
        <v>1</v>
      </c>
      <c r="G8" s="16">
        <v>0</v>
      </c>
      <c r="H8" s="16">
        <v>0</v>
      </c>
      <c r="I8" s="16">
        <v>0</v>
      </c>
      <c r="J8" s="16">
        <v>0</v>
      </c>
      <c r="K8" s="16">
        <v>0</v>
      </c>
      <c r="L8" s="16">
        <v>0</v>
      </c>
      <c r="M8" s="16">
        <v>0</v>
      </c>
      <c r="N8" s="16">
        <v>0</v>
      </c>
      <c r="O8" s="16">
        <v>0</v>
      </c>
      <c r="P8" s="16">
        <v>8.3333333333333329E-2</v>
      </c>
      <c r="Q8" s="16">
        <v>8.3333333333333329E-2</v>
      </c>
      <c r="R8" s="16">
        <v>8.3333333333333329E-2</v>
      </c>
      <c r="S8" s="16">
        <v>8.3333333333333329E-2</v>
      </c>
      <c r="T8" s="16">
        <v>8.3333333333333329E-2</v>
      </c>
      <c r="U8" s="16">
        <v>8.3333333333333329E-2</v>
      </c>
      <c r="V8" s="16">
        <v>8.3333333333333329E-2</v>
      </c>
      <c r="W8" s="16">
        <v>8.3333333333333329E-2</v>
      </c>
      <c r="X8" s="16">
        <v>8.3333333333333329E-2</v>
      </c>
      <c r="Y8" s="6">
        <v>8.3333333333333329E-2</v>
      </c>
      <c r="Z8" s="6">
        <v>8.3333333333333329E-2</v>
      </c>
      <c r="AA8" s="6">
        <v>8.3333333333333329E-2</v>
      </c>
      <c r="AB8" s="6">
        <v>0</v>
      </c>
      <c r="AC8" s="6">
        <v>0</v>
      </c>
      <c r="AD8" s="6">
        <v>0</v>
      </c>
      <c r="AE8" s="6">
        <v>0</v>
      </c>
      <c r="AF8" s="6">
        <v>0</v>
      </c>
      <c r="AG8" s="6">
        <v>0</v>
      </c>
      <c r="AH8" s="6">
        <v>0</v>
      </c>
      <c r="AI8" s="6">
        <v>0</v>
      </c>
      <c r="AJ8" s="6">
        <v>0</v>
      </c>
      <c r="AK8" s="6">
        <v>0</v>
      </c>
      <c r="AL8" s="6">
        <v>0</v>
      </c>
      <c r="AM8" s="6">
        <v>0</v>
      </c>
      <c r="AN8" s="6">
        <v>0</v>
      </c>
      <c r="AO8" s="6">
        <v>0</v>
      </c>
      <c r="AP8" s="6">
        <v>0</v>
      </c>
      <c r="AQ8" s="6">
        <v>0</v>
      </c>
      <c r="AR8" s="6">
        <v>0</v>
      </c>
      <c r="AS8" s="6">
        <v>0</v>
      </c>
      <c r="AT8" s="6">
        <v>0</v>
      </c>
      <c r="AU8" s="6">
        <v>0</v>
      </c>
      <c r="AV8" s="6">
        <v>0</v>
      </c>
      <c r="AW8" s="6">
        <v>0</v>
      </c>
      <c r="AX8" s="6">
        <v>0</v>
      </c>
      <c r="AY8" s="6">
        <v>0</v>
      </c>
      <c r="AZ8" s="6">
        <v>0</v>
      </c>
      <c r="BA8" s="6">
        <v>0</v>
      </c>
      <c r="BB8" s="6">
        <v>0</v>
      </c>
      <c r="BC8" s="6">
        <v>0</v>
      </c>
      <c r="BD8" s="6">
        <v>0</v>
      </c>
      <c r="BE8" s="6">
        <v>0</v>
      </c>
      <c r="BF8" s="6">
        <v>0</v>
      </c>
      <c r="BG8" s="6">
        <v>0</v>
      </c>
      <c r="BH8" s="6">
        <v>0</v>
      </c>
      <c r="BI8" s="6">
        <v>0</v>
      </c>
      <c r="BJ8" s="6">
        <v>0</v>
      </c>
      <c r="BK8" s="6">
        <v>0</v>
      </c>
      <c r="BL8" s="6">
        <v>0</v>
      </c>
      <c r="BM8" s="6">
        <v>0</v>
      </c>
      <c r="BN8" s="6">
        <v>0</v>
      </c>
      <c r="BO8" s="6">
        <v>0</v>
      </c>
    </row>
    <row r="9" spans="1:67">
      <c r="A9" s="11"/>
      <c r="B9" s="11" t="s">
        <v>1698</v>
      </c>
      <c r="C9" s="11"/>
      <c r="D9" s="11"/>
      <c r="E9" s="33"/>
      <c r="F9" s="6">
        <f>SUM(G9:BO9)</f>
        <v>0.99999999999999967</v>
      </c>
      <c r="G9" s="16">
        <v>0</v>
      </c>
      <c r="H9" s="16">
        <v>0</v>
      </c>
      <c r="I9" s="16">
        <v>0</v>
      </c>
      <c r="J9" s="16">
        <v>0.3</v>
      </c>
      <c r="K9" s="16">
        <v>4.1176470588235294E-2</v>
      </c>
      <c r="L9" s="16">
        <v>4.1176470588235294E-2</v>
      </c>
      <c r="M9" s="16">
        <v>4.1176470588235294E-2</v>
      </c>
      <c r="N9" s="16">
        <v>4.1176470588235294E-2</v>
      </c>
      <c r="O9" s="16">
        <v>4.1176470588235294E-2</v>
      </c>
      <c r="P9" s="16">
        <v>4.1176470588235294E-2</v>
      </c>
      <c r="Q9" s="16">
        <v>4.1176470588235294E-2</v>
      </c>
      <c r="R9" s="16">
        <v>4.1176470588235294E-2</v>
      </c>
      <c r="S9" s="16">
        <v>4.1176470588235294E-2</v>
      </c>
      <c r="T9" s="16">
        <v>4.1176470588235294E-2</v>
      </c>
      <c r="U9" s="16">
        <v>4.1176470588235294E-2</v>
      </c>
      <c r="V9" s="16">
        <v>4.1176470588235294E-2</v>
      </c>
      <c r="W9" s="16">
        <v>4.1176470588235294E-2</v>
      </c>
      <c r="X9" s="16">
        <v>4.1176470588235294E-2</v>
      </c>
      <c r="Y9" s="6">
        <v>4.1176470588235294E-2</v>
      </c>
      <c r="Z9" s="6">
        <v>4.1176470588235294E-2</v>
      </c>
      <c r="AA9" s="6">
        <v>4.1176470588235294E-2</v>
      </c>
      <c r="AB9" s="6">
        <v>0</v>
      </c>
      <c r="AC9" s="6">
        <v>0</v>
      </c>
      <c r="AD9" s="6">
        <v>0</v>
      </c>
      <c r="AE9" s="6">
        <v>0</v>
      </c>
      <c r="AF9" s="6">
        <v>0</v>
      </c>
      <c r="AG9" s="6">
        <v>0</v>
      </c>
      <c r="AH9" s="6">
        <v>0</v>
      </c>
      <c r="AI9" s="6">
        <v>0</v>
      </c>
      <c r="AJ9" s="6">
        <v>0</v>
      </c>
      <c r="AK9" s="6">
        <v>0</v>
      </c>
      <c r="AL9" s="6">
        <v>0</v>
      </c>
      <c r="AM9" s="6">
        <v>0</v>
      </c>
      <c r="AN9" s="6">
        <v>0</v>
      </c>
      <c r="AO9" s="6">
        <v>0</v>
      </c>
      <c r="AP9" s="6">
        <v>0</v>
      </c>
      <c r="AQ9" s="6">
        <v>0</v>
      </c>
      <c r="AR9" s="6">
        <v>0</v>
      </c>
      <c r="AS9" s="6">
        <v>0</v>
      </c>
      <c r="AT9" s="6">
        <v>0</v>
      </c>
      <c r="AU9" s="6">
        <v>0</v>
      </c>
      <c r="AV9" s="6">
        <v>0</v>
      </c>
      <c r="AW9" s="6">
        <v>0</v>
      </c>
      <c r="AX9" s="6">
        <v>0</v>
      </c>
      <c r="AY9" s="6">
        <v>0</v>
      </c>
      <c r="AZ9" s="6">
        <v>0</v>
      </c>
      <c r="BA9" s="6">
        <v>0</v>
      </c>
      <c r="BB9" s="6">
        <v>0</v>
      </c>
      <c r="BC9" s="6">
        <v>0</v>
      </c>
      <c r="BD9" s="6">
        <v>0</v>
      </c>
      <c r="BE9" s="6">
        <v>0</v>
      </c>
      <c r="BF9" s="6">
        <v>0</v>
      </c>
      <c r="BG9" s="6">
        <v>0</v>
      </c>
      <c r="BH9" s="6">
        <v>0</v>
      </c>
      <c r="BI9" s="6">
        <v>0</v>
      </c>
      <c r="BJ9" s="6">
        <v>0</v>
      </c>
      <c r="BK9" s="6">
        <v>0</v>
      </c>
      <c r="BL9" s="6">
        <v>0</v>
      </c>
      <c r="BM9" s="6">
        <v>0</v>
      </c>
      <c r="BN9" s="6">
        <v>0</v>
      </c>
      <c r="BO9" s="6">
        <v>0</v>
      </c>
    </row>
    <row r="10" spans="1:67">
      <c r="A10" s="11"/>
      <c r="B10" s="11" t="s">
        <v>1699</v>
      </c>
      <c r="C10" s="11"/>
      <c r="D10" s="11"/>
      <c r="E10" s="33"/>
      <c r="F10" s="6">
        <f>SUM(G10:BO10)</f>
        <v>1</v>
      </c>
      <c r="G10" s="16">
        <v>0.08</v>
      </c>
      <c r="H10" s="16">
        <v>0.08</v>
      </c>
      <c r="I10" s="16">
        <v>0.08</v>
      </c>
      <c r="J10" s="16">
        <v>7.0000000000000007E-2</v>
      </c>
      <c r="K10" s="16">
        <v>7.0000000000000007E-2</v>
      </c>
      <c r="L10" s="16">
        <v>7.0000000000000007E-2</v>
      </c>
      <c r="M10" s="16">
        <v>7.0000000000000007E-2</v>
      </c>
      <c r="N10" s="16">
        <v>7.0000000000000007E-2</v>
      </c>
      <c r="O10" s="16">
        <v>7.0000000000000007E-2</v>
      </c>
      <c r="P10" s="16">
        <v>2.8333333333333335E-2</v>
      </c>
      <c r="Q10" s="16">
        <v>2.8333333333333335E-2</v>
      </c>
      <c r="R10" s="16">
        <v>2.8333333333333335E-2</v>
      </c>
      <c r="S10" s="16">
        <v>2.8333333333333335E-2</v>
      </c>
      <c r="T10" s="16">
        <v>2.8333333333333335E-2</v>
      </c>
      <c r="U10" s="16">
        <v>2.8333333333333335E-2</v>
      </c>
      <c r="V10" s="16">
        <v>2.8333333333333335E-2</v>
      </c>
      <c r="W10" s="16">
        <v>2.8333333333333335E-2</v>
      </c>
      <c r="X10" s="16">
        <v>2.8333333333333335E-2</v>
      </c>
      <c r="Y10" s="6">
        <v>2.8333333333333335E-2</v>
      </c>
      <c r="Z10" s="6">
        <v>2.8333333333333335E-2</v>
      </c>
      <c r="AA10" s="6">
        <v>2.8333333333333335E-2</v>
      </c>
      <c r="AB10" s="6">
        <v>0</v>
      </c>
      <c r="AC10" s="6">
        <v>0</v>
      </c>
      <c r="AD10" s="6">
        <v>0</v>
      </c>
      <c r="AE10" s="6">
        <v>0</v>
      </c>
      <c r="AF10" s="6">
        <v>0</v>
      </c>
      <c r="AG10" s="6">
        <v>0</v>
      </c>
      <c r="AH10" s="6">
        <v>0</v>
      </c>
      <c r="AI10" s="6">
        <v>0</v>
      </c>
      <c r="AJ10" s="6">
        <v>0</v>
      </c>
      <c r="AK10" s="6">
        <v>0</v>
      </c>
      <c r="AL10" s="6">
        <v>0</v>
      </c>
      <c r="AM10" s="6">
        <v>0</v>
      </c>
      <c r="AN10" s="6">
        <v>0</v>
      </c>
      <c r="AO10" s="6">
        <v>0</v>
      </c>
      <c r="AP10" s="6">
        <v>0</v>
      </c>
      <c r="AQ10" s="6">
        <v>0</v>
      </c>
      <c r="AR10" s="6">
        <v>0</v>
      </c>
      <c r="AS10" s="6">
        <v>0</v>
      </c>
      <c r="AT10" s="6">
        <v>0</v>
      </c>
      <c r="AU10" s="6">
        <v>0</v>
      </c>
      <c r="AV10" s="6">
        <v>0</v>
      </c>
      <c r="AW10" s="6">
        <v>0</v>
      </c>
      <c r="AX10" s="6">
        <v>0</v>
      </c>
      <c r="AY10" s="6">
        <v>0</v>
      </c>
      <c r="AZ10" s="6">
        <v>0</v>
      </c>
      <c r="BA10" s="6">
        <v>0</v>
      </c>
      <c r="BB10" s="6">
        <v>0</v>
      </c>
      <c r="BC10" s="6">
        <v>0</v>
      </c>
      <c r="BD10" s="6">
        <v>0</v>
      </c>
      <c r="BE10" s="6">
        <v>0</v>
      </c>
      <c r="BF10" s="6">
        <v>0</v>
      </c>
      <c r="BG10" s="6">
        <v>0</v>
      </c>
      <c r="BH10" s="6">
        <v>0</v>
      </c>
      <c r="BI10" s="6">
        <v>0</v>
      </c>
      <c r="BJ10" s="6">
        <v>0</v>
      </c>
      <c r="BK10" s="6">
        <v>0</v>
      </c>
      <c r="BL10" s="6">
        <v>0</v>
      </c>
      <c r="BM10" s="6">
        <v>0</v>
      </c>
      <c r="BN10" s="6">
        <v>0</v>
      </c>
      <c r="BO10" s="6">
        <v>0</v>
      </c>
    </row>
    <row r="11" spans="1:67">
      <c r="A11" s="11"/>
      <c r="B11" s="11" t="s">
        <v>1700</v>
      </c>
      <c r="C11" s="11"/>
      <c r="D11" s="11"/>
      <c r="E11" s="6"/>
      <c r="F11" s="6">
        <f>(F8-1)+(F9-1)+(F10-1)</f>
        <v>-3.3306690738754696E-16</v>
      </c>
      <c r="G11" s="6">
        <f>SUM(G8:G10)</f>
        <v>0.08</v>
      </c>
      <c r="H11" s="6">
        <f t="shared" ref="H11:BO11" si="0">SUM(H8:H10)</f>
        <v>0.08</v>
      </c>
      <c r="I11" s="6">
        <f t="shared" si="0"/>
        <v>0.08</v>
      </c>
      <c r="J11" s="6">
        <f t="shared" si="0"/>
        <v>0.37</v>
      </c>
      <c r="K11" s="6">
        <f t="shared" si="0"/>
        <v>0.11117647058823529</v>
      </c>
      <c r="L11" s="6">
        <f t="shared" si="0"/>
        <v>0.11117647058823529</v>
      </c>
      <c r="M11" s="6">
        <f t="shared" si="0"/>
        <v>0.11117647058823529</v>
      </c>
      <c r="N11" s="6">
        <f t="shared" si="0"/>
        <v>0.11117647058823529</v>
      </c>
      <c r="O11" s="6">
        <f t="shared" si="0"/>
        <v>0.11117647058823529</v>
      </c>
      <c r="P11" s="6">
        <f t="shared" si="0"/>
        <v>0.15284313725490195</v>
      </c>
      <c r="Q11" s="6">
        <f t="shared" si="0"/>
        <v>0.15284313725490195</v>
      </c>
      <c r="R11" s="6">
        <f t="shared" si="0"/>
        <v>0.15284313725490195</v>
      </c>
      <c r="S11" s="6">
        <f t="shared" si="0"/>
        <v>0.15284313725490195</v>
      </c>
      <c r="T11" s="6">
        <f t="shared" si="0"/>
        <v>0.15284313725490195</v>
      </c>
      <c r="U11" s="6">
        <f t="shared" si="0"/>
        <v>0.15284313725490195</v>
      </c>
      <c r="V11" s="6">
        <f t="shared" si="0"/>
        <v>0.15284313725490195</v>
      </c>
      <c r="W11" s="6">
        <f t="shared" si="0"/>
        <v>0.15284313725490195</v>
      </c>
      <c r="X11" s="6">
        <f t="shared" si="0"/>
        <v>0.15284313725490195</v>
      </c>
      <c r="Y11" s="6">
        <f t="shared" si="0"/>
        <v>0.15284313725490195</v>
      </c>
      <c r="Z11" s="6">
        <f t="shared" si="0"/>
        <v>0.15284313725490195</v>
      </c>
      <c r="AA11" s="6">
        <f t="shared" si="0"/>
        <v>0.15284313725490195</v>
      </c>
      <c r="AB11" s="6">
        <f t="shared" si="0"/>
        <v>0</v>
      </c>
      <c r="AC11" s="6">
        <f t="shared" si="0"/>
        <v>0</v>
      </c>
      <c r="AD11" s="6">
        <f t="shared" si="0"/>
        <v>0</v>
      </c>
      <c r="AE11" s="6">
        <f t="shared" si="0"/>
        <v>0</v>
      </c>
      <c r="AF11" s="6">
        <f t="shared" si="0"/>
        <v>0</v>
      </c>
      <c r="AG11" s="6">
        <f t="shared" si="0"/>
        <v>0</v>
      </c>
      <c r="AH11" s="6">
        <f t="shared" si="0"/>
        <v>0</v>
      </c>
      <c r="AI11" s="6">
        <f t="shared" si="0"/>
        <v>0</v>
      </c>
      <c r="AJ11" s="6">
        <f t="shared" si="0"/>
        <v>0</v>
      </c>
      <c r="AK11" s="6">
        <f t="shared" si="0"/>
        <v>0</v>
      </c>
      <c r="AL11" s="6">
        <f t="shared" si="0"/>
        <v>0</v>
      </c>
      <c r="AM11" s="6">
        <f t="shared" si="0"/>
        <v>0</v>
      </c>
      <c r="AN11" s="6">
        <f t="shared" si="0"/>
        <v>0</v>
      </c>
      <c r="AO11" s="6">
        <f t="shared" si="0"/>
        <v>0</v>
      </c>
      <c r="AP11" s="6">
        <f t="shared" si="0"/>
        <v>0</v>
      </c>
      <c r="AQ11" s="6">
        <f t="shared" si="0"/>
        <v>0</v>
      </c>
      <c r="AR11" s="6">
        <f t="shared" si="0"/>
        <v>0</v>
      </c>
      <c r="AS11" s="6">
        <f t="shared" si="0"/>
        <v>0</v>
      </c>
      <c r="AT11" s="6">
        <f t="shared" si="0"/>
        <v>0</v>
      </c>
      <c r="AU11" s="6">
        <f t="shared" si="0"/>
        <v>0</v>
      </c>
      <c r="AV11" s="6">
        <f t="shared" si="0"/>
        <v>0</v>
      </c>
      <c r="AW11" s="6">
        <f t="shared" si="0"/>
        <v>0</v>
      </c>
      <c r="AX11" s="6">
        <f t="shared" si="0"/>
        <v>0</v>
      </c>
      <c r="AY11" s="6">
        <f t="shared" si="0"/>
        <v>0</v>
      </c>
      <c r="AZ11" s="6">
        <f t="shared" si="0"/>
        <v>0</v>
      </c>
      <c r="BA11" s="6">
        <f t="shared" si="0"/>
        <v>0</v>
      </c>
      <c r="BB11" s="6">
        <f t="shared" si="0"/>
        <v>0</v>
      </c>
      <c r="BC11" s="6">
        <f t="shared" si="0"/>
        <v>0</v>
      </c>
      <c r="BD11" s="6">
        <f t="shared" si="0"/>
        <v>0</v>
      </c>
      <c r="BE11" s="6">
        <f t="shared" si="0"/>
        <v>0</v>
      </c>
      <c r="BF11" s="6">
        <f t="shared" si="0"/>
        <v>0</v>
      </c>
      <c r="BG11" s="6">
        <f t="shared" si="0"/>
        <v>0</v>
      </c>
      <c r="BH11" s="6">
        <f t="shared" si="0"/>
        <v>0</v>
      </c>
      <c r="BI11" s="6">
        <f t="shared" si="0"/>
        <v>0</v>
      </c>
      <c r="BJ11" s="6">
        <f t="shared" si="0"/>
        <v>0</v>
      </c>
      <c r="BK11" s="6">
        <f t="shared" si="0"/>
        <v>0</v>
      </c>
      <c r="BL11" s="6">
        <f t="shared" si="0"/>
        <v>0</v>
      </c>
      <c r="BM11" s="6">
        <f t="shared" si="0"/>
        <v>0</v>
      </c>
      <c r="BN11" s="6">
        <f t="shared" si="0"/>
        <v>0</v>
      </c>
      <c r="BO11" s="6">
        <f t="shared" si="0"/>
        <v>0</v>
      </c>
    </row>
    <row r="12" spans="1:67">
      <c r="A12" s="11"/>
      <c r="B12" s="11"/>
      <c r="C12" s="11"/>
      <c r="D12" s="11"/>
      <c r="E12" s="33"/>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row>
    <row r="13" spans="1:67">
      <c r="A13" s="18" t="s">
        <v>258</v>
      </c>
      <c r="B13" s="18"/>
      <c r="C13" s="18"/>
      <c r="D13" s="18"/>
      <c r="E13" s="39"/>
      <c r="F13" s="39"/>
      <c r="G13" s="39"/>
      <c r="H13" s="39"/>
      <c r="I13" s="39"/>
      <c r="J13" s="39"/>
      <c r="K13" s="39"/>
      <c r="L13" s="39"/>
      <c r="M13" s="39"/>
      <c r="N13" s="39"/>
      <c r="O13" s="39"/>
      <c r="P13" s="39"/>
      <c r="Q13" s="39"/>
      <c r="R13" s="39"/>
      <c r="S13" s="39"/>
      <c r="T13" s="39"/>
      <c r="U13" s="39"/>
      <c r="V13" s="39"/>
      <c r="W13" s="39"/>
      <c r="X13" s="39"/>
      <c r="Y13" s="39"/>
      <c r="Z13" s="39"/>
      <c r="AA13" s="39"/>
      <c r="AB13" s="39"/>
      <c r="AC13" s="39"/>
      <c r="AD13" s="39"/>
      <c r="AE13" s="39"/>
      <c r="AF13" s="39"/>
      <c r="AG13" s="39"/>
      <c r="AH13" s="39"/>
      <c r="AI13" s="39"/>
      <c r="AJ13" s="39"/>
      <c r="AK13" s="39"/>
      <c r="AL13" s="39"/>
      <c r="AM13" s="39"/>
      <c r="AN13" s="39"/>
      <c r="AO13" s="39"/>
      <c r="AP13" s="39"/>
      <c r="AQ13" s="39"/>
      <c r="AR13" s="39"/>
      <c r="AS13" s="39"/>
      <c r="AT13" s="39"/>
      <c r="AU13" s="39"/>
      <c r="AV13" s="39"/>
      <c r="AW13" s="39"/>
      <c r="AX13" s="39"/>
      <c r="AY13" s="39"/>
      <c r="AZ13" s="39"/>
      <c r="BA13" s="39"/>
      <c r="BB13" s="39"/>
      <c r="BC13" s="39"/>
      <c r="BD13" s="39"/>
      <c r="BE13" s="39"/>
      <c r="BF13" s="39"/>
      <c r="BG13" s="39"/>
      <c r="BH13" s="39"/>
      <c r="BI13" s="39"/>
      <c r="BJ13" s="39"/>
      <c r="BK13" s="39"/>
      <c r="BL13" s="39"/>
      <c r="BM13" s="39"/>
      <c r="BN13" s="39"/>
      <c r="BO13" s="39"/>
    </row>
    <row r="14" spans="1:67">
      <c r="A14" s="11"/>
      <c r="B14" s="11"/>
      <c r="C14" s="11"/>
      <c r="D14" s="22" t="s">
        <v>259</v>
      </c>
      <c r="E14" s="22" t="s">
        <v>260</v>
      </c>
      <c r="F14" s="22" t="s">
        <v>261</v>
      </c>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row>
    <row r="15" spans="1:67">
      <c r="A15" s="11"/>
      <c r="B15" s="11" t="s">
        <v>1765</v>
      </c>
      <c r="C15" s="11"/>
      <c r="D15" s="16">
        <v>1</v>
      </c>
      <c r="E15" s="92">
        <f>$E$288/'01 Major Assumptions'!$D$221</f>
        <v>109635665.16984622</v>
      </c>
      <c r="F15" s="90">
        <f>IF($D15*$E15*'01 Major Assumptions'!$D$189*'01 Major Assumptions'!$D$221&gt;=1000000,ROUND($D15*$E15*'01 Major Assumptions'!$D$189*'01 Major Assumptions'!$D$221,-6),ROUND($D15*$E15*'01 Major Assumptions'!$D$189*'01 Major Assumptions'!$D$221,-5))</f>
        <v>129000000</v>
      </c>
      <c r="G15" s="90">
        <f t="shared" ref="G15:G26" si="1">$F15*G$9</f>
        <v>0</v>
      </c>
      <c r="H15" s="90">
        <f t="shared" ref="H15:BI19" si="2">$F15*H$9</f>
        <v>0</v>
      </c>
      <c r="I15" s="90">
        <f t="shared" si="2"/>
        <v>0</v>
      </c>
      <c r="J15" s="90">
        <f t="shared" si="2"/>
        <v>38700000</v>
      </c>
      <c r="K15" s="90">
        <f t="shared" si="2"/>
        <v>5311764.7058823528</v>
      </c>
      <c r="L15" s="90">
        <f t="shared" si="2"/>
        <v>5311764.7058823528</v>
      </c>
      <c r="M15" s="90">
        <f t="shared" si="2"/>
        <v>5311764.7058823528</v>
      </c>
      <c r="N15" s="90">
        <f t="shared" si="2"/>
        <v>5311764.7058823528</v>
      </c>
      <c r="O15" s="90">
        <f t="shared" si="2"/>
        <v>5311764.7058823528</v>
      </c>
      <c r="P15" s="90">
        <f t="shared" si="2"/>
        <v>5311764.7058823528</v>
      </c>
      <c r="Q15" s="90">
        <f t="shared" si="2"/>
        <v>5311764.7058823528</v>
      </c>
      <c r="R15" s="90">
        <f t="shared" si="2"/>
        <v>5311764.7058823528</v>
      </c>
      <c r="S15" s="90">
        <f t="shared" si="2"/>
        <v>5311764.7058823528</v>
      </c>
      <c r="T15" s="90">
        <f t="shared" si="2"/>
        <v>5311764.7058823528</v>
      </c>
      <c r="U15" s="90">
        <f t="shared" si="2"/>
        <v>5311764.7058823528</v>
      </c>
      <c r="V15" s="90">
        <f t="shared" si="2"/>
        <v>5311764.7058823528</v>
      </c>
      <c r="W15" s="90">
        <f t="shared" si="2"/>
        <v>5311764.7058823528</v>
      </c>
      <c r="X15" s="90">
        <f t="shared" si="2"/>
        <v>5311764.7058823528</v>
      </c>
      <c r="Y15" s="90">
        <f t="shared" si="2"/>
        <v>5311764.7058823528</v>
      </c>
      <c r="Z15" s="90">
        <f t="shared" si="2"/>
        <v>5311764.7058823528</v>
      </c>
      <c r="AA15" s="90">
        <f t="shared" si="2"/>
        <v>5311764.7058823528</v>
      </c>
      <c r="AB15" s="90">
        <f t="shared" si="2"/>
        <v>0</v>
      </c>
      <c r="AC15" s="90">
        <f t="shared" si="2"/>
        <v>0</v>
      </c>
      <c r="AD15" s="90">
        <f t="shared" si="2"/>
        <v>0</v>
      </c>
      <c r="AE15" s="90">
        <f t="shared" si="2"/>
        <v>0</v>
      </c>
      <c r="AF15" s="90">
        <f t="shared" si="2"/>
        <v>0</v>
      </c>
      <c r="AG15" s="90">
        <f t="shared" si="2"/>
        <v>0</v>
      </c>
      <c r="AH15" s="90">
        <f t="shared" si="2"/>
        <v>0</v>
      </c>
      <c r="AI15" s="90">
        <f t="shared" si="2"/>
        <v>0</v>
      </c>
      <c r="AJ15" s="90">
        <f t="shared" si="2"/>
        <v>0</v>
      </c>
      <c r="AK15" s="90">
        <f t="shared" si="2"/>
        <v>0</v>
      </c>
      <c r="AL15" s="90">
        <f t="shared" si="2"/>
        <v>0</v>
      </c>
      <c r="AM15" s="90">
        <f t="shared" si="2"/>
        <v>0</v>
      </c>
      <c r="AN15" s="90">
        <f t="shared" si="2"/>
        <v>0</v>
      </c>
      <c r="AO15" s="90">
        <f t="shared" si="2"/>
        <v>0</v>
      </c>
      <c r="AP15" s="90">
        <f t="shared" si="2"/>
        <v>0</v>
      </c>
      <c r="AQ15" s="90">
        <f t="shared" si="2"/>
        <v>0</v>
      </c>
      <c r="AR15" s="90">
        <f t="shared" si="2"/>
        <v>0</v>
      </c>
      <c r="AS15" s="90">
        <f t="shared" si="2"/>
        <v>0</v>
      </c>
      <c r="AT15" s="90">
        <f t="shared" si="2"/>
        <v>0</v>
      </c>
      <c r="AU15" s="90">
        <f t="shared" si="2"/>
        <v>0</v>
      </c>
      <c r="AV15" s="90">
        <f t="shared" si="2"/>
        <v>0</v>
      </c>
      <c r="AW15" s="90">
        <f t="shared" si="2"/>
        <v>0</v>
      </c>
      <c r="AX15" s="90">
        <f t="shared" si="2"/>
        <v>0</v>
      </c>
      <c r="AY15" s="90">
        <f t="shared" si="2"/>
        <v>0</v>
      </c>
      <c r="AZ15" s="90">
        <f t="shared" si="2"/>
        <v>0</v>
      </c>
      <c r="BA15" s="90">
        <f t="shared" si="2"/>
        <v>0</v>
      </c>
      <c r="BB15" s="90">
        <f t="shared" si="2"/>
        <v>0</v>
      </c>
      <c r="BC15" s="90">
        <f t="shared" si="2"/>
        <v>0</v>
      </c>
      <c r="BD15" s="90">
        <f t="shared" si="2"/>
        <v>0</v>
      </c>
      <c r="BE15" s="90">
        <f t="shared" si="2"/>
        <v>0</v>
      </c>
      <c r="BF15" s="90">
        <f t="shared" si="2"/>
        <v>0</v>
      </c>
      <c r="BG15" s="90">
        <f t="shared" si="2"/>
        <v>0</v>
      </c>
      <c r="BH15" s="90">
        <f t="shared" si="2"/>
        <v>0</v>
      </c>
      <c r="BI15" s="90">
        <f t="shared" si="2"/>
        <v>0</v>
      </c>
      <c r="BJ15" s="90">
        <f t="shared" ref="BJ15:BO26" si="3">$F15*BJ$9</f>
        <v>0</v>
      </c>
      <c r="BK15" s="90">
        <f t="shared" si="3"/>
        <v>0</v>
      </c>
      <c r="BL15" s="90">
        <f t="shared" si="3"/>
        <v>0</v>
      </c>
      <c r="BM15" s="90">
        <f t="shared" si="3"/>
        <v>0</v>
      </c>
      <c r="BN15" s="90">
        <f t="shared" si="3"/>
        <v>0</v>
      </c>
      <c r="BO15" s="90">
        <f t="shared" si="3"/>
        <v>0</v>
      </c>
    </row>
    <row r="16" spans="1:67">
      <c r="A16" s="11"/>
      <c r="B16" s="11" t="s">
        <v>262</v>
      </c>
      <c r="C16" s="11"/>
      <c r="D16" s="16">
        <v>1</v>
      </c>
      <c r="E16" s="92">
        <v>106000000</v>
      </c>
      <c r="F16" s="90">
        <f>IF($D16*$E16*'01 Major Assumptions'!$D$189*'01 Major Assumptions'!$D$221*$I$207&gt;=1000000,ROUND($D16*$E16*'01 Major Assumptions'!$D$189*'01 Major Assumptions'!$D$221*$I$207,-6),ROUND($D16*$E16*'01 Major Assumptions'!$D$189*'01 Major Assumptions'!$D$221*$I$207,-5))</f>
        <v>82000000</v>
      </c>
      <c r="G16" s="90">
        <f t="shared" si="1"/>
        <v>0</v>
      </c>
      <c r="H16" s="90">
        <f t="shared" si="2"/>
        <v>0</v>
      </c>
      <c r="I16" s="90">
        <f t="shared" si="2"/>
        <v>0</v>
      </c>
      <c r="J16" s="90">
        <f t="shared" si="2"/>
        <v>24600000</v>
      </c>
      <c r="K16" s="90">
        <f t="shared" si="2"/>
        <v>3376470.588235294</v>
      </c>
      <c r="L16" s="90">
        <f t="shared" si="2"/>
        <v>3376470.588235294</v>
      </c>
      <c r="M16" s="90">
        <f t="shared" si="2"/>
        <v>3376470.588235294</v>
      </c>
      <c r="N16" s="90">
        <f t="shared" si="2"/>
        <v>3376470.588235294</v>
      </c>
      <c r="O16" s="90">
        <f t="shared" si="2"/>
        <v>3376470.588235294</v>
      </c>
      <c r="P16" s="90">
        <f t="shared" si="2"/>
        <v>3376470.588235294</v>
      </c>
      <c r="Q16" s="90">
        <f t="shared" si="2"/>
        <v>3376470.588235294</v>
      </c>
      <c r="R16" s="90">
        <f t="shared" si="2"/>
        <v>3376470.588235294</v>
      </c>
      <c r="S16" s="90">
        <f t="shared" si="2"/>
        <v>3376470.588235294</v>
      </c>
      <c r="T16" s="90">
        <f t="shared" si="2"/>
        <v>3376470.588235294</v>
      </c>
      <c r="U16" s="90">
        <f t="shared" si="2"/>
        <v>3376470.588235294</v>
      </c>
      <c r="V16" s="90">
        <f t="shared" si="2"/>
        <v>3376470.588235294</v>
      </c>
      <c r="W16" s="90">
        <f t="shared" si="2"/>
        <v>3376470.588235294</v>
      </c>
      <c r="X16" s="90">
        <f t="shared" si="2"/>
        <v>3376470.588235294</v>
      </c>
      <c r="Y16" s="90">
        <f t="shared" si="2"/>
        <v>3376470.588235294</v>
      </c>
      <c r="Z16" s="90">
        <f t="shared" si="2"/>
        <v>3376470.588235294</v>
      </c>
      <c r="AA16" s="90">
        <f t="shared" si="2"/>
        <v>3376470.588235294</v>
      </c>
      <c r="AB16" s="90">
        <f t="shared" si="2"/>
        <v>0</v>
      </c>
      <c r="AC16" s="90">
        <f t="shared" si="2"/>
        <v>0</v>
      </c>
      <c r="AD16" s="90">
        <f t="shared" si="2"/>
        <v>0</v>
      </c>
      <c r="AE16" s="90">
        <f t="shared" si="2"/>
        <v>0</v>
      </c>
      <c r="AF16" s="90">
        <f t="shared" si="2"/>
        <v>0</v>
      </c>
      <c r="AG16" s="90">
        <f t="shared" si="2"/>
        <v>0</v>
      </c>
      <c r="AH16" s="90">
        <f t="shared" si="2"/>
        <v>0</v>
      </c>
      <c r="AI16" s="90">
        <f t="shared" si="2"/>
        <v>0</v>
      </c>
      <c r="AJ16" s="90">
        <f t="shared" si="2"/>
        <v>0</v>
      </c>
      <c r="AK16" s="90">
        <f t="shared" si="2"/>
        <v>0</v>
      </c>
      <c r="AL16" s="90">
        <f t="shared" si="2"/>
        <v>0</v>
      </c>
      <c r="AM16" s="90">
        <f t="shared" si="2"/>
        <v>0</v>
      </c>
      <c r="AN16" s="90">
        <f t="shared" si="2"/>
        <v>0</v>
      </c>
      <c r="AO16" s="90">
        <f t="shared" si="2"/>
        <v>0</v>
      </c>
      <c r="AP16" s="90">
        <f t="shared" si="2"/>
        <v>0</v>
      </c>
      <c r="AQ16" s="90">
        <f t="shared" si="2"/>
        <v>0</v>
      </c>
      <c r="AR16" s="90">
        <f t="shared" si="2"/>
        <v>0</v>
      </c>
      <c r="AS16" s="90">
        <f t="shared" si="2"/>
        <v>0</v>
      </c>
      <c r="AT16" s="90">
        <f t="shared" si="2"/>
        <v>0</v>
      </c>
      <c r="AU16" s="90">
        <f t="shared" si="2"/>
        <v>0</v>
      </c>
      <c r="AV16" s="90">
        <f t="shared" si="2"/>
        <v>0</v>
      </c>
      <c r="AW16" s="90">
        <f t="shared" si="2"/>
        <v>0</v>
      </c>
      <c r="AX16" s="90">
        <f t="shared" si="2"/>
        <v>0</v>
      </c>
      <c r="AY16" s="90">
        <f t="shared" si="2"/>
        <v>0</v>
      </c>
      <c r="AZ16" s="90">
        <f t="shared" si="2"/>
        <v>0</v>
      </c>
      <c r="BA16" s="90">
        <f t="shared" si="2"/>
        <v>0</v>
      </c>
      <c r="BB16" s="90">
        <f t="shared" si="2"/>
        <v>0</v>
      </c>
      <c r="BC16" s="90">
        <f t="shared" si="2"/>
        <v>0</v>
      </c>
      <c r="BD16" s="90">
        <f t="shared" si="2"/>
        <v>0</v>
      </c>
      <c r="BE16" s="90">
        <f t="shared" si="2"/>
        <v>0</v>
      </c>
      <c r="BF16" s="90">
        <f t="shared" si="2"/>
        <v>0</v>
      </c>
      <c r="BG16" s="90">
        <f t="shared" si="2"/>
        <v>0</v>
      </c>
      <c r="BH16" s="90">
        <f t="shared" si="2"/>
        <v>0</v>
      </c>
      <c r="BI16" s="90">
        <f t="shared" si="2"/>
        <v>0</v>
      </c>
      <c r="BJ16" s="90">
        <f t="shared" si="3"/>
        <v>0</v>
      </c>
      <c r="BK16" s="90">
        <f t="shared" si="3"/>
        <v>0</v>
      </c>
      <c r="BL16" s="90">
        <f t="shared" si="3"/>
        <v>0</v>
      </c>
      <c r="BM16" s="90">
        <f t="shared" si="3"/>
        <v>0</v>
      </c>
      <c r="BN16" s="90">
        <f t="shared" si="3"/>
        <v>0</v>
      </c>
      <c r="BO16" s="90">
        <f t="shared" si="3"/>
        <v>0</v>
      </c>
    </row>
    <row r="17" spans="1:67">
      <c r="A17" s="11"/>
      <c r="B17" s="11" t="s">
        <v>263</v>
      </c>
      <c r="C17" s="11"/>
      <c r="D17" s="16">
        <v>1</v>
      </c>
      <c r="E17" s="92">
        <v>12000000</v>
      </c>
      <c r="F17" s="90">
        <f>IF($D17*$E17*'01 Major Assumptions'!$D$189*'01 Major Assumptions'!$D$221*$I$208&gt;=1000000,ROUND($D17*$E17*'01 Major Assumptions'!$D$189*'01 Major Assumptions'!$D$221*$I$208,-6),ROUND($D17*$E17*'01 Major Assumptions'!$D$189*'01 Major Assumptions'!$D$221*$I$208,-5))</f>
        <v>14000000</v>
      </c>
      <c r="G17" s="90">
        <f t="shared" si="1"/>
        <v>0</v>
      </c>
      <c r="H17" s="90">
        <f t="shared" si="2"/>
        <v>0</v>
      </c>
      <c r="I17" s="90">
        <f t="shared" si="2"/>
        <v>0</v>
      </c>
      <c r="J17" s="90">
        <f t="shared" si="2"/>
        <v>4200000</v>
      </c>
      <c r="K17" s="90">
        <f t="shared" si="2"/>
        <v>576470.5882352941</v>
      </c>
      <c r="L17" s="90">
        <f t="shared" si="2"/>
        <v>576470.5882352941</v>
      </c>
      <c r="M17" s="90">
        <f t="shared" si="2"/>
        <v>576470.5882352941</v>
      </c>
      <c r="N17" s="90">
        <f t="shared" si="2"/>
        <v>576470.5882352941</v>
      </c>
      <c r="O17" s="90">
        <f t="shared" si="2"/>
        <v>576470.5882352941</v>
      </c>
      <c r="P17" s="90">
        <f t="shared" si="2"/>
        <v>576470.5882352941</v>
      </c>
      <c r="Q17" s="90">
        <f t="shared" si="2"/>
        <v>576470.5882352941</v>
      </c>
      <c r="R17" s="90">
        <f t="shared" si="2"/>
        <v>576470.5882352941</v>
      </c>
      <c r="S17" s="90">
        <f t="shared" si="2"/>
        <v>576470.5882352941</v>
      </c>
      <c r="T17" s="90">
        <f t="shared" si="2"/>
        <v>576470.5882352941</v>
      </c>
      <c r="U17" s="90">
        <f t="shared" si="2"/>
        <v>576470.5882352941</v>
      </c>
      <c r="V17" s="90">
        <f t="shared" si="2"/>
        <v>576470.5882352941</v>
      </c>
      <c r="W17" s="90">
        <f t="shared" si="2"/>
        <v>576470.5882352941</v>
      </c>
      <c r="X17" s="90">
        <f t="shared" si="2"/>
        <v>576470.5882352941</v>
      </c>
      <c r="Y17" s="90">
        <f t="shared" si="2"/>
        <v>576470.5882352941</v>
      </c>
      <c r="Z17" s="90">
        <f t="shared" si="2"/>
        <v>576470.5882352941</v>
      </c>
      <c r="AA17" s="90">
        <f t="shared" si="2"/>
        <v>576470.5882352941</v>
      </c>
      <c r="AB17" s="90">
        <f t="shared" si="2"/>
        <v>0</v>
      </c>
      <c r="AC17" s="90">
        <f t="shared" si="2"/>
        <v>0</v>
      </c>
      <c r="AD17" s="90">
        <f t="shared" si="2"/>
        <v>0</v>
      </c>
      <c r="AE17" s="90">
        <f t="shared" si="2"/>
        <v>0</v>
      </c>
      <c r="AF17" s="90">
        <f t="shared" si="2"/>
        <v>0</v>
      </c>
      <c r="AG17" s="90">
        <f t="shared" si="2"/>
        <v>0</v>
      </c>
      <c r="AH17" s="90">
        <f t="shared" si="2"/>
        <v>0</v>
      </c>
      <c r="AI17" s="90">
        <f t="shared" si="2"/>
        <v>0</v>
      </c>
      <c r="AJ17" s="90">
        <f t="shared" si="2"/>
        <v>0</v>
      </c>
      <c r="AK17" s="90">
        <f t="shared" si="2"/>
        <v>0</v>
      </c>
      <c r="AL17" s="90">
        <f t="shared" si="2"/>
        <v>0</v>
      </c>
      <c r="AM17" s="90">
        <f t="shared" si="2"/>
        <v>0</v>
      </c>
      <c r="AN17" s="90">
        <f t="shared" si="2"/>
        <v>0</v>
      </c>
      <c r="AO17" s="90">
        <f t="shared" si="2"/>
        <v>0</v>
      </c>
      <c r="AP17" s="90">
        <f t="shared" si="2"/>
        <v>0</v>
      </c>
      <c r="AQ17" s="90">
        <f t="shared" si="2"/>
        <v>0</v>
      </c>
      <c r="AR17" s="90">
        <f t="shared" si="2"/>
        <v>0</v>
      </c>
      <c r="AS17" s="90">
        <f t="shared" si="2"/>
        <v>0</v>
      </c>
      <c r="AT17" s="90">
        <f t="shared" si="2"/>
        <v>0</v>
      </c>
      <c r="AU17" s="90">
        <f t="shared" si="2"/>
        <v>0</v>
      </c>
      <c r="AV17" s="90">
        <f t="shared" si="2"/>
        <v>0</v>
      </c>
      <c r="AW17" s="90">
        <f t="shared" si="2"/>
        <v>0</v>
      </c>
      <c r="AX17" s="90">
        <f t="shared" si="2"/>
        <v>0</v>
      </c>
      <c r="AY17" s="90">
        <f t="shared" si="2"/>
        <v>0</v>
      </c>
      <c r="AZ17" s="90">
        <f t="shared" si="2"/>
        <v>0</v>
      </c>
      <c r="BA17" s="90">
        <f t="shared" si="2"/>
        <v>0</v>
      </c>
      <c r="BB17" s="90">
        <f t="shared" si="2"/>
        <v>0</v>
      </c>
      <c r="BC17" s="90">
        <f t="shared" si="2"/>
        <v>0</v>
      </c>
      <c r="BD17" s="90">
        <f t="shared" si="2"/>
        <v>0</v>
      </c>
      <c r="BE17" s="90">
        <f t="shared" si="2"/>
        <v>0</v>
      </c>
      <c r="BF17" s="90">
        <f t="shared" si="2"/>
        <v>0</v>
      </c>
      <c r="BG17" s="90">
        <f t="shared" si="2"/>
        <v>0</v>
      </c>
      <c r="BH17" s="90">
        <f t="shared" si="2"/>
        <v>0</v>
      </c>
      <c r="BI17" s="90">
        <f t="shared" si="2"/>
        <v>0</v>
      </c>
      <c r="BJ17" s="90">
        <f t="shared" si="3"/>
        <v>0</v>
      </c>
      <c r="BK17" s="90">
        <f t="shared" si="3"/>
        <v>0</v>
      </c>
      <c r="BL17" s="90">
        <f t="shared" si="3"/>
        <v>0</v>
      </c>
      <c r="BM17" s="90">
        <f t="shared" si="3"/>
        <v>0</v>
      </c>
      <c r="BN17" s="90">
        <f t="shared" si="3"/>
        <v>0</v>
      </c>
      <c r="BO17" s="90">
        <f t="shared" si="3"/>
        <v>0</v>
      </c>
    </row>
    <row r="18" spans="1:67">
      <c r="A18" s="11"/>
      <c r="B18" s="11" t="s">
        <v>264</v>
      </c>
      <c r="C18" s="11"/>
      <c r="D18" s="16">
        <v>1</v>
      </c>
      <c r="E18" s="92">
        <v>84800000</v>
      </c>
      <c r="F18" s="90">
        <f>IF($D18*$E18*'01 Major Assumptions'!$D$189*'01 Major Assumptions'!$D$221*$I$209&gt;=1000000,ROUND($D18*$E18*'01 Major Assumptions'!$D$189*'01 Major Assumptions'!$D$221*$I$209,-6),ROUND($D18*$E18*'01 Major Assumptions'!$D$189*'01 Major Assumptions'!$D$221*$I$209,-5))</f>
        <v>66000000</v>
      </c>
      <c r="G18" s="90">
        <f t="shared" si="1"/>
        <v>0</v>
      </c>
      <c r="H18" s="90">
        <f t="shared" si="2"/>
        <v>0</v>
      </c>
      <c r="I18" s="90">
        <f t="shared" si="2"/>
        <v>0</v>
      </c>
      <c r="J18" s="90">
        <f t="shared" si="2"/>
        <v>19800000</v>
      </c>
      <c r="K18" s="90">
        <f t="shared" si="2"/>
        <v>2717647.0588235292</v>
      </c>
      <c r="L18" s="90">
        <f t="shared" si="2"/>
        <v>2717647.0588235292</v>
      </c>
      <c r="M18" s="90">
        <f t="shared" si="2"/>
        <v>2717647.0588235292</v>
      </c>
      <c r="N18" s="90">
        <f t="shared" si="2"/>
        <v>2717647.0588235292</v>
      </c>
      <c r="O18" s="90">
        <f t="shared" si="2"/>
        <v>2717647.0588235292</v>
      </c>
      <c r="P18" s="90">
        <f t="shared" si="2"/>
        <v>2717647.0588235292</v>
      </c>
      <c r="Q18" s="90">
        <f t="shared" si="2"/>
        <v>2717647.0588235292</v>
      </c>
      <c r="R18" s="90">
        <f t="shared" si="2"/>
        <v>2717647.0588235292</v>
      </c>
      <c r="S18" s="90">
        <f t="shared" si="2"/>
        <v>2717647.0588235292</v>
      </c>
      <c r="T18" s="90">
        <f t="shared" si="2"/>
        <v>2717647.0588235292</v>
      </c>
      <c r="U18" s="90">
        <f t="shared" si="2"/>
        <v>2717647.0588235292</v>
      </c>
      <c r="V18" s="90">
        <f t="shared" si="2"/>
        <v>2717647.0588235292</v>
      </c>
      <c r="W18" s="90">
        <f t="shared" si="2"/>
        <v>2717647.0588235292</v>
      </c>
      <c r="X18" s="90">
        <f t="shared" si="2"/>
        <v>2717647.0588235292</v>
      </c>
      <c r="Y18" s="90">
        <f t="shared" si="2"/>
        <v>2717647.0588235292</v>
      </c>
      <c r="Z18" s="90">
        <f t="shared" si="2"/>
        <v>2717647.0588235292</v>
      </c>
      <c r="AA18" s="90">
        <f t="shared" si="2"/>
        <v>2717647.0588235292</v>
      </c>
      <c r="AB18" s="90">
        <f t="shared" si="2"/>
        <v>0</v>
      </c>
      <c r="AC18" s="90">
        <f t="shared" si="2"/>
        <v>0</v>
      </c>
      <c r="AD18" s="90">
        <f t="shared" si="2"/>
        <v>0</v>
      </c>
      <c r="AE18" s="90">
        <f t="shared" si="2"/>
        <v>0</v>
      </c>
      <c r="AF18" s="90">
        <f t="shared" si="2"/>
        <v>0</v>
      </c>
      <c r="AG18" s="90">
        <f t="shared" si="2"/>
        <v>0</v>
      </c>
      <c r="AH18" s="90">
        <f t="shared" si="2"/>
        <v>0</v>
      </c>
      <c r="AI18" s="90">
        <f t="shared" si="2"/>
        <v>0</v>
      </c>
      <c r="AJ18" s="90">
        <f t="shared" si="2"/>
        <v>0</v>
      </c>
      <c r="AK18" s="90">
        <f t="shared" si="2"/>
        <v>0</v>
      </c>
      <c r="AL18" s="90">
        <f t="shared" si="2"/>
        <v>0</v>
      </c>
      <c r="AM18" s="90">
        <f t="shared" si="2"/>
        <v>0</v>
      </c>
      <c r="AN18" s="90">
        <f t="shared" si="2"/>
        <v>0</v>
      </c>
      <c r="AO18" s="90">
        <f t="shared" si="2"/>
        <v>0</v>
      </c>
      <c r="AP18" s="90">
        <f t="shared" si="2"/>
        <v>0</v>
      </c>
      <c r="AQ18" s="90">
        <f t="shared" si="2"/>
        <v>0</v>
      </c>
      <c r="AR18" s="90">
        <f t="shared" si="2"/>
        <v>0</v>
      </c>
      <c r="AS18" s="90">
        <f t="shared" si="2"/>
        <v>0</v>
      </c>
      <c r="AT18" s="90">
        <f t="shared" si="2"/>
        <v>0</v>
      </c>
      <c r="AU18" s="90">
        <f t="shared" si="2"/>
        <v>0</v>
      </c>
      <c r="AV18" s="90">
        <f t="shared" si="2"/>
        <v>0</v>
      </c>
      <c r="AW18" s="90">
        <f t="shared" si="2"/>
        <v>0</v>
      </c>
      <c r="AX18" s="90">
        <f t="shared" si="2"/>
        <v>0</v>
      </c>
      <c r="AY18" s="90">
        <f t="shared" si="2"/>
        <v>0</v>
      </c>
      <c r="AZ18" s="90">
        <f t="shared" si="2"/>
        <v>0</v>
      </c>
      <c r="BA18" s="90">
        <f t="shared" si="2"/>
        <v>0</v>
      </c>
      <c r="BB18" s="90">
        <f t="shared" si="2"/>
        <v>0</v>
      </c>
      <c r="BC18" s="90">
        <f t="shared" si="2"/>
        <v>0</v>
      </c>
      <c r="BD18" s="90">
        <f t="shared" si="2"/>
        <v>0</v>
      </c>
      <c r="BE18" s="90">
        <f t="shared" si="2"/>
        <v>0</v>
      </c>
      <c r="BF18" s="90">
        <f t="shared" si="2"/>
        <v>0</v>
      </c>
      <c r="BG18" s="90">
        <f t="shared" si="2"/>
        <v>0</v>
      </c>
      <c r="BH18" s="90">
        <f t="shared" si="2"/>
        <v>0</v>
      </c>
      <c r="BI18" s="90">
        <f t="shared" si="2"/>
        <v>0</v>
      </c>
      <c r="BJ18" s="90">
        <f t="shared" si="3"/>
        <v>0</v>
      </c>
      <c r="BK18" s="90">
        <f t="shared" si="3"/>
        <v>0</v>
      </c>
      <c r="BL18" s="90">
        <f t="shared" si="3"/>
        <v>0</v>
      </c>
      <c r="BM18" s="90">
        <f t="shared" si="3"/>
        <v>0</v>
      </c>
      <c r="BN18" s="90">
        <f t="shared" si="3"/>
        <v>0</v>
      </c>
      <c r="BO18" s="90">
        <f t="shared" si="3"/>
        <v>0</v>
      </c>
    </row>
    <row r="19" spans="1:67">
      <c r="A19" s="11"/>
      <c r="B19" s="11" t="s">
        <v>265</v>
      </c>
      <c r="C19" s="11"/>
      <c r="D19" s="16">
        <v>1</v>
      </c>
      <c r="E19" s="92">
        <v>65742516</v>
      </c>
      <c r="F19" s="90">
        <f>IF($D19*$E19*'01 Major Assumptions'!$D$189*'01 Major Assumptions'!$D$221*$I$210&gt;=1000000,ROUND($D19*$E19*'01 Major Assumptions'!$D$189*'01 Major Assumptions'!$D$221*$I$210,-6),ROUND($D19*$E19*'01 Major Assumptions'!$D$189*'01 Major Assumptions'!$D$221*$I$210,-5))</f>
        <v>51000000</v>
      </c>
      <c r="G19" s="90">
        <f t="shared" si="1"/>
        <v>0</v>
      </c>
      <c r="H19" s="90">
        <f t="shared" si="2"/>
        <v>0</v>
      </c>
      <c r="I19" s="90">
        <f t="shared" si="2"/>
        <v>0</v>
      </c>
      <c r="J19" s="90">
        <f t="shared" si="2"/>
        <v>15300000</v>
      </c>
      <c r="K19" s="90">
        <f t="shared" si="2"/>
        <v>2100000</v>
      </c>
      <c r="L19" s="90">
        <f t="shared" si="2"/>
        <v>2100000</v>
      </c>
      <c r="M19" s="90">
        <f t="shared" si="2"/>
        <v>2100000</v>
      </c>
      <c r="N19" s="90">
        <f t="shared" si="2"/>
        <v>2100000</v>
      </c>
      <c r="O19" s="90">
        <f t="shared" si="2"/>
        <v>2100000</v>
      </c>
      <c r="P19" s="90">
        <f t="shared" si="2"/>
        <v>2100000</v>
      </c>
      <c r="Q19" s="90">
        <f t="shared" si="2"/>
        <v>2100000</v>
      </c>
      <c r="R19" s="90">
        <f t="shared" si="2"/>
        <v>2100000</v>
      </c>
      <c r="S19" s="90">
        <f t="shared" si="2"/>
        <v>2100000</v>
      </c>
      <c r="T19" s="90">
        <f t="shared" si="2"/>
        <v>2100000</v>
      </c>
      <c r="U19" s="90">
        <f t="shared" si="2"/>
        <v>2100000</v>
      </c>
      <c r="V19" s="90">
        <f t="shared" si="2"/>
        <v>2100000</v>
      </c>
      <c r="W19" s="90">
        <f t="shared" si="2"/>
        <v>2100000</v>
      </c>
      <c r="X19" s="90">
        <f t="shared" si="2"/>
        <v>2100000</v>
      </c>
      <c r="Y19" s="90">
        <f t="shared" si="2"/>
        <v>2100000</v>
      </c>
      <c r="Z19" s="90">
        <f t="shared" si="2"/>
        <v>2100000</v>
      </c>
      <c r="AA19" s="90">
        <f t="shared" si="2"/>
        <v>2100000</v>
      </c>
      <c r="AB19" s="90">
        <f t="shared" si="2"/>
        <v>0</v>
      </c>
      <c r="AC19" s="90">
        <f t="shared" si="2"/>
        <v>0</v>
      </c>
      <c r="AD19" s="90">
        <f t="shared" si="2"/>
        <v>0</v>
      </c>
      <c r="AE19" s="90">
        <f t="shared" si="2"/>
        <v>0</v>
      </c>
      <c r="AF19" s="90">
        <f t="shared" si="2"/>
        <v>0</v>
      </c>
      <c r="AG19" s="90">
        <f t="shared" si="2"/>
        <v>0</v>
      </c>
      <c r="AH19" s="90">
        <f t="shared" si="2"/>
        <v>0</v>
      </c>
      <c r="AI19" s="90">
        <f t="shared" si="2"/>
        <v>0</v>
      </c>
      <c r="AJ19" s="90">
        <f t="shared" si="2"/>
        <v>0</v>
      </c>
      <c r="AK19" s="90">
        <f t="shared" si="2"/>
        <v>0</v>
      </c>
      <c r="AL19" s="90">
        <f t="shared" si="2"/>
        <v>0</v>
      </c>
      <c r="AM19" s="90">
        <f t="shared" si="2"/>
        <v>0</v>
      </c>
      <c r="AN19" s="90">
        <f t="shared" si="2"/>
        <v>0</v>
      </c>
      <c r="AO19" s="90">
        <f t="shared" si="2"/>
        <v>0</v>
      </c>
      <c r="AP19" s="90">
        <f t="shared" si="2"/>
        <v>0</v>
      </c>
      <c r="AQ19" s="90">
        <f t="shared" si="2"/>
        <v>0</v>
      </c>
      <c r="AR19" s="90">
        <f t="shared" si="2"/>
        <v>0</v>
      </c>
      <c r="AS19" s="90">
        <f t="shared" si="2"/>
        <v>0</v>
      </c>
      <c r="AT19" s="90">
        <f t="shared" si="2"/>
        <v>0</v>
      </c>
      <c r="AU19" s="90">
        <f t="shared" ref="AU19:BJ26" si="4">$F19*AU$9</f>
        <v>0</v>
      </c>
      <c r="AV19" s="90">
        <f t="shared" si="4"/>
        <v>0</v>
      </c>
      <c r="AW19" s="90">
        <f t="shared" si="4"/>
        <v>0</v>
      </c>
      <c r="AX19" s="90">
        <f t="shared" si="4"/>
        <v>0</v>
      </c>
      <c r="AY19" s="90">
        <f t="shared" si="4"/>
        <v>0</v>
      </c>
      <c r="AZ19" s="90">
        <f t="shared" si="4"/>
        <v>0</v>
      </c>
      <c r="BA19" s="90">
        <f t="shared" si="4"/>
        <v>0</v>
      </c>
      <c r="BB19" s="90">
        <f t="shared" si="4"/>
        <v>0</v>
      </c>
      <c r="BC19" s="90">
        <f t="shared" si="4"/>
        <v>0</v>
      </c>
      <c r="BD19" s="90">
        <f t="shared" si="4"/>
        <v>0</v>
      </c>
      <c r="BE19" s="90">
        <f t="shared" si="4"/>
        <v>0</v>
      </c>
      <c r="BF19" s="90">
        <f t="shared" si="4"/>
        <v>0</v>
      </c>
      <c r="BG19" s="90">
        <f t="shared" si="4"/>
        <v>0</v>
      </c>
      <c r="BH19" s="90">
        <f t="shared" si="4"/>
        <v>0</v>
      </c>
      <c r="BI19" s="90">
        <f t="shared" si="4"/>
        <v>0</v>
      </c>
      <c r="BJ19" s="90">
        <f t="shared" si="4"/>
        <v>0</v>
      </c>
      <c r="BK19" s="90">
        <f t="shared" si="3"/>
        <v>0</v>
      </c>
      <c r="BL19" s="90">
        <f t="shared" si="3"/>
        <v>0</v>
      </c>
      <c r="BM19" s="90">
        <f t="shared" si="3"/>
        <v>0</v>
      </c>
      <c r="BN19" s="90">
        <f t="shared" si="3"/>
        <v>0</v>
      </c>
      <c r="BO19" s="90">
        <f t="shared" si="3"/>
        <v>0</v>
      </c>
    </row>
    <row r="20" spans="1:67">
      <c r="A20" s="11"/>
      <c r="B20" s="11" t="s">
        <v>266</v>
      </c>
      <c r="C20" s="11"/>
      <c r="D20" s="16">
        <v>1</v>
      </c>
      <c r="E20" s="92">
        <v>109570860</v>
      </c>
      <c r="F20" s="90">
        <f>IF($D20*$E20*'01 Major Assumptions'!$D$189*'01 Major Assumptions'!$D$221*$I$211&gt;=1000000,ROUND($D20*$E20*'01 Major Assumptions'!$D$189*'01 Major Assumptions'!$D$221*$I$211,-6),ROUND($D20*$E20*'01 Major Assumptions'!$D$189*'01 Major Assumptions'!$D$221*$I$211,-5))</f>
        <v>85000000</v>
      </c>
      <c r="G20" s="90">
        <f t="shared" si="1"/>
        <v>0</v>
      </c>
      <c r="H20" s="90">
        <f t="shared" ref="H20:AT26" si="5">$F20*H$9</f>
        <v>0</v>
      </c>
      <c r="I20" s="90">
        <f t="shared" si="5"/>
        <v>0</v>
      </c>
      <c r="J20" s="90">
        <f t="shared" si="5"/>
        <v>25500000</v>
      </c>
      <c r="K20" s="90">
        <f t="shared" si="5"/>
        <v>3500000</v>
      </c>
      <c r="L20" s="90">
        <f t="shared" si="5"/>
        <v>3500000</v>
      </c>
      <c r="M20" s="90">
        <f t="shared" si="5"/>
        <v>3500000</v>
      </c>
      <c r="N20" s="90">
        <f t="shared" si="5"/>
        <v>3500000</v>
      </c>
      <c r="O20" s="90">
        <f t="shared" si="5"/>
        <v>3500000</v>
      </c>
      <c r="P20" s="90">
        <f t="shared" si="5"/>
        <v>3500000</v>
      </c>
      <c r="Q20" s="90">
        <f t="shared" si="5"/>
        <v>3500000</v>
      </c>
      <c r="R20" s="90">
        <f t="shared" si="5"/>
        <v>3500000</v>
      </c>
      <c r="S20" s="90">
        <f t="shared" si="5"/>
        <v>3500000</v>
      </c>
      <c r="T20" s="90">
        <f t="shared" si="5"/>
        <v>3500000</v>
      </c>
      <c r="U20" s="90">
        <f t="shared" si="5"/>
        <v>3500000</v>
      </c>
      <c r="V20" s="90">
        <f t="shared" si="5"/>
        <v>3500000</v>
      </c>
      <c r="W20" s="90">
        <f t="shared" si="5"/>
        <v>3500000</v>
      </c>
      <c r="X20" s="90">
        <f t="shared" si="5"/>
        <v>3500000</v>
      </c>
      <c r="Y20" s="90">
        <f t="shared" si="5"/>
        <v>3500000</v>
      </c>
      <c r="Z20" s="90">
        <f t="shared" si="5"/>
        <v>3500000</v>
      </c>
      <c r="AA20" s="90">
        <f t="shared" si="5"/>
        <v>3500000</v>
      </c>
      <c r="AB20" s="90">
        <f t="shared" si="5"/>
        <v>0</v>
      </c>
      <c r="AC20" s="90">
        <f t="shared" si="5"/>
        <v>0</v>
      </c>
      <c r="AD20" s="90">
        <f t="shared" si="5"/>
        <v>0</v>
      </c>
      <c r="AE20" s="90">
        <f t="shared" si="5"/>
        <v>0</v>
      </c>
      <c r="AF20" s="90">
        <f t="shared" si="5"/>
        <v>0</v>
      </c>
      <c r="AG20" s="90">
        <f t="shared" si="5"/>
        <v>0</v>
      </c>
      <c r="AH20" s="90">
        <f t="shared" si="5"/>
        <v>0</v>
      </c>
      <c r="AI20" s="90">
        <f t="shared" si="5"/>
        <v>0</v>
      </c>
      <c r="AJ20" s="90">
        <f t="shared" si="5"/>
        <v>0</v>
      </c>
      <c r="AK20" s="90">
        <f t="shared" si="5"/>
        <v>0</v>
      </c>
      <c r="AL20" s="90">
        <f t="shared" si="5"/>
        <v>0</v>
      </c>
      <c r="AM20" s="90">
        <f t="shared" si="5"/>
        <v>0</v>
      </c>
      <c r="AN20" s="90">
        <f t="shared" si="5"/>
        <v>0</v>
      </c>
      <c r="AO20" s="90">
        <f t="shared" si="5"/>
        <v>0</v>
      </c>
      <c r="AP20" s="90">
        <f t="shared" si="5"/>
        <v>0</v>
      </c>
      <c r="AQ20" s="90">
        <f t="shared" si="5"/>
        <v>0</v>
      </c>
      <c r="AR20" s="90">
        <f t="shared" si="5"/>
        <v>0</v>
      </c>
      <c r="AS20" s="90">
        <f t="shared" si="5"/>
        <v>0</v>
      </c>
      <c r="AT20" s="90">
        <f t="shared" si="5"/>
        <v>0</v>
      </c>
      <c r="AU20" s="90">
        <f t="shared" si="4"/>
        <v>0</v>
      </c>
      <c r="AV20" s="90">
        <f t="shared" si="4"/>
        <v>0</v>
      </c>
      <c r="AW20" s="90">
        <f t="shared" si="4"/>
        <v>0</v>
      </c>
      <c r="AX20" s="90">
        <f t="shared" si="4"/>
        <v>0</v>
      </c>
      <c r="AY20" s="90">
        <f t="shared" si="4"/>
        <v>0</v>
      </c>
      <c r="AZ20" s="90">
        <f t="shared" si="4"/>
        <v>0</v>
      </c>
      <c r="BA20" s="90">
        <f t="shared" si="4"/>
        <v>0</v>
      </c>
      <c r="BB20" s="90">
        <f t="shared" si="4"/>
        <v>0</v>
      </c>
      <c r="BC20" s="90">
        <f t="shared" si="4"/>
        <v>0</v>
      </c>
      <c r="BD20" s="90">
        <f t="shared" si="4"/>
        <v>0</v>
      </c>
      <c r="BE20" s="90">
        <f t="shared" si="4"/>
        <v>0</v>
      </c>
      <c r="BF20" s="90">
        <f t="shared" si="4"/>
        <v>0</v>
      </c>
      <c r="BG20" s="90">
        <f t="shared" si="4"/>
        <v>0</v>
      </c>
      <c r="BH20" s="90">
        <f t="shared" si="4"/>
        <v>0</v>
      </c>
      <c r="BI20" s="90">
        <f t="shared" si="4"/>
        <v>0</v>
      </c>
      <c r="BJ20" s="90">
        <f t="shared" si="3"/>
        <v>0</v>
      </c>
      <c r="BK20" s="90">
        <f t="shared" si="3"/>
        <v>0</v>
      </c>
      <c r="BL20" s="90">
        <f t="shared" si="3"/>
        <v>0</v>
      </c>
      <c r="BM20" s="90">
        <f t="shared" si="3"/>
        <v>0</v>
      </c>
      <c r="BN20" s="90">
        <f t="shared" si="3"/>
        <v>0</v>
      </c>
      <c r="BO20" s="90">
        <f t="shared" si="3"/>
        <v>0</v>
      </c>
    </row>
    <row r="21" spans="1:67">
      <c r="A21" s="11"/>
      <c r="B21" s="11" t="s">
        <v>267</v>
      </c>
      <c r="C21" s="11"/>
      <c r="D21" s="16">
        <v>1</v>
      </c>
      <c r="E21" s="92">
        <v>69394878</v>
      </c>
      <c r="F21" s="90">
        <f>IF($D21*$E21*'01 Major Assumptions'!$D$189*'01 Major Assumptions'!$D$221*$I$212&gt;=1000000,ROUND($D21*$E21*'01 Major Assumptions'!$D$189*'01 Major Assumptions'!$D$221*$I$212,-6),ROUND($D21*$E21*'01 Major Assumptions'!$D$189*'01 Major Assumptions'!$D$221*$I$212,-5))</f>
        <v>54000000</v>
      </c>
      <c r="G21" s="90">
        <f t="shared" si="1"/>
        <v>0</v>
      </c>
      <c r="H21" s="90">
        <f t="shared" si="5"/>
        <v>0</v>
      </c>
      <c r="I21" s="90">
        <f t="shared" si="5"/>
        <v>0</v>
      </c>
      <c r="J21" s="90">
        <f t="shared" si="5"/>
        <v>16200000</v>
      </c>
      <c r="K21" s="90">
        <f t="shared" si="5"/>
        <v>2223529.411764706</v>
      </c>
      <c r="L21" s="90">
        <f t="shared" si="5"/>
        <v>2223529.411764706</v>
      </c>
      <c r="M21" s="90">
        <f t="shared" si="5"/>
        <v>2223529.411764706</v>
      </c>
      <c r="N21" s="90">
        <f t="shared" si="5"/>
        <v>2223529.411764706</v>
      </c>
      <c r="O21" s="90">
        <f t="shared" si="5"/>
        <v>2223529.411764706</v>
      </c>
      <c r="P21" s="90">
        <f t="shared" si="5"/>
        <v>2223529.411764706</v>
      </c>
      <c r="Q21" s="90">
        <f t="shared" si="5"/>
        <v>2223529.411764706</v>
      </c>
      <c r="R21" s="90">
        <f t="shared" si="5"/>
        <v>2223529.411764706</v>
      </c>
      <c r="S21" s="90">
        <f t="shared" si="5"/>
        <v>2223529.411764706</v>
      </c>
      <c r="T21" s="90">
        <f t="shared" si="5"/>
        <v>2223529.411764706</v>
      </c>
      <c r="U21" s="90">
        <f t="shared" si="5"/>
        <v>2223529.411764706</v>
      </c>
      <c r="V21" s="90">
        <f t="shared" si="5"/>
        <v>2223529.411764706</v>
      </c>
      <c r="W21" s="90">
        <f t="shared" si="5"/>
        <v>2223529.411764706</v>
      </c>
      <c r="X21" s="90">
        <f t="shared" si="5"/>
        <v>2223529.411764706</v>
      </c>
      <c r="Y21" s="90">
        <f t="shared" si="5"/>
        <v>2223529.411764706</v>
      </c>
      <c r="Z21" s="90">
        <f t="shared" si="5"/>
        <v>2223529.411764706</v>
      </c>
      <c r="AA21" s="90">
        <f t="shared" si="5"/>
        <v>2223529.411764706</v>
      </c>
      <c r="AB21" s="90">
        <f t="shared" si="5"/>
        <v>0</v>
      </c>
      <c r="AC21" s="90">
        <f t="shared" si="5"/>
        <v>0</v>
      </c>
      <c r="AD21" s="90">
        <f t="shared" si="5"/>
        <v>0</v>
      </c>
      <c r="AE21" s="90">
        <f t="shared" si="5"/>
        <v>0</v>
      </c>
      <c r="AF21" s="90">
        <f t="shared" si="5"/>
        <v>0</v>
      </c>
      <c r="AG21" s="90">
        <f t="shared" si="5"/>
        <v>0</v>
      </c>
      <c r="AH21" s="90">
        <f t="shared" si="5"/>
        <v>0</v>
      </c>
      <c r="AI21" s="90">
        <f t="shared" si="5"/>
        <v>0</v>
      </c>
      <c r="AJ21" s="90">
        <f t="shared" si="5"/>
        <v>0</v>
      </c>
      <c r="AK21" s="90">
        <f t="shared" si="5"/>
        <v>0</v>
      </c>
      <c r="AL21" s="90">
        <f t="shared" si="5"/>
        <v>0</v>
      </c>
      <c r="AM21" s="90">
        <f t="shared" si="5"/>
        <v>0</v>
      </c>
      <c r="AN21" s="90">
        <f t="shared" si="5"/>
        <v>0</v>
      </c>
      <c r="AO21" s="90">
        <f t="shared" si="5"/>
        <v>0</v>
      </c>
      <c r="AP21" s="90">
        <f t="shared" si="5"/>
        <v>0</v>
      </c>
      <c r="AQ21" s="90">
        <f t="shared" si="5"/>
        <v>0</v>
      </c>
      <c r="AR21" s="90">
        <f t="shared" si="5"/>
        <v>0</v>
      </c>
      <c r="AS21" s="90">
        <f t="shared" si="5"/>
        <v>0</v>
      </c>
      <c r="AT21" s="90">
        <f t="shared" si="5"/>
        <v>0</v>
      </c>
      <c r="AU21" s="90">
        <f t="shared" si="4"/>
        <v>0</v>
      </c>
      <c r="AV21" s="90">
        <f t="shared" si="4"/>
        <v>0</v>
      </c>
      <c r="AW21" s="90">
        <f t="shared" si="4"/>
        <v>0</v>
      </c>
      <c r="AX21" s="90">
        <f t="shared" si="4"/>
        <v>0</v>
      </c>
      <c r="AY21" s="90">
        <f t="shared" si="4"/>
        <v>0</v>
      </c>
      <c r="AZ21" s="90">
        <f t="shared" si="4"/>
        <v>0</v>
      </c>
      <c r="BA21" s="90">
        <f t="shared" si="4"/>
        <v>0</v>
      </c>
      <c r="BB21" s="90">
        <f t="shared" si="4"/>
        <v>0</v>
      </c>
      <c r="BC21" s="90">
        <f t="shared" si="4"/>
        <v>0</v>
      </c>
      <c r="BD21" s="90">
        <f t="shared" si="4"/>
        <v>0</v>
      </c>
      <c r="BE21" s="90">
        <f t="shared" si="4"/>
        <v>0</v>
      </c>
      <c r="BF21" s="90">
        <f t="shared" si="4"/>
        <v>0</v>
      </c>
      <c r="BG21" s="90">
        <f t="shared" si="4"/>
        <v>0</v>
      </c>
      <c r="BH21" s="90">
        <f t="shared" si="4"/>
        <v>0</v>
      </c>
      <c r="BI21" s="90">
        <f t="shared" si="4"/>
        <v>0</v>
      </c>
      <c r="BJ21" s="90">
        <f t="shared" si="3"/>
        <v>0</v>
      </c>
      <c r="BK21" s="90">
        <f t="shared" si="3"/>
        <v>0</v>
      </c>
      <c r="BL21" s="90">
        <f t="shared" si="3"/>
        <v>0</v>
      </c>
      <c r="BM21" s="90">
        <f t="shared" si="3"/>
        <v>0</v>
      </c>
      <c r="BN21" s="90">
        <f t="shared" si="3"/>
        <v>0</v>
      </c>
      <c r="BO21" s="90">
        <f t="shared" si="3"/>
        <v>0</v>
      </c>
    </row>
    <row r="22" spans="1:67">
      <c r="A22" s="11"/>
      <c r="B22" s="11" t="s">
        <v>268</v>
      </c>
      <c r="C22" s="11"/>
      <c r="D22" s="16">
        <v>1</v>
      </c>
      <c r="E22" s="92">
        <v>20000000</v>
      </c>
      <c r="F22" s="90">
        <f>IF($D22*$E22*'01 Major Assumptions'!$D$189*'01 Major Assumptions'!$D$221*$I$213&gt;=1000000,ROUND($D22*$E22*'01 Major Assumptions'!$D$189*'01 Major Assumptions'!$D$221*$I$213,-6),ROUND($D22*$E22*'01 Major Assumptions'!$D$189*'01 Major Assumptions'!$D$221*$I$213,-5))</f>
        <v>15000000</v>
      </c>
      <c r="G22" s="90">
        <f t="shared" si="1"/>
        <v>0</v>
      </c>
      <c r="H22" s="90">
        <f t="shared" si="5"/>
        <v>0</v>
      </c>
      <c r="I22" s="90">
        <f t="shared" si="5"/>
        <v>0</v>
      </c>
      <c r="J22" s="90">
        <f t="shared" si="5"/>
        <v>4500000</v>
      </c>
      <c r="K22" s="90">
        <f t="shared" si="5"/>
        <v>617647.0588235294</v>
      </c>
      <c r="L22" s="90">
        <f t="shared" si="5"/>
        <v>617647.0588235294</v>
      </c>
      <c r="M22" s="90">
        <f t="shared" si="5"/>
        <v>617647.0588235294</v>
      </c>
      <c r="N22" s="90">
        <f t="shared" si="5"/>
        <v>617647.0588235294</v>
      </c>
      <c r="O22" s="90">
        <f t="shared" si="5"/>
        <v>617647.0588235294</v>
      </c>
      <c r="P22" s="90">
        <f t="shared" si="5"/>
        <v>617647.0588235294</v>
      </c>
      <c r="Q22" s="90">
        <f t="shared" si="5"/>
        <v>617647.0588235294</v>
      </c>
      <c r="R22" s="90">
        <f t="shared" si="5"/>
        <v>617647.0588235294</v>
      </c>
      <c r="S22" s="90">
        <f t="shared" si="5"/>
        <v>617647.0588235294</v>
      </c>
      <c r="T22" s="90">
        <f t="shared" si="5"/>
        <v>617647.0588235294</v>
      </c>
      <c r="U22" s="90">
        <f t="shared" si="5"/>
        <v>617647.0588235294</v>
      </c>
      <c r="V22" s="90">
        <f t="shared" si="5"/>
        <v>617647.0588235294</v>
      </c>
      <c r="W22" s="90">
        <f t="shared" si="5"/>
        <v>617647.0588235294</v>
      </c>
      <c r="X22" s="90">
        <f t="shared" si="5"/>
        <v>617647.0588235294</v>
      </c>
      <c r="Y22" s="90">
        <f t="shared" si="5"/>
        <v>617647.0588235294</v>
      </c>
      <c r="Z22" s="90">
        <f t="shared" si="5"/>
        <v>617647.0588235294</v>
      </c>
      <c r="AA22" s="90">
        <f t="shared" si="5"/>
        <v>617647.0588235294</v>
      </c>
      <c r="AB22" s="90">
        <f t="shared" si="5"/>
        <v>0</v>
      </c>
      <c r="AC22" s="90">
        <f t="shared" si="5"/>
        <v>0</v>
      </c>
      <c r="AD22" s="90">
        <f t="shared" si="5"/>
        <v>0</v>
      </c>
      <c r="AE22" s="90">
        <f t="shared" si="5"/>
        <v>0</v>
      </c>
      <c r="AF22" s="90">
        <f t="shared" si="5"/>
        <v>0</v>
      </c>
      <c r="AG22" s="90">
        <f t="shared" si="5"/>
        <v>0</v>
      </c>
      <c r="AH22" s="90">
        <f t="shared" si="5"/>
        <v>0</v>
      </c>
      <c r="AI22" s="90">
        <f t="shared" si="5"/>
        <v>0</v>
      </c>
      <c r="AJ22" s="90">
        <f t="shared" si="5"/>
        <v>0</v>
      </c>
      <c r="AK22" s="90">
        <f t="shared" si="5"/>
        <v>0</v>
      </c>
      <c r="AL22" s="90">
        <f t="shared" si="5"/>
        <v>0</v>
      </c>
      <c r="AM22" s="90">
        <f t="shared" si="5"/>
        <v>0</v>
      </c>
      <c r="AN22" s="90">
        <f t="shared" si="5"/>
        <v>0</v>
      </c>
      <c r="AO22" s="90">
        <f t="shared" si="5"/>
        <v>0</v>
      </c>
      <c r="AP22" s="90">
        <f t="shared" si="5"/>
        <v>0</v>
      </c>
      <c r="AQ22" s="90">
        <f t="shared" si="5"/>
        <v>0</v>
      </c>
      <c r="AR22" s="90">
        <f t="shared" si="5"/>
        <v>0</v>
      </c>
      <c r="AS22" s="90">
        <f t="shared" si="5"/>
        <v>0</v>
      </c>
      <c r="AT22" s="90">
        <f t="shared" si="5"/>
        <v>0</v>
      </c>
      <c r="AU22" s="90">
        <f t="shared" si="4"/>
        <v>0</v>
      </c>
      <c r="AV22" s="90">
        <f t="shared" si="4"/>
        <v>0</v>
      </c>
      <c r="AW22" s="90">
        <f t="shared" si="4"/>
        <v>0</v>
      </c>
      <c r="AX22" s="90">
        <f t="shared" si="4"/>
        <v>0</v>
      </c>
      <c r="AY22" s="90">
        <f t="shared" si="4"/>
        <v>0</v>
      </c>
      <c r="AZ22" s="90">
        <f t="shared" si="4"/>
        <v>0</v>
      </c>
      <c r="BA22" s="90">
        <f t="shared" si="4"/>
        <v>0</v>
      </c>
      <c r="BB22" s="90">
        <f t="shared" si="4"/>
        <v>0</v>
      </c>
      <c r="BC22" s="90">
        <f t="shared" si="4"/>
        <v>0</v>
      </c>
      <c r="BD22" s="90">
        <f t="shared" si="4"/>
        <v>0</v>
      </c>
      <c r="BE22" s="90">
        <f t="shared" si="4"/>
        <v>0</v>
      </c>
      <c r="BF22" s="90">
        <f t="shared" si="4"/>
        <v>0</v>
      </c>
      <c r="BG22" s="90">
        <f t="shared" si="4"/>
        <v>0</v>
      </c>
      <c r="BH22" s="90">
        <f t="shared" si="4"/>
        <v>0</v>
      </c>
      <c r="BI22" s="90">
        <f t="shared" si="4"/>
        <v>0</v>
      </c>
      <c r="BJ22" s="90">
        <f t="shared" si="3"/>
        <v>0</v>
      </c>
      <c r="BK22" s="90">
        <f t="shared" si="3"/>
        <v>0</v>
      </c>
      <c r="BL22" s="90">
        <f t="shared" si="3"/>
        <v>0</v>
      </c>
      <c r="BM22" s="90">
        <f t="shared" si="3"/>
        <v>0</v>
      </c>
      <c r="BN22" s="90">
        <f t="shared" si="3"/>
        <v>0</v>
      </c>
      <c r="BO22" s="90">
        <f t="shared" si="3"/>
        <v>0</v>
      </c>
    </row>
    <row r="23" spans="1:67">
      <c r="A23" s="11"/>
      <c r="B23" s="11" t="s">
        <v>269</v>
      </c>
      <c r="C23" s="11"/>
      <c r="D23" s="16">
        <v>1</v>
      </c>
      <c r="E23" s="92">
        <v>7000000</v>
      </c>
      <c r="F23" s="90">
        <f>IF($D23*$E23*'01 Major Assumptions'!$D$189*'01 Major Assumptions'!$D$221*$I$214&gt;=1000000,ROUND($D23*$E23*'01 Major Assumptions'!$D$189*'01 Major Assumptions'!$D$221*$I$214,-6),ROUND($D23*$E23*'01 Major Assumptions'!$D$189*'01 Major Assumptions'!$D$221*$I$214,-5))</f>
        <v>8000000</v>
      </c>
      <c r="G23" s="90">
        <f t="shared" si="1"/>
        <v>0</v>
      </c>
      <c r="H23" s="90">
        <f t="shared" si="5"/>
        <v>0</v>
      </c>
      <c r="I23" s="90">
        <f t="shared" si="5"/>
        <v>0</v>
      </c>
      <c r="J23" s="90">
        <f t="shared" si="5"/>
        <v>2400000</v>
      </c>
      <c r="K23" s="90">
        <f t="shared" si="5"/>
        <v>329411.76470588235</v>
      </c>
      <c r="L23" s="90">
        <f t="shared" si="5"/>
        <v>329411.76470588235</v>
      </c>
      <c r="M23" s="90">
        <f t="shared" si="5"/>
        <v>329411.76470588235</v>
      </c>
      <c r="N23" s="90">
        <f t="shared" si="5"/>
        <v>329411.76470588235</v>
      </c>
      <c r="O23" s="90">
        <f t="shared" si="5"/>
        <v>329411.76470588235</v>
      </c>
      <c r="P23" s="90">
        <f t="shared" si="5"/>
        <v>329411.76470588235</v>
      </c>
      <c r="Q23" s="90">
        <f t="shared" si="5"/>
        <v>329411.76470588235</v>
      </c>
      <c r="R23" s="90">
        <f t="shared" si="5"/>
        <v>329411.76470588235</v>
      </c>
      <c r="S23" s="90">
        <f t="shared" si="5"/>
        <v>329411.76470588235</v>
      </c>
      <c r="T23" s="90">
        <f t="shared" si="5"/>
        <v>329411.76470588235</v>
      </c>
      <c r="U23" s="90">
        <f t="shared" si="5"/>
        <v>329411.76470588235</v>
      </c>
      <c r="V23" s="90">
        <f t="shared" si="5"/>
        <v>329411.76470588235</v>
      </c>
      <c r="W23" s="90">
        <f t="shared" si="5"/>
        <v>329411.76470588235</v>
      </c>
      <c r="X23" s="90">
        <f t="shared" si="5"/>
        <v>329411.76470588235</v>
      </c>
      <c r="Y23" s="90">
        <f t="shared" si="5"/>
        <v>329411.76470588235</v>
      </c>
      <c r="Z23" s="90">
        <f t="shared" si="5"/>
        <v>329411.76470588235</v>
      </c>
      <c r="AA23" s="90">
        <f t="shared" si="5"/>
        <v>329411.76470588235</v>
      </c>
      <c r="AB23" s="90">
        <f t="shared" si="5"/>
        <v>0</v>
      </c>
      <c r="AC23" s="90">
        <f t="shared" si="5"/>
        <v>0</v>
      </c>
      <c r="AD23" s="90">
        <f t="shared" si="5"/>
        <v>0</v>
      </c>
      <c r="AE23" s="90">
        <f t="shared" si="5"/>
        <v>0</v>
      </c>
      <c r="AF23" s="90">
        <f t="shared" si="5"/>
        <v>0</v>
      </c>
      <c r="AG23" s="90">
        <f t="shared" si="5"/>
        <v>0</v>
      </c>
      <c r="AH23" s="90">
        <f t="shared" si="5"/>
        <v>0</v>
      </c>
      <c r="AI23" s="90">
        <f t="shared" si="5"/>
        <v>0</v>
      </c>
      <c r="AJ23" s="90">
        <f t="shared" si="5"/>
        <v>0</v>
      </c>
      <c r="AK23" s="90">
        <f t="shared" si="5"/>
        <v>0</v>
      </c>
      <c r="AL23" s="90">
        <f t="shared" si="5"/>
        <v>0</v>
      </c>
      <c r="AM23" s="90">
        <f t="shared" si="5"/>
        <v>0</v>
      </c>
      <c r="AN23" s="90">
        <f t="shared" si="5"/>
        <v>0</v>
      </c>
      <c r="AO23" s="90">
        <f t="shared" si="5"/>
        <v>0</v>
      </c>
      <c r="AP23" s="90">
        <f t="shared" si="5"/>
        <v>0</v>
      </c>
      <c r="AQ23" s="90">
        <f t="shared" si="5"/>
        <v>0</v>
      </c>
      <c r="AR23" s="90">
        <f t="shared" si="5"/>
        <v>0</v>
      </c>
      <c r="AS23" s="90">
        <f t="shared" si="5"/>
        <v>0</v>
      </c>
      <c r="AT23" s="90">
        <f t="shared" si="5"/>
        <v>0</v>
      </c>
      <c r="AU23" s="90">
        <f t="shared" si="4"/>
        <v>0</v>
      </c>
      <c r="AV23" s="90">
        <f t="shared" si="4"/>
        <v>0</v>
      </c>
      <c r="AW23" s="90">
        <f t="shared" si="4"/>
        <v>0</v>
      </c>
      <c r="AX23" s="90">
        <f t="shared" si="4"/>
        <v>0</v>
      </c>
      <c r="AY23" s="90">
        <f t="shared" si="4"/>
        <v>0</v>
      </c>
      <c r="AZ23" s="90">
        <f t="shared" si="4"/>
        <v>0</v>
      </c>
      <c r="BA23" s="90">
        <f t="shared" si="4"/>
        <v>0</v>
      </c>
      <c r="BB23" s="90">
        <f t="shared" si="4"/>
        <v>0</v>
      </c>
      <c r="BC23" s="90">
        <f t="shared" si="4"/>
        <v>0</v>
      </c>
      <c r="BD23" s="90">
        <f t="shared" si="4"/>
        <v>0</v>
      </c>
      <c r="BE23" s="90">
        <f t="shared" si="4"/>
        <v>0</v>
      </c>
      <c r="BF23" s="90">
        <f t="shared" si="4"/>
        <v>0</v>
      </c>
      <c r="BG23" s="90">
        <f t="shared" si="4"/>
        <v>0</v>
      </c>
      <c r="BH23" s="90">
        <f t="shared" si="4"/>
        <v>0</v>
      </c>
      <c r="BI23" s="90">
        <f t="shared" si="4"/>
        <v>0</v>
      </c>
      <c r="BJ23" s="90">
        <f t="shared" si="3"/>
        <v>0</v>
      </c>
      <c r="BK23" s="90">
        <f t="shared" si="3"/>
        <v>0</v>
      </c>
      <c r="BL23" s="90">
        <f t="shared" si="3"/>
        <v>0</v>
      </c>
      <c r="BM23" s="90">
        <f t="shared" si="3"/>
        <v>0</v>
      </c>
      <c r="BN23" s="90">
        <f t="shared" si="3"/>
        <v>0</v>
      </c>
      <c r="BO23" s="90">
        <f t="shared" si="3"/>
        <v>0</v>
      </c>
    </row>
    <row r="24" spans="1:67">
      <c r="A24" s="11"/>
      <c r="B24" s="11" t="s">
        <v>270</v>
      </c>
      <c r="C24" s="11"/>
      <c r="D24" s="16">
        <v>1</v>
      </c>
      <c r="E24" s="92">
        <v>7000000</v>
      </c>
      <c r="F24" s="90">
        <f>IF($D24*$E24*'01 Major Assumptions'!$D$189*'01 Major Assumptions'!$D$221*$I$215&gt;=1000000,ROUND($D24*$E24*'01 Major Assumptions'!$D$189*'01 Major Assumptions'!$D$221*$I$215,-6),ROUND($D24*$E24*'01 Major Assumptions'!$D$189*'01 Major Assumptions'!$D$221*$I$215,-5))</f>
        <v>5000000</v>
      </c>
      <c r="G24" s="90">
        <f t="shared" si="1"/>
        <v>0</v>
      </c>
      <c r="H24" s="90">
        <f t="shared" si="5"/>
        <v>0</v>
      </c>
      <c r="I24" s="90">
        <f t="shared" si="5"/>
        <v>0</v>
      </c>
      <c r="J24" s="90">
        <f t="shared" si="5"/>
        <v>1500000</v>
      </c>
      <c r="K24" s="90">
        <f t="shared" si="5"/>
        <v>205882.35294117648</v>
      </c>
      <c r="L24" s="90">
        <f t="shared" si="5"/>
        <v>205882.35294117648</v>
      </c>
      <c r="M24" s="90">
        <f t="shared" si="5"/>
        <v>205882.35294117648</v>
      </c>
      <c r="N24" s="90">
        <f t="shared" si="5"/>
        <v>205882.35294117648</v>
      </c>
      <c r="O24" s="90">
        <f t="shared" si="5"/>
        <v>205882.35294117648</v>
      </c>
      <c r="P24" s="90">
        <f t="shared" si="5"/>
        <v>205882.35294117648</v>
      </c>
      <c r="Q24" s="90">
        <f t="shared" si="5"/>
        <v>205882.35294117648</v>
      </c>
      <c r="R24" s="90">
        <f t="shared" si="5"/>
        <v>205882.35294117648</v>
      </c>
      <c r="S24" s="90">
        <f t="shared" si="5"/>
        <v>205882.35294117648</v>
      </c>
      <c r="T24" s="90">
        <f t="shared" si="5"/>
        <v>205882.35294117648</v>
      </c>
      <c r="U24" s="90">
        <f t="shared" si="5"/>
        <v>205882.35294117648</v>
      </c>
      <c r="V24" s="90">
        <f t="shared" si="5"/>
        <v>205882.35294117648</v>
      </c>
      <c r="W24" s="90">
        <f t="shared" si="5"/>
        <v>205882.35294117648</v>
      </c>
      <c r="X24" s="90">
        <f t="shared" si="5"/>
        <v>205882.35294117648</v>
      </c>
      <c r="Y24" s="90">
        <f t="shared" si="5"/>
        <v>205882.35294117648</v>
      </c>
      <c r="Z24" s="90">
        <f t="shared" si="5"/>
        <v>205882.35294117648</v>
      </c>
      <c r="AA24" s="90">
        <f t="shared" si="5"/>
        <v>205882.35294117648</v>
      </c>
      <c r="AB24" s="90">
        <f t="shared" si="5"/>
        <v>0</v>
      </c>
      <c r="AC24" s="90">
        <f t="shared" si="5"/>
        <v>0</v>
      </c>
      <c r="AD24" s="90">
        <f t="shared" si="5"/>
        <v>0</v>
      </c>
      <c r="AE24" s="90">
        <f t="shared" si="5"/>
        <v>0</v>
      </c>
      <c r="AF24" s="90">
        <f t="shared" si="5"/>
        <v>0</v>
      </c>
      <c r="AG24" s="90">
        <f t="shared" si="5"/>
        <v>0</v>
      </c>
      <c r="AH24" s="90">
        <f t="shared" si="5"/>
        <v>0</v>
      </c>
      <c r="AI24" s="90">
        <f t="shared" si="5"/>
        <v>0</v>
      </c>
      <c r="AJ24" s="90">
        <f t="shared" si="5"/>
        <v>0</v>
      </c>
      <c r="AK24" s="90">
        <f t="shared" si="5"/>
        <v>0</v>
      </c>
      <c r="AL24" s="90">
        <f t="shared" si="5"/>
        <v>0</v>
      </c>
      <c r="AM24" s="90">
        <f t="shared" si="5"/>
        <v>0</v>
      </c>
      <c r="AN24" s="90">
        <f t="shared" si="5"/>
        <v>0</v>
      </c>
      <c r="AO24" s="90">
        <f t="shared" si="5"/>
        <v>0</v>
      </c>
      <c r="AP24" s="90">
        <f t="shared" si="5"/>
        <v>0</v>
      </c>
      <c r="AQ24" s="90">
        <f t="shared" si="5"/>
        <v>0</v>
      </c>
      <c r="AR24" s="90">
        <f t="shared" si="5"/>
        <v>0</v>
      </c>
      <c r="AS24" s="90">
        <f t="shared" si="5"/>
        <v>0</v>
      </c>
      <c r="AT24" s="90">
        <f t="shared" si="5"/>
        <v>0</v>
      </c>
      <c r="AU24" s="90">
        <f t="shared" si="4"/>
        <v>0</v>
      </c>
      <c r="AV24" s="90">
        <f t="shared" si="4"/>
        <v>0</v>
      </c>
      <c r="AW24" s="90">
        <f t="shared" si="4"/>
        <v>0</v>
      </c>
      <c r="AX24" s="90">
        <f t="shared" si="4"/>
        <v>0</v>
      </c>
      <c r="AY24" s="90">
        <f t="shared" si="4"/>
        <v>0</v>
      </c>
      <c r="AZ24" s="90">
        <f t="shared" si="4"/>
        <v>0</v>
      </c>
      <c r="BA24" s="90">
        <f t="shared" si="4"/>
        <v>0</v>
      </c>
      <c r="BB24" s="90">
        <f t="shared" si="4"/>
        <v>0</v>
      </c>
      <c r="BC24" s="90">
        <f t="shared" si="4"/>
        <v>0</v>
      </c>
      <c r="BD24" s="90">
        <f t="shared" si="4"/>
        <v>0</v>
      </c>
      <c r="BE24" s="90">
        <f t="shared" si="4"/>
        <v>0</v>
      </c>
      <c r="BF24" s="90">
        <f t="shared" si="4"/>
        <v>0</v>
      </c>
      <c r="BG24" s="90">
        <f t="shared" si="4"/>
        <v>0</v>
      </c>
      <c r="BH24" s="90">
        <f t="shared" si="4"/>
        <v>0</v>
      </c>
      <c r="BI24" s="90">
        <f t="shared" si="4"/>
        <v>0</v>
      </c>
      <c r="BJ24" s="90">
        <f t="shared" si="3"/>
        <v>0</v>
      </c>
      <c r="BK24" s="90">
        <f t="shared" si="3"/>
        <v>0</v>
      </c>
      <c r="BL24" s="90">
        <f t="shared" si="3"/>
        <v>0</v>
      </c>
      <c r="BM24" s="90">
        <f t="shared" si="3"/>
        <v>0</v>
      </c>
      <c r="BN24" s="90">
        <f t="shared" si="3"/>
        <v>0</v>
      </c>
      <c r="BO24" s="90">
        <f t="shared" si="3"/>
        <v>0</v>
      </c>
    </row>
    <row r="25" spans="1:67">
      <c r="A25" s="11"/>
      <c r="B25" s="11" t="s">
        <v>271</v>
      </c>
      <c r="C25" s="11"/>
      <c r="D25" s="16">
        <v>1</v>
      </c>
      <c r="E25" s="92">
        <v>21200000</v>
      </c>
      <c r="F25" s="90">
        <f>IF($D25*$E25*'01 Major Assumptions'!$D$189*'01 Major Assumptions'!$D$221*$I$216&gt;=1000000,ROUND($D25*$E25*'01 Major Assumptions'!$D$189*'01 Major Assumptions'!$D$221*$I$216,-6),ROUND($D25*$E25*'01 Major Assumptions'!$D$189*'01 Major Assumptions'!$D$221*$I$216,-5))</f>
        <v>16000000</v>
      </c>
      <c r="G25" s="90">
        <f t="shared" si="1"/>
        <v>0</v>
      </c>
      <c r="H25" s="90">
        <f t="shared" si="5"/>
        <v>0</v>
      </c>
      <c r="I25" s="90">
        <f t="shared" si="5"/>
        <v>0</v>
      </c>
      <c r="J25" s="90">
        <f t="shared" si="5"/>
        <v>4800000</v>
      </c>
      <c r="K25" s="90">
        <f t="shared" si="5"/>
        <v>658823.5294117647</v>
      </c>
      <c r="L25" s="90">
        <f t="shared" si="5"/>
        <v>658823.5294117647</v>
      </c>
      <c r="M25" s="90">
        <f t="shared" si="5"/>
        <v>658823.5294117647</v>
      </c>
      <c r="N25" s="90">
        <f t="shared" si="5"/>
        <v>658823.5294117647</v>
      </c>
      <c r="O25" s="90">
        <f t="shared" si="5"/>
        <v>658823.5294117647</v>
      </c>
      <c r="P25" s="90">
        <f t="shared" si="5"/>
        <v>658823.5294117647</v>
      </c>
      <c r="Q25" s="90">
        <f t="shared" si="5"/>
        <v>658823.5294117647</v>
      </c>
      <c r="R25" s="90">
        <f t="shared" si="5"/>
        <v>658823.5294117647</v>
      </c>
      <c r="S25" s="90">
        <f t="shared" si="5"/>
        <v>658823.5294117647</v>
      </c>
      <c r="T25" s="90">
        <f t="shared" si="5"/>
        <v>658823.5294117647</v>
      </c>
      <c r="U25" s="90">
        <f t="shared" si="5"/>
        <v>658823.5294117647</v>
      </c>
      <c r="V25" s="90">
        <f t="shared" si="5"/>
        <v>658823.5294117647</v>
      </c>
      <c r="W25" s="90">
        <f t="shared" si="5"/>
        <v>658823.5294117647</v>
      </c>
      <c r="X25" s="90">
        <f t="shared" si="5"/>
        <v>658823.5294117647</v>
      </c>
      <c r="Y25" s="90">
        <f t="shared" si="5"/>
        <v>658823.5294117647</v>
      </c>
      <c r="Z25" s="90">
        <f t="shared" si="5"/>
        <v>658823.5294117647</v>
      </c>
      <c r="AA25" s="90">
        <f t="shared" si="5"/>
        <v>658823.5294117647</v>
      </c>
      <c r="AB25" s="90">
        <f t="shared" si="5"/>
        <v>0</v>
      </c>
      <c r="AC25" s="90">
        <f t="shared" si="5"/>
        <v>0</v>
      </c>
      <c r="AD25" s="90">
        <f t="shared" si="5"/>
        <v>0</v>
      </c>
      <c r="AE25" s="90">
        <f t="shared" si="5"/>
        <v>0</v>
      </c>
      <c r="AF25" s="90">
        <f t="shared" si="5"/>
        <v>0</v>
      </c>
      <c r="AG25" s="90">
        <f t="shared" si="5"/>
        <v>0</v>
      </c>
      <c r="AH25" s="90">
        <f t="shared" si="5"/>
        <v>0</v>
      </c>
      <c r="AI25" s="90">
        <f t="shared" si="5"/>
        <v>0</v>
      </c>
      <c r="AJ25" s="90">
        <f t="shared" si="5"/>
        <v>0</v>
      </c>
      <c r="AK25" s="90">
        <f t="shared" si="5"/>
        <v>0</v>
      </c>
      <c r="AL25" s="90">
        <f t="shared" si="5"/>
        <v>0</v>
      </c>
      <c r="AM25" s="90">
        <f t="shared" si="5"/>
        <v>0</v>
      </c>
      <c r="AN25" s="90">
        <f t="shared" si="5"/>
        <v>0</v>
      </c>
      <c r="AO25" s="90">
        <f t="shared" si="5"/>
        <v>0</v>
      </c>
      <c r="AP25" s="90">
        <f t="shared" si="5"/>
        <v>0</v>
      </c>
      <c r="AQ25" s="90">
        <f t="shared" si="5"/>
        <v>0</v>
      </c>
      <c r="AR25" s="90">
        <f t="shared" si="5"/>
        <v>0</v>
      </c>
      <c r="AS25" s="90">
        <f t="shared" si="5"/>
        <v>0</v>
      </c>
      <c r="AT25" s="90">
        <f t="shared" si="5"/>
        <v>0</v>
      </c>
      <c r="AU25" s="90">
        <f t="shared" si="4"/>
        <v>0</v>
      </c>
      <c r="AV25" s="90">
        <f t="shared" si="4"/>
        <v>0</v>
      </c>
      <c r="AW25" s="90">
        <f t="shared" si="4"/>
        <v>0</v>
      </c>
      <c r="AX25" s="90">
        <f t="shared" si="4"/>
        <v>0</v>
      </c>
      <c r="AY25" s="90">
        <f t="shared" si="4"/>
        <v>0</v>
      </c>
      <c r="AZ25" s="90">
        <f t="shared" si="4"/>
        <v>0</v>
      </c>
      <c r="BA25" s="90">
        <f t="shared" si="4"/>
        <v>0</v>
      </c>
      <c r="BB25" s="90">
        <f t="shared" si="4"/>
        <v>0</v>
      </c>
      <c r="BC25" s="90">
        <f t="shared" si="4"/>
        <v>0</v>
      </c>
      <c r="BD25" s="90">
        <f t="shared" si="4"/>
        <v>0</v>
      </c>
      <c r="BE25" s="90">
        <f t="shared" si="4"/>
        <v>0</v>
      </c>
      <c r="BF25" s="90">
        <f t="shared" si="4"/>
        <v>0</v>
      </c>
      <c r="BG25" s="90">
        <f t="shared" si="4"/>
        <v>0</v>
      </c>
      <c r="BH25" s="90">
        <f t="shared" si="4"/>
        <v>0</v>
      </c>
      <c r="BI25" s="90">
        <f t="shared" si="4"/>
        <v>0</v>
      </c>
      <c r="BJ25" s="90">
        <f t="shared" si="3"/>
        <v>0</v>
      </c>
      <c r="BK25" s="90">
        <f t="shared" si="3"/>
        <v>0</v>
      </c>
      <c r="BL25" s="90">
        <f t="shared" si="3"/>
        <v>0</v>
      </c>
      <c r="BM25" s="90">
        <f t="shared" si="3"/>
        <v>0</v>
      </c>
      <c r="BN25" s="90">
        <f t="shared" si="3"/>
        <v>0</v>
      </c>
      <c r="BO25" s="90">
        <f t="shared" si="3"/>
        <v>0</v>
      </c>
    </row>
    <row r="26" spans="1:67">
      <c r="A26" s="11"/>
      <c r="B26" s="11" t="s">
        <v>272</v>
      </c>
      <c r="C26" s="11"/>
      <c r="D26" s="16">
        <v>1</v>
      </c>
      <c r="E26" s="92">
        <v>2000000</v>
      </c>
      <c r="F26" s="90">
        <f>IF($D26*$E26*'01 Major Assumptions'!$D$189*'01 Major Assumptions'!$D$221*$I$217&gt;=1000000,ROUND($D26*$E26*'01 Major Assumptions'!$D$189*'01 Major Assumptions'!$D$221*$I$217,-6),ROUND($D26*$E26*'01 Major Assumptions'!$D$189*'01 Major Assumptions'!$D$221*$I$217,-5))</f>
        <v>2000000</v>
      </c>
      <c r="G26" s="90">
        <f t="shared" si="1"/>
        <v>0</v>
      </c>
      <c r="H26" s="90">
        <f t="shared" si="5"/>
        <v>0</v>
      </c>
      <c r="I26" s="90">
        <f t="shared" si="5"/>
        <v>0</v>
      </c>
      <c r="J26" s="90">
        <f t="shared" si="5"/>
        <v>600000</v>
      </c>
      <c r="K26" s="90">
        <f t="shared" si="5"/>
        <v>82352.941176470587</v>
      </c>
      <c r="L26" s="90">
        <f t="shared" si="5"/>
        <v>82352.941176470587</v>
      </c>
      <c r="M26" s="90">
        <f t="shared" si="5"/>
        <v>82352.941176470587</v>
      </c>
      <c r="N26" s="90">
        <f t="shared" si="5"/>
        <v>82352.941176470587</v>
      </c>
      <c r="O26" s="90">
        <f t="shared" si="5"/>
        <v>82352.941176470587</v>
      </c>
      <c r="P26" s="90">
        <f t="shared" si="5"/>
        <v>82352.941176470587</v>
      </c>
      <c r="Q26" s="90">
        <f t="shared" si="5"/>
        <v>82352.941176470587</v>
      </c>
      <c r="R26" s="90">
        <f t="shared" si="5"/>
        <v>82352.941176470587</v>
      </c>
      <c r="S26" s="90">
        <f t="shared" si="5"/>
        <v>82352.941176470587</v>
      </c>
      <c r="T26" s="90">
        <f t="shared" si="5"/>
        <v>82352.941176470587</v>
      </c>
      <c r="U26" s="90">
        <f t="shared" si="5"/>
        <v>82352.941176470587</v>
      </c>
      <c r="V26" s="90">
        <f t="shared" si="5"/>
        <v>82352.941176470587</v>
      </c>
      <c r="W26" s="90">
        <f t="shared" si="5"/>
        <v>82352.941176470587</v>
      </c>
      <c r="X26" s="90">
        <f t="shared" si="5"/>
        <v>82352.941176470587</v>
      </c>
      <c r="Y26" s="90">
        <f t="shared" si="5"/>
        <v>82352.941176470587</v>
      </c>
      <c r="Z26" s="90">
        <f t="shared" si="5"/>
        <v>82352.941176470587</v>
      </c>
      <c r="AA26" s="90">
        <f t="shared" si="5"/>
        <v>82352.941176470587</v>
      </c>
      <c r="AB26" s="90">
        <f t="shared" si="5"/>
        <v>0</v>
      </c>
      <c r="AC26" s="90">
        <f t="shared" ref="AC26:AT26" si="6">$F26*AC$9</f>
        <v>0</v>
      </c>
      <c r="AD26" s="90">
        <f t="shared" si="6"/>
        <v>0</v>
      </c>
      <c r="AE26" s="90">
        <f t="shared" si="6"/>
        <v>0</v>
      </c>
      <c r="AF26" s="90">
        <f t="shared" si="6"/>
        <v>0</v>
      </c>
      <c r="AG26" s="90">
        <f t="shared" si="6"/>
        <v>0</v>
      </c>
      <c r="AH26" s="90">
        <f t="shared" si="6"/>
        <v>0</v>
      </c>
      <c r="AI26" s="90">
        <f t="shared" si="6"/>
        <v>0</v>
      </c>
      <c r="AJ26" s="90">
        <f t="shared" si="6"/>
        <v>0</v>
      </c>
      <c r="AK26" s="90">
        <f t="shared" si="6"/>
        <v>0</v>
      </c>
      <c r="AL26" s="90">
        <f t="shared" si="6"/>
        <v>0</v>
      </c>
      <c r="AM26" s="90">
        <f t="shared" si="6"/>
        <v>0</v>
      </c>
      <c r="AN26" s="90">
        <f t="shared" si="6"/>
        <v>0</v>
      </c>
      <c r="AO26" s="90">
        <f t="shared" si="6"/>
        <v>0</v>
      </c>
      <c r="AP26" s="90">
        <f t="shared" si="6"/>
        <v>0</v>
      </c>
      <c r="AQ26" s="90">
        <f t="shared" si="6"/>
        <v>0</v>
      </c>
      <c r="AR26" s="90">
        <f t="shared" si="6"/>
        <v>0</v>
      </c>
      <c r="AS26" s="90">
        <f t="shared" si="6"/>
        <v>0</v>
      </c>
      <c r="AT26" s="90">
        <f t="shared" si="6"/>
        <v>0</v>
      </c>
      <c r="AU26" s="90">
        <f t="shared" si="4"/>
        <v>0</v>
      </c>
      <c r="AV26" s="90">
        <f t="shared" si="4"/>
        <v>0</v>
      </c>
      <c r="AW26" s="90">
        <f t="shared" si="4"/>
        <v>0</v>
      </c>
      <c r="AX26" s="90">
        <f t="shared" si="4"/>
        <v>0</v>
      </c>
      <c r="AY26" s="90">
        <f t="shared" si="4"/>
        <v>0</v>
      </c>
      <c r="AZ26" s="90">
        <f t="shared" si="4"/>
        <v>0</v>
      </c>
      <c r="BA26" s="90">
        <f t="shared" si="4"/>
        <v>0</v>
      </c>
      <c r="BB26" s="90">
        <f t="shared" si="4"/>
        <v>0</v>
      </c>
      <c r="BC26" s="90">
        <f t="shared" si="4"/>
        <v>0</v>
      </c>
      <c r="BD26" s="90">
        <f t="shared" si="4"/>
        <v>0</v>
      </c>
      <c r="BE26" s="90">
        <f t="shared" si="4"/>
        <v>0</v>
      </c>
      <c r="BF26" s="90">
        <f t="shared" si="4"/>
        <v>0</v>
      </c>
      <c r="BG26" s="90">
        <f t="shared" si="4"/>
        <v>0</v>
      </c>
      <c r="BH26" s="90">
        <f t="shared" si="4"/>
        <v>0</v>
      </c>
      <c r="BI26" s="90">
        <f t="shared" si="4"/>
        <v>0</v>
      </c>
      <c r="BJ26" s="90">
        <f t="shared" si="3"/>
        <v>0</v>
      </c>
      <c r="BK26" s="90">
        <f t="shared" si="3"/>
        <v>0</v>
      </c>
      <c r="BL26" s="90">
        <f t="shared" si="3"/>
        <v>0</v>
      </c>
      <c r="BM26" s="90">
        <f t="shared" si="3"/>
        <v>0</v>
      </c>
      <c r="BN26" s="90">
        <f t="shared" si="3"/>
        <v>0</v>
      </c>
      <c r="BO26" s="90">
        <f t="shared" si="3"/>
        <v>0</v>
      </c>
    </row>
    <row r="27" spans="1:67">
      <c r="A27" s="11"/>
      <c r="B27" s="22" t="s">
        <v>273</v>
      </c>
      <c r="C27" s="22"/>
      <c r="D27" s="71"/>
      <c r="E27" s="97">
        <f>SUM(E15:E26)</f>
        <v>614343919.1698463</v>
      </c>
      <c r="F27" s="89">
        <f>SUM(F15:F26)</f>
        <v>527000000</v>
      </c>
      <c r="G27" s="89">
        <f>SUM(G15:G26)</f>
        <v>0</v>
      </c>
      <c r="H27" s="89">
        <f t="shared" ref="H27:BI27" si="7">SUM(H15:H26)</f>
        <v>0</v>
      </c>
      <c r="I27" s="89">
        <f t="shared" si="7"/>
        <v>0</v>
      </c>
      <c r="J27" s="89">
        <f t="shared" si="7"/>
        <v>158100000</v>
      </c>
      <c r="K27" s="89">
        <f t="shared" si="7"/>
        <v>21700000</v>
      </c>
      <c r="L27" s="89">
        <f t="shared" si="7"/>
        <v>21700000</v>
      </c>
      <c r="M27" s="89">
        <f t="shared" si="7"/>
        <v>21700000</v>
      </c>
      <c r="N27" s="89">
        <f t="shared" si="7"/>
        <v>21700000</v>
      </c>
      <c r="O27" s="89">
        <f t="shared" si="7"/>
        <v>21700000</v>
      </c>
      <c r="P27" s="89">
        <f t="shared" si="7"/>
        <v>21700000</v>
      </c>
      <c r="Q27" s="89">
        <f t="shared" si="7"/>
        <v>21700000</v>
      </c>
      <c r="R27" s="89">
        <f t="shared" si="7"/>
        <v>21700000</v>
      </c>
      <c r="S27" s="89">
        <f t="shared" si="7"/>
        <v>21700000</v>
      </c>
      <c r="T27" s="89">
        <f t="shared" si="7"/>
        <v>21700000</v>
      </c>
      <c r="U27" s="89">
        <f t="shared" si="7"/>
        <v>21700000</v>
      </c>
      <c r="V27" s="89">
        <f t="shared" si="7"/>
        <v>21700000</v>
      </c>
      <c r="W27" s="89">
        <f t="shared" si="7"/>
        <v>21700000</v>
      </c>
      <c r="X27" s="89">
        <f t="shared" si="7"/>
        <v>21700000</v>
      </c>
      <c r="Y27" s="89">
        <f t="shared" si="7"/>
        <v>21700000</v>
      </c>
      <c r="Z27" s="89">
        <f t="shared" si="7"/>
        <v>21700000</v>
      </c>
      <c r="AA27" s="89">
        <f t="shared" si="7"/>
        <v>21700000</v>
      </c>
      <c r="AB27" s="89">
        <f t="shared" si="7"/>
        <v>0</v>
      </c>
      <c r="AC27" s="89">
        <f t="shared" si="7"/>
        <v>0</v>
      </c>
      <c r="AD27" s="89">
        <f t="shared" si="7"/>
        <v>0</v>
      </c>
      <c r="AE27" s="89">
        <f t="shared" si="7"/>
        <v>0</v>
      </c>
      <c r="AF27" s="89">
        <f t="shared" si="7"/>
        <v>0</v>
      </c>
      <c r="AG27" s="89">
        <f t="shared" si="7"/>
        <v>0</v>
      </c>
      <c r="AH27" s="89">
        <f t="shared" si="7"/>
        <v>0</v>
      </c>
      <c r="AI27" s="89">
        <f t="shared" si="7"/>
        <v>0</v>
      </c>
      <c r="AJ27" s="89">
        <f t="shared" si="7"/>
        <v>0</v>
      </c>
      <c r="AK27" s="89">
        <f t="shared" si="7"/>
        <v>0</v>
      </c>
      <c r="AL27" s="89">
        <f t="shared" si="7"/>
        <v>0</v>
      </c>
      <c r="AM27" s="89">
        <f t="shared" si="7"/>
        <v>0</v>
      </c>
      <c r="AN27" s="89">
        <f t="shared" si="7"/>
        <v>0</v>
      </c>
      <c r="AO27" s="89">
        <f t="shared" si="7"/>
        <v>0</v>
      </c>
      <c r="AP27" s="89">
        <f t="shared" si="7"/>
        <v>0</v>
      </c>
      <c r="AQ27" s="89">
        <f t="shared" si="7"/>
        <v>0</v>
      </c>
      <c r="AR27" s="89">
        <f t="shared" si="7"/>
        <v>0</v>
      </c>
      <c r="AS27" s="89">
        <f t="shared" si="7"/>
        <v>0</v>
      </c>
      <c r="AT27" s="89">
        <f t="shared" si="7"/>
        <v>0</v>
      </c>
      <c r="AU27" s="89">
        <f t="shared" si="7"/>
        <v>0</v>
      </c>
      <c r="AV27" s="89">
        <f t="shared" si="7"/>
        <v>0</v>
      </c>
      <c r="AW27" s="89">
        <f t="shared" si="7"/>
        <v>0</v>
      </c>
      <c r="AX27" s="89">
        <f t="shared" si="7"/>
        <v>0</v>
      </c>
      <c r="AY27" s="89">
        <f t="shared" si="7"/>
        <v>0</v>
      </c>
      <c r="AZ27" s="89">
        <f t="shared" si="7"/>
        <v>0</v>
      </c>
      <c r="BA27" s="89">
        <f t="shared" si="7"/>
        <v>0</v>
      </c>
      <c r="BB27" s="89">
        <f t="shared" si="7"/>
        <v>0</v>
      </c>
      <c r="BC27" s="89">
        <f t="shared" si="7"/>
        <v>0</v>
      </c>
      <c r="BD27" s="89">
        <f t="shared" si="7"/>
        <v>0</v>
      </c>
      <c r="BE27" s="89">
        <f t="shared" si="7"/>
        <v>0</v>
      </c>
      <c r="BF27" s="89">
        <f t="shared" si="7"/>
        <v>0</v>
      </c>
      <c r="BG27" s="89">
        <f t="shared" si="7"/>
        <v>0</v>
      </c>
      <c r="BH27" s="89">
        <f t="shared" si="7"/>
        <v>0</v>
      </c>
      <c r="BI27" s="89">
        <f t="shared" si="7"/>
        <v>0</v>
      </c>
      <c r="BJ27" s="89">
        <f t="shared" ref="BJ27" si="8">SUM(BJ15:BJ26)</f>
        <v>0</v>
      </c>
      <c r="BK27" s="89">
        <f t="shared" ref="BK27" si="9">SUM(BK15:BK26)</f>
        <v>0</v>
      </c>
      <c r="BL27" s="89">
        <f t="shared" ref="BL27" si="10">SUM(BL15:BL26)</f>
        <v>0</v>
      </c>
      <c r="BM27" s="89">
        <f t="shared" ref="BM27" si="11">SUM(BM15:BM26)</f>
        <v>0</v>
      </c>
      <c r="BN27" s="89">
        <f t="shared" ref="BN27" si="12">SUM(BN15:BN26)</f>
        <v>0</v>
      </c>
      <c r="BO27" s="89">
        <f t="shared" ref="BO27" si="13">SUM(BO15:BO26)</f>
        <v>0</v>
      </c>
    </row>
    <row r="28" spans="1:67">
      <c r="A28" s="20"/>
      <c r="B28" s="20"/>
      <c r="C28" s="20"/>
      <c r="D28" s="20"/>
      <c r="E28" s="20"/>
      <c r="F28" s="20"/>
      <c r="G28" s="20"/>
      <c r="H28" s="20"/>
      <c r="I28" s="20"/>
      <c r="J28" s="20"/>
      <c r="K28" s="20"/>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row>
    <row r="29" spans="1:67">
      <c r="A29" s="18" t="s">
        <v>1766</v>
      </c>
      <c r="B29" s="18"/>
      <c r="C29" s="18"/>
      <c r="D29" s="18"/>
      <c r="E29" s="39"/>
      <c r="F29" s="39"/>
      <c r="G29" s="39"/>
      <c r="H29" s="39"/>
      <c r="I29" s="39"/>
      <c r="J29" s="39"/>
      <c r="K29" s="39"/>
      <c r="L29" s="39"/>
      <c r="M29" s="39"/>
      <c r="N29" s="39"/>
      <c r="O29" s="39"/>
      <c r="P29" s="39"/>
      <c r="Q29" s="39"/>
      <c r="R29" s="39"/>
      <c r="S29" s="39"/>
      <c r="T29" s="39"/>
      <c r="U29" s="39"/>
      <c r="V29" s="39"/>
      <c r="W29" s="39"/>
      <c r="X29" s="39"/>
      <c r="Y29" s="39"/>
      <c r="Z29" s="39"/>
      <c r="AA29" s="39"/>
      <c r="AB29" s="39"/>
      <c r="AC29" s="39"/>
      <c r="AD29" s="39"/>
      <c r="AE29" s="39"/>
      <c r="AF29" s="39"/>
      <c r="AG29" s="39"/>
      <c r="AH29" s="39"/>
      <c r="AI29" s="39"/>
      <c r="AJ29" s="39"/>
      <c r="AK29" s="39"/>
      <c r="AL29" s="39"/>
      <c r="AM29" s="39"/>
      <c r="AN29" s="39"/>
      <c r="AO29" s="39"/>
      <c r="AP29" s="39"/>
      <c r="AQ29" s="39"/>
      <c r="AR29" s="39"/>
      <c r="AS29" s="39"/>
      <c r="AT29" s="39"/>
      <c r="AU29" s="39"/>
      <c r="AV29" s="39"/>
      <c r="AW29" s="39"/>
      <c r="AX29" s="39"/>
      <c r="AY29" s="39"/>
      <c r="AZ29" s="39"/>
      <c r="BA29" s="39"/>
      <c r="BB29" s="39"/>
      <c r="BC29" s="39"/>
      <c r="BD29" s="39"/>
      <c r="BE29" s="39"/>
      <c r="BF29" s="39"/>
      <c r="BG29" s="39"/>
      <c r="BH29" s="39"/>
      <c r="BI29" s="39"/>
      <c r="BJ29" s="39"/>
      <c r="BK29" s="39"/>
      <c r="BL29" s="39"/>
      <c r="BM29" s="39"/>
      <c r="BN29" s="39"/>
      <c r="BO29" s="39"/>
    </row>
    <row r="30" spans="1:67">
      <c r="A30" s="11"/>
      <c r="B30" s="11"/>
      <c r="C30" s="11"/>
      <c r="D30" s="22" t="s">
        <v>259</v>
      </c>
      <c r="E30" s="22" t="s">
        <v>260</v>
      </c>
      <c r="F30" s="22" t="s">
        <v>261</v>
      </c>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row>
    <row r="31" spans="1:67">
      <c r="A31" s="11"/>
      <c r="B31" s="11" t="s">
        <v>274</v>
      </c>
      <c r="C31" s="11"/>
      <c r="D31" s="16">
        <v>1</v>
      </c>
      <c r="E31" s="92">
        <v>15679020</v>
      </c>
      <c r="F31" s="90">
        <f>ROUND($D31*$E31*'01 Major Assumptions'!$D$189*'01 Major Assumptions'!$D$221*$G$277,-5)</f>
        <v>40700000</v>
      </c>
      <c r="G31" s="90">
        <f t="shared" ref="G31:G44" si="14">$F31*G$8</f>
        <v>0</v>
      </c>
      <c r="H31" s="90">
        <f t="shared" ref="H31:BI34" si="15">$F31*H$8</f>
        <v>0</v>
      </c>
      <c r="I31" s="90">
        <f t="shared" si="15"/>
        <v>0</v>
      </c>
      <c r="J31" s="90">
        <f t="shared" si="15"/>
        <v>0</v>
      </c>
      <c r="K31" s="90">
        <f t="shared" si="15"/>
        <v>0</v>
      </c>
      <c r="L31" s="90">
        <f t="shared" si="15"/>
        <v>0</v>
      </c>
      <c r="M31" s="90">
        <f t="shared" si="15"/>
        <v>0</v>
      </c>
      <c r="N31" s="90">
        <f t="shared" si="15"/>
        <v>0</v>
      </c>
      <c r="O31" s="90">
        <f t="shared" si="15"/>
        <v>0</v>
      </c>
      <c r="P31" s="90">
        <f t="shared" si="15"/>
        <v>3391666.6666666665</v>
      </c>
      <c r="Q31" s="90">
        <f t="shared" si="15"/>
        <v>3391666.6666666665</v>
      </c>
      <c r="R31" s="90">
        <f t="shared" si="15"/>
        <v>3391666.6666666665</v>
      </c>
      <c r="S31" s="90">
        <f t="shared" si="15"/>
        <v>3391666.6666666665</v>
      </c>
      <c r="T31" s="90">
        <f t="shared" si="15"/>
        <v>3391666.6666666665</v>
      </c>
      <c r="U31" s="90">
        <f t="shared" si="15"/>
        <v>3391666.6666666665</v>
      </c>
      <c r="V31" s="90">
        <f t="shared" si="15"/>
        <v>3391666.6666666665</v>
      </c>
      <c r="W31" s="90">
        <f t="shared" si="15"/>
        <v>3391666.6666666665</v>
      </c>
      <c r="X31" s="90">
        <f t="shared" si="15"/>
        <v>3391666.6666666665</v>
      </c>
      <c r="Y31" s="90">
        <f t="shared" si="15"/>
        <v>3391666.6666666665</v>
      </c>
      <c r="Z31" s="90">
        <f t="shared" si="15"/>
        <v>3391666.6666666665</v>
      </c>
      <c r="AA31" s="90">
        <f t="shared" si="15"/>
        <v>3391666.6666666665</v>
      </c>
      <c r="AB31" s="90">
        <f t="shared" si="15"/>
        <v>0</v>
      </c>
      <c r="AC31" s="90">
        <f t="shared" si="15"/>
        <v>0</v>
      </c>
      <c r="AD31" s="90">
        <f t="shared" si="15"/>
        <v>0</v>
      </c>
      <c r="AE31" s="90">
        <f t="shared" si="15"/>
        <v>0</v>
      </c>
      <c r="AF31" s="90">
        <f t="shared" si="15"/>
        <v>0</v>
      </c>
      <c r="AG31" s="90">
        <f t="shared" si="15"/>
        <v>0</v>
      </c>
      <c r="AH31" s="90">
        <f t="shared" si="15"/>
        <v>0</v>
      </c>
      <c r="AI31" s="90">
        <f t="shared" si="15"/>
        <v>0</v>
      </c>
      <c r="AJ31" s="90">
        <f t="shared" si="15"/>
        <v>0</v>
      </c>
      <c r="AK31" s="90">
        <f t="shared" si="15"/>
        <v>0</v>
      </c>
      <c r="AL31" s="90">
        <f t="shared" si="15"/>
        <v>0</v>
      </c>
      <c r="AM31" s="90">
        <f t="shared" si="15"/>
        <v>0</v>
      </c>
      <c r="AN31" s="90">
        <f t="shared" si="15"/>
        <v>0</v>
      </c>
      <c r="AO31" s="90">
        <f t="shared" si="15"/>
        <v>0</v>
      </c>
      <c r="AP31" s="90">
        <f t="shared" si="15"/>
        <v>0</v>
      </c>
      <c r="AQ31" s="90">
        <f t="shared" si="15"/>
        <v>0</v>
      </c>
      <c r="AR31" s="90">
        <f t="shared" si="15"/>
        <v>0</v>
      </c>
      <c r="AS31" s="90">
        <f t="shared" si="15"/>
        <v>0</v>
      </c>
      <c r="AT31" s="90">
        <f t="shared" si="15"/>
        <v>0</v>
      </c>
      <c r="AU31" s="90">
        <f t="shared" si="15"/>
        <v>0</v>
      </c>
      <c r="AV31" s="90">
        <f t="shared" si="15"/>
        <v>0</v>
      </c>
      <c r="AW31" s="90">
        <f t="shared" si="15"/>
        <v>0</v>
      </c>
      <c r="AX31" s="90">
        <f t="shared" si="15"/>
        <v>0</v>
      </c>
      <c r="AY31" s="90">
        <f t="shared" si="15"/>
        <v>0</v>
      </c>
      <c r="AZ31" s="90">
        <f t="shared" si="15"/>
        <v>0</v>
      </c>
      <c r="BA31" s="90">
        <f t="shared" si="15"/>
        <v>0</v>
      </c>
      <c r="BB31" s="90">
        <f t="shared" si="15"/>
        <v>0</v>
      </c>
      <c r="BC31" s="90">
        <f t="shared" si="15"/>
        <v>0</v>
      </c>
      <c r="BD31" s="90">
        <f t="shared" si="15"/>
        <v>0</v>
      </c>
      <c r="BE31" s="90">
        <f t="shared" si="15"/>
        <v>0</v>
      </c>
      <c r="BF31" s="90">
        <f t="shared" si="15"/>
        <v>0</v>
      </c>
      <c r="BG31" s="90">
        <f t="shared" si="15"/>
        <v>0</v>
      </c>
      <c r="BH31" s="90">
        <f t="shared" si="15"/>
        <v>0</v>
      </c>
      <c r="BI31" s="90">
        <f t="shared" si="15"/>
        <v>0</v>
      </c>
      <c r="BJ31" s="90">
        <f t="shared" ref="BJ31:BO42" si="16">$F31*BJ$8</f>
        <v>0</v>
      </c>
      <c r="BK31" s="90">
        <f t="shared" si="16"/>
        <v>0</v>
      </c>
      <c r="BL31" s="90">
        <f t="shared" si="16"/>
        <v>0</v>
      </c>
      <c r="BM31" s="90">
        <f t="shared" si="16"/>
        <v>0</v>
      </c>
      <c r="BN31" s="90">
        <f t="shared" si="16"/>
        <v>0</v>
      </c>
      <c r="BO31" s="90">
        <f t="shared" si="16"/>
        <v>0</v>
      </c>
    </row>
    <row r="32" spans="1:67">
      <c r="A32" s="11"/>
      <c r="B32" s="11" t="s">
        <v>275</v>
      </c>
      <c r="C32" s="11"/>
      <c r="D32" s="16">
        <v>1</v>
      </c>
      <c r="E32" s="92">
        <v>18492440</v>
      </c>
      <c r="F32" s="90">
        <f>ROUND($D32*$E32*'01 Major Assumptions'!$D$189*'01 Major Assumptions'!$D$221*$G$277,-5)</f>
        <v>48000000</v>
      </c>
      <c r="G32" s="90">
        <f t="shared" si="14"/>
        <v>0</v>
      </c>
      <c r="H32" s="90">
        <f t="shared" si="15"/>
        <v>0</v>
      </c>
      <c r="I32" s="90">
        <f t="shared" si="15"/>
        <v>0</v>
      </c>
      <c r="J32" s="90">
        <f t="shared" si="15"/>
        <v>0</v>
      </c>
      <c r="K32" s="90">
        <f t="shared" si="15"/>
        <v>0</v>
      </c>
      <c r="L32" s="90">
        <f t="shared" si="15"/>
        <v>0</v>
      </c>
      <c r="M32" s="90">
        <f t="shared" si="15"/>
        <v>0</v>
      </c>
      <c r="N32" s="90">
        <f t="shared" si="15"/>
        <v>0</v>
      </c>
      <c r="O32" s="90">
        <f t="shared" si="15"/>
        <v>0</v>
      </c>
      <c r="P32" s="90">
        <f t="shared" si="15"/>
        <v>4000000</v>
      </c>
      <c r="Q32" s="90">
        <f t="shared" si="15"/>
        <v>4000000</v>
      </c>
      <c r="R32" s="90">
        <f t="shared" si="15"/>
        <v>4000000</v>
      </c>
      <c r="S32" s="90">
        <f t="shared" si="15"/>
        <v>4000000</v>
      </c>
      <c r="T32" s="90">
        <f t="shared" si="15"/>
        <v>4000000</v>
      </c>
      <c r="U32" s="90">
        <f t="shared" si="15"/>
        <v>4000000</v>
      </c>
      <c r="V32" s="90">
        <f t="shared" si="15"/>
        <v>4000000</v>
      </c>
      <c r="W32" s="90">
        <f t="shared" si="15"/>
        <v>4000000</v>
      </c>
      <c r="X32" s="90">
        <f t="shared" si="15"/>
        <v>4000000</v>
      </c>
      <c r="Y32" s="90">
        <f t="shared" si="15"/>
        <v>4000000</v>
      </c>
      <c r="Z32" s="90">
        <f t="shared" si="15"/>
        <v>4000000</v>
      </c>
      <c r="AA32" s="90">
        <f t="shared" si="15"/>
        <v>4000000</v>
      </c>
      <c r="AB32" s="90">
        <f t="shared" si="15"/>
        <v>0</v>
      </c>
      <c r="AC32" s="90">
        <f t="shared" si="15"/>
        <v>0</v>
      </c>
      <c r="AD32" s="90">
        <f t="shared" si="15"/>
        <v>0</v>
      </c>
      <c r="AE32" s="90">
        <f t="shared" si="15"/>
        <v>0</v>
      </c>
      <c r="AF32" s="90">
        <f t="shared" si="15"/>
        <v>0</v>
      </c>
      <c r="AG32" s="90">
        <f t="shared" si="15"/>
        <v>0</v>
      </c>
      <c r="AH32" s="90">
        <f t="shared" si="15"/>
        <v>0</v>
      </c>
      <c r="AI32" s="90">
        <f t="shared" si="15"/>
        <v>0</v>
      </c>
      <c r="AJ32" s="90">
        <f t="shared" si="15"/>
        <v>0</v>
      </c>
      <c r="AK32" s="90">
        <f t="shared" si="15"/>
        <v>0</v>
      </c>
      <c r="AL32" s="90">
        <f t="shared" si="15"/>
        <v>0</v>
      </c>
      <c r="AM32" s="90">
        <f t="shared" si="15"/>
        <v>0</v>
      </c>
      <c r="AN32" s="90">
        <f t="shared" si="15"/>
        <v>0</v>
      </c>
      <c r="AO32" s="90">
        <f t="shared" si="15"/>
        <v>0</v>
      </c>
      <c r="AP32" s="90">
        <f t="shared" si="15"/>
        <v>0</v>
      </c>
      <c r="AQ32" s="90">
        <f t="shared" si="15"/>
        <v>0</v>
      </c>
      <c r="AR32" s="90">
        <f t="shared" si="15"/>
        <v>0</v>
      </c>
      <c r="AS32" s="90">
        <f t="shared" si="15"/>
        <v>0</v>
      </c>
      <c r="AT32" s="90">
        <f t="shared" si="15"/>
        <v>0</v>
      </c>
      <c r="AU32" s="90">
        <f t="shared" si="15"/>
        <v>0</v>
      </c>
      <c r="AV32" s="90">
        <f t="shared" si="15"/>
        <v>0</v>
      </c>
      <c r="AW32" s="90">
        <f t="shared" si="15"/>
        <v>0</v>
      </c>
      <c r="AX32" s="90">
        <f t="shared" si="15"/>
        <v>0</v>
      </c>
      <c r="AY32" s="90">
        <f t="shared" si="15"/>
        <v>0</v>
      </c>
      <c r="AZ32" s="90">
        <f t="shared" si="15"/>
        <v>0</v>
      </c>
      <c r="BA32" s="90">
        <f t="shared" si="15"/>
        <v>0</v>
      </c>
      <c r="BB32" s="90">
        <f t="shared" si="15"/>
        <v>0</v>
      </c>
      <c r="BC32" s="90">
        <f t="shared" si="15"/>
        <v>0</v>
      </c>
      <c r="BD32" s="90">
        <f t="shared" si="15"/>
        <v>0</v>
      </c>
      <c r="BE32" s="90">
        <f t="shared" si="15"/>
        <v>0</v>
      </c>
      <c r="BF32" s="90">
        <f t="shared" si="15"/>
        <v>0</v>
      </c>
      <c r="BG32" s="90">
        <f t="shared" si="15"/>
        <v>0</v>
      </c>
      <c r="BH32" s="90">
        <f t="shared" si="15"/>
        <v>0</v>
      </c>
      <c r="BI32" s="90">
        <f t="shared" si="15"/>
        <v>0</v>
      </c>
      <c r="BJ32" s="90">
        <f t="shared" si="16"/>
        <v>0</v>
      </c>
      <c r="BK32" s="90">
        <f t="shared" si="16"/>
        <v>0</v>
      </c>
      <c r="BL32" s="90">
        <f t="shared" si="16"/>
        <v>0</v>
      </c>
      <c r="BM32" s="90">
        <f t="shared" si="16"/>
        <v>0</v>
      </c>
      <c r="BN32" s="90">
        <f t="shared" si="16"/>
        <v>0</v>
      </c>
      <c r="BO32" s="90">
        <f t="shared" si="16"/>
        <v>0</v>
      </c>
    </row>
    <row r="33" spans="1:67">
      <c r="A33" s="11"/>
      <c r="B33" s="11" t="s">
        <v>276</v>
      </c>
      <c r="C33" s="11"/>
      <c r="D33" s="16">
        <v>1</v>
      </c>
      <c r="E33" s="92">
        <v>3825000</v>
      </c>
      <c r="F33" s="90">
        <f>ROUND($D33*$E33*'01 Major Assumptions'!$D$189*'01 Major Assumptions'!$D$221*$G$277,-5)</f>
        <v>9900000</v>
      </c>
      <c r="G33" s="90">
        <f t="shared" si="14"/>
        <v>0</v>
      </c>
      <c r="H33" s="90">
        <f t="shared" si="15"/>
        <v>0</v>
      </c>
      <c r="I33" s="90">
        <f t="shared" si="15"/>
        <v>0</v>
      </c>
      <c r="J33" s="90">
        <f t="shared" si="15"/>
        <v>0</v>
      </c>
      <c r="K33" s="90">
        <f t="shared" si="15"/>
        <v>0</v>
      </c>
      <c r="L33" s="90">
        <f t="shared" si="15"/>
        <v>0</v>
      </c>
      <c r="M33" s="90">
        <f t="shared" si="15"/>
        <v>0</v>
      </c>
      <c r="N33" s="90">
        <f t="shared" si="15"/>
        <v>0</v>
      </c>
      <c r="O33" s="90">
        <f t="shared" si="15"/>
        <v>0</v>
      </c>
      <c r="P33" s="90">
        <f t="shared" si="15"/>
        <v>825000</v>
      </c>
      <c r="Q33" s="90">
        <f t="shared" si="15"/>
        <v>825000</v>
      </c>
      <c r="R33" s="90">
        <f t="shared" si="15"/>
        <v>825000</v>
      </c>
      <c r="S33" s="90">
        <f t="shared" si="15"/>
        <v>825000</v>
      </c>
      <c r="T33" s="90">
        <f t="shared" si="15"/>
        <v>825000</v>
      </c>
      <c r="U33" s="90">
        <f t="shared" si="15"/>
        <v>825000</v>
      </c>
      <c r="V33" s="90">
        <f t="shared" si="15"/>
        <v>825000</v>
      </c>
      <c r="W33" s="90">
        <f t="shared" si="15"/>
        <v>825000</v>
      </c>
      <c r="X33" s="90">
        <f t="shared" si="15"/>
        <v>825000</v>
      </c>
      <c r="Y33" s="90">
        <f t="shared" si="15"/>
        <v>825000</v>
      </c>
      <c r="Z33" s="90">
        <f t="shared" si="15"/>
        <v>825000</v>
      </c>
      <c r="AA33" s="90">
        <f t="shared" si="15"/>
        <v>825000</v>
      </c>
      <c r="AB33" s="90">
        <f t="shared" si="15"/>
        <v>0</v>
      </c>
      <c r="AC33" s="90">
        <f t="shared" si="15"/>
        <v>0</v>
      </c>
      <c r="AD33" s="90">
        <f t="shared" si="15"/>
        <v>0</v>
      </c>
      <c r="AE33" s="90">
        <f t="shared" si="15"/>
        <v>0</v>
      </c>
      <c r="AF33" s="90">
        <f t="shared" si="15"/>
        <v>0</v>
      </c>
      <c r="AG33" s="90">
        <f t="shared" si="15"/>
        <v>0</v>
      </c>
      <c r="AH33" s="90">
        <f t="shared" si="15"/>
        <v>0</v>
      </c>
      <c r="AI33" s="90">
        <f t="shared" si="15"/>
        <v>0</v>
      </c>
      <c r="AJ33" s="90">
        <f t="shared" si="15"/>
        <v>0</v>
      </c>
      <c r="AK33" s="90">
        <f t="shared" si="15"/>
        <v>0</v>
      </c>
      <c r="AL33" s="90">
        <f t="shared" si="15"/>
        <v>0</v>
      </c>
      <c r="AM33" s="90">
        <f t="shared" si="15"/>
        <v>0</v>
      </c>
      <c r="AN33" s="90">
        <f t="shared" si="15"/>
        <v>0</v>
      </c>
      <c r="AO33" s="90">
        <f t="shared" si="15"/>
        <v>0</v>
      </c>
      <c r="AP33" s="90">
        <f t="shared" si="15"/>
        <v>0</v>
      </c>
      <c r="AQ33" s="90">
        <f t="shared" si="15"/>
        <v>0</v>
      </c>
      <c r="AR33" s="90">
        <f t="shared" si="15"/>
        <v>0</v>
      </c>
      <c r="AS33" s="90">
        <f t="shared" si="15"/>
        <v>0</v>
      </c>
      <c r="AT33" s="90">
        <f t="shared" si="15"/>
        <v>0</v>
      </c>
      <c r="AU33" s="90">
        <f t="shared" si="15"/>
        <v>0</v>
      </c>
      <c r="AV33" s="90">
        <f t="shared" si="15"/>
        <v>0</v>
      </c>
      <c r="AW33" s="90">
        <f t="shared" si="15"/>
        <v>0</v>
      </c>
      <c r="AX33" s="90">
        <f t="shared" si="15"/>
        <v>0</v>
      </c>
      <c r="AY33" s="90">
        <f t="shared" si="15"/>
        <v>0</v>
      </c>
      <c r="AZ33" s="90">
        <f t="shared" si="15"/>
        <v>0</v>
      </c>
      <c r="BA33" s="90">
        <f t="shared" si="15"/>
        <v>0</v>
      </c>
      <c r="BB33" s="90">
        <f t="shared" si="15"/>
        <v>0</v>
      </c>
      <c r="BC33" s="90">
        <f t="shared" si="15"/>
        <v>0</v>
      </c>
      <c r="BD33" s="90">
        <f t="shared" si="15"/>
        <v>0</v>
      </c>
      <c r="BE33" s="90">
        <f t="shared" si="15"/>
        <v>0</v>
      </c>
      <c r="BF33" s="90">
        <f t="shared" si="15"/>
        <v>0</v>
      </c>
      <c r="BG33" s="90">
        <f t="shared" si="15"/>
        <v>0</v>
      </c>
      <c r="BH33" s="90">
        <f t="shared" si="15"/>
        <v>0</v>
      </c>
      <c r="BI33" s="90">
        <f t="shared" si="15"/>
        <v>0</v>
      </c>
      <c r="BJ33" s="90">
        <f t="shared" si="16"/>
        <v>0</v>
      </c>
      <c r="BK33" s="90">
        <f t="shared" si="16"/>
        <v>0</v>
      </c>
      <c r="BL33" s="90">
        <f t="shared" si="16"/>
        <v>0</v>
      </c>
      <c r="BM33" s="90">
        <f t="shared" si="16"/>
        <v>0</v>
      </c>
      <c r="BN33" s="90">
        <f t="shared" si="16"/>
        <v>0</v>
      </c>
      <c r="BO33" s="90">
        <f t="shared" si="16"/>
        <v>0</v>
      </c>
    </row>
    <row r="34" spans="1:67">
      <c r="A34" s="11"/>
      <c r="B34" s="11" t="s">
        <v>277</v>
      </c>
      <c r="C34" s="11"/>
      <c r="D34" s="16">
        <v>1</v>
      </c>
      <c r="E34" s="92">
        <v>1836000</v>
      </c>
      <c r="F34" s="90">
        <f>ROUND($D34*$E34*'01 Major Assumptions'!$D$189*'01 Major Assumptions'!$D$221*$G$277,-5)</f>
        <v>4800000</v>
      </c>
      <c r="G34" s="90">
        <f t="shared" si="14"/>
        <v>0</v>
      </c>
      <c r="H34" s="90">
        <f t="shared" si="15"/>
        <v>0</v>
      </c>
      <c r="I34" s="90">
        <f t="shared" si="15"/>
        <v>0</v>
      </c>
      <c r="J34" s="90">
        <f t="shared" si="15"/>
        <v>0</v>
      </c>
      <c r="K34" s="90">
        <f t="shared" si="15"/>
        <v>0</v>
      </c>
      <c r="L34" s="90">
        <f t="shared" si="15"/>
        <v>0</v>
      </c>
      <c r="M34" s="90">
        <f t="shared" si="15"/>
        <v>0</v>
      </c>
      <c r="N34" s="90">
        <f t="shared" si="15"/>
        <v>0</v>
      </c>
      <c r="O34" s="90">
        <f t="shared" si="15"/>
        <v>0</v>
      </c>
      <c r="P34" s="90">
        <f t="shared" si="15"/>
        <v>400000</v>
      </c>
      <c r="Q34" s="90">
        <f t="shared" si="15"/>
        <v>400000</v>
      </c>
      <c r="R34" s="90">
        <f t="shared" si="15"/>
        <v>400000</v>
      </c>
      <c r="S34" s="90">
        <f t="shared" si="15"/>
        <v>400000</v>
      </c>
      <c r="T34" s="90">
        <f t="shared" si="15"/>
        <v>400000</v>
      </c>
      <c r="U34" s="90">
        <f t="shared" si="15"/>
        <v>400000</v>
      </c>
      <c r="V34" s="90">
        <f t="shared" si="15"/>
        <v>400000</v>
      </c>
      <c r="W34" s="90">
        <f t="shared" si="15"/>
        <v>400000</v>
      </c>
      <c r="X34" s="90">
        <f t="shared" si="15"/>
        <v>400000</v>
      </c>
      <c r="Y34" s="90">
        <f t="shared" si="15"/>
        <v>400000</v>
      </c>
      <c r="Z34" s="90">
        <f t="shared" si="15"/>
        <v>400000</v>
      </c>
      <c r="AA34" s="90">
        <f t="shared" si="15"/>
        <v>400000</v>
      </c>
      <c r="AB34" s="90">
        <f t="shared" si="15"/>
        <v>0</v>
      </c>
      <c r="AC34" s="90">
        <f t="shared" si="15"/>
        <v>0</v>
      </c>
      <c r="AD34" s="90">
        <f t="shared" si="15"/>
        <v>0</v>
      </c>
      <c r="AE34" s="90">
        <f t="shared" si="15"/>
        <v>0</v>
      </c>
      <c r="AF34" s="90">
        <f t="shared" si="15"/>
        <v>0</v>
      </c>
      <c r="AG34" s="90">
        <f t="shared" si="15"/>
        <v>0</v>
      </c>
      <c r="AH34" s="90">
        <f t="shared" si="15"/>
        <v>0</v>
      </c>
      <c r="AI34" s="90">
        <f t="shared" si="15"/>
        <v>0</v>
      </c>
      <c r="AJ34" s="90">
        <f t="shared" si="15"/>
        <v>0</v>
      </c>
      <c r="AK34" s="90">
        <f t="shared" si="15"/>
        <v>0</v>
      </c>
      <c r="AL34" s="90">
        <f t="shared" si="15"/>
        <v>0</v>
      </c>
      <c r="AM34" s="90">
        <f t="shared" si="15"/>
        <v>0</v>
      </c>
      <c r="AN34" s="90">
        <f t="shared" si="15"/>
        <v>0</v>
      </c>
      <c r="AO34" s="90">
        <f t="shared" si="15"/>
        <v>0</v>
      </c>
      <c r="AP34" s="90">
        <f t="shared" si="15"/>
        <v>0</v>
      </c>
      <c r="AQ34" s="90">
        <f t="shared" si="15"/>
        <v>0</v>
      </c>
      <c r="AR34" s="90">
        <f t="shared" si="15"/>
        <v>0</v>
      </c>
      <c r="AS34" s="90">
        <f t="shared" si="15"/>
        <v>0</v>
      </c>
      <c r="AT34" s="90">
        <f t="shared" si="15"/>
        <v>0</v>
      </c>
      <c r="AU34" s="90">
        <f t="shared" ref="AU34:BJ44" si="17">$F34*AU$8</f>
        <v>0</v>
      </c>
      <c r="AV34" s="90">
        <f t="shared" si="17"/>
        <v>0</v>
      </c>
      <c r="AW34" s="90">
        <f t="shared" si="17"/>
        <v>0</v>
      </c>
      <c r="AX34" s="90">
        <f t="shared" si="17"/>
        <v>0</v>
      </c>
      <c r="AY34" s="90">
        <f t="shared" si="17"/>
        <v>0</v>
      </c>
      <c r="AZ34" s="90">
        <f t="shared" si="17"/>
        <v>0</v>
      </c>
      <c r="BA34" s="90">
        <f t="shared" si="17"/>
        <v>0</v>
      </c>
      <c r="BB34" s="90">
        <f t="shared" si="17"/>
        <v>0</v>
      </c>
      <c r="BC34" s="90">
        <f t="shared" si="17"/>
        <v>0</v>
      </c>
      <c r="BD34" s="90">
        <f t="shared" si="17"/>
        <v>0</v>
      </c>
      <c r="BE34" s="90">
        <f t="shared" si="17"/>
        <v>0</v>
      </c>
      <c r="BF34" s="90">
        <f t="shared" si="17"/>
        <v>0</v>
      </c>
      <c r="BG34" s="90">
        <f t="shared" si="17"/>
        <v>0</v>
      </c>
      <c r="BH34" s="90">
        <f t="shared" si="17"/>
        <v>0</v>
      </c>
      <c r="BI34" s="90">
        <f t="shared" si="17"/>
        <v>0</v>
      </c>
      <c r="BJ34" s="90">
        <f t="shared" si="17"/>
        <v>0</v>
      </c>
      <c r="BK34" s="90">
        <f t="shared" si="16"/>
        <v>0</v>
      </c>
      <c r="BL34" s="90">
        <f t="shared" si="16"/>
        <v>0</v>
      </c>
      <c r="BM34" s="90">
        <f t="shared" si="16"/>
        <v>0</v>
      </c>
      <c r="BN34" s="90">
        <f t="shared" si="16"/>
        <v>0</v>
      </c>
      <c r="BO34" s="90">
        <f t="shared" si="16"/>
        <v>0</v>
      </c>
    </row>
    <row r="35" spans="1:67">
      <c r="A35" s="11"/>
      <c r="B35" s="11" t="s">
        <v>278</v>
      </c>
      <c r="C35" s="11"/>
      <c r="D35" s="16">
        <v>1</v>
      </c>
      <c r="E35" s="92">
        <v>3658600</v>
      </c>
      <c r="F35" s="90">
        <f>ROUND($D35*$E35*'01 Major Assumptions'!$D$189*'01 Major Assumptions'!$D$221*$G$277,-5)</f>
        <v>9500000</v>
      </c>
      <c r="G35" s="90">
        <f t="shared" si="14"/>
        <v>0</v>
      </c>
      <c r="H35" s="90">
        <f t="shared" ref="H35:AT38" si="18">$F35*H$8</f>
        <v>0</v>
      </c>
      <c r="I35" s="90">
        <f t="shared" si="18"/>
        <v>0</v>
      </c>
      <c r="J35" s="90">
        <f t="shared" si="18"/>
        <v>0</v>
      </c>
      <c r="K35" s="90">
        <f t="shared" si="18"/>
        <v>0</v>
      </c>
      <c r="L35" s="90">
        <f t="shared" si="18"/>
        <v>0</v>
      </c>
      <c r="M35" s="90">
        <f t="shared" si="18"/>
        <v>0</v>
      </c>
      <c r="N35" s="90">
        <f t="shared" si="18"/>
        <v>0</v>
      </c>
      <c r="O35" s="90">
        <f t="shared" si="18"/>
        <v>0</v>
      </c>
      <c r="P35" s="90">
        <f t="shared" si="18"/>
        <v>791666.66666666663</v>
      </c>
      <c r="Q35" s="90">
        <f t="shared" si="18"/>
        <v>791666.66666666663</v>
      </c>
      <c r="R35" s="90">
        <f t="shared" si="18"/>
        <v>791666.66666666663</v>
      </c>
      <c r="S35" s="90">
        <f t="shared" si="18"/>
        <v>791666.66666666663</v>
      </c>
      <c r="T35" s="90">
        <f t="shared" si="18"/>
        <v>791666.66666666663</v>
      </c>
      <c r="U35" s="90">
        <f t="shared" si="18"/>
        <v>791666.66666666663</v>
      </c>
      <c r="V35" s="90">
        <f t="shared" si="18"/>
        <v>791666.66666666663</v>
      </c>
      <c r="W35" s="90">
        <f t="shared" si="18"/>
        <v>791666.66666666663</v>
      </c>
      <c r="X35" s="90">
        <f t="shared" si="18"/>
        <v>791666.66666666663</v>
      </c>
      <c r="Y35" s="90">
        <f t="shared" si="18"/>
        <v>791666.66666666663</v>
      </c>
      <c r="Z35" s="90">
        <f t="shared" si="18"/>
        <v>791666.66666666663</v>
      </c>
      <c r="AA35" s="90">
        <f t="shared" si="18"/>
        <v>791666.66666666663</v>
      </c>
      <c r="AB35" s="90">
        <f t="shared" si="18"/>
        <v>0</v>
      </c>
      <c r="AC35" s="90">
        <f t="shared" si="18"/>
        <v>0</v>
      </c>
      <c r="AD35" s="90">
        <f t="shared" si="18"/>
        <v>0</v>
      </c>
      <c r="AE35" s="90">
        <f t="shared" si="18"/>
        <v>0</v>
      </c>
      <c r="AF35" s="90">
        <f t="shared" si="18"/>
        <v>0</v>
      </c>
      <c r="AG35" s="90">
        <f t="shared" si="18"/>
        <v>0</v>
      </c>
      <c r="AH35" s="90">
        <f t="shared" si="18"/>
        <v>0</v>
      </c>
      <c r="AI35" s="90">
        <f t="shared" si="18"/>
        <v>0</v>
      </c>
      <c r="AJ35" s="90">
        <f t="shared" si="18"/>
        <v>0</v>
      </c>
      <c r="AK35" s="90">
        <f t="shared" si="18"/>
        <v>0</v>
      </c>
      <c r="AL35" s="90">
        <f t="shared" si="18"/>
        <v>0</v>
      </c>
      <c r="AM35" s="90">
        <f t="shared" si="18"/>
        <v>0</v>
      </c>
      <c r="AN35" s="90">
        <f t="shared" si="18"/>
        <v>0</v>
      </c>
      <c r="AO35" s="90">
        <f t="shared" si="18"/>
        <v>0</v>
      </c>
      <c r="AP35" s="90">
        <f t="shared" si="18"/>
        <v>0</v>
      </c>
      <c r="AQ35" s="90">
        <f t="shared" si="18"/>
        <v>0</v>
      </c>
      <c r="AR35" s="90">
        <f t="shared" si="18"/>
        <v>0</v>
      </c>
      <c r="AS35" s="90">
        <f t="shared" si="18"/>
        <v>0</v>
      </c>
      <c r="AT35" s="90">
        <f t="shared" si="18"/>
        <v>0</v>
      </c>
      <c r="AU35" s="90">
        <f t="shared" si="17"/>
        <v>0</v>
      </c>
      <c r="AV35" s="90">
        <f t="shared" si="17"/>
        <v>0</v>
      </c>
      <c r="AW35" s="90">
        <f t="shared" si="17"/>
        <v>0</v>
      </c>
      <c r="AX35" s="90">
        <f t="shared" si="17"/>
        <v>0</v>
      </c>
      <c r="AY35" s="90">
        <f t="shared" si="17"/>
        <v>0</v>
      </c>
      <c r="AZ35" s="90">
        <f t="shared" si="17"/>
        <v>0</v>
      </c>
      <c r="BA35" s="90">
        <f t="shared" si="17"/>
        <v>0</v>
      </c>
      <c r="BB35" s="90">
        <f t="shared" si="17"/>
        <v>0</v>
      </c>
      <c r="BC35" s="90">
        <f t="shared" si="17"/>
        <v>0</v>
      </c>
      <c r="BD35" s="90">
        <f t="shared" si="17"/>
        <v>0</v>
      </c>
      <c r="BE35" s="90">
        <f t="shared" si="17"/>
        <v>0</v>
      </c>
      <c r="BF35" s="90">
        <f t="shared" si="17"/>
        <v>0</v>
      </c>
      <c r="BG35" s="90">
        <f t="shared" si="17"/>
        <v>0</v>
      </c>
      <c r="BH35" s="90">
        <f t="shared" si="17"/>
        <v>0</v>
      </c>
      <c r="BI35" s="90">
        <f t="shared" si="17"/>
        <v>0</v>
      </c>
      <c r="BJ35" s="90">
        <f t="shared" si="16"/>
        <v>0</v>
      </c>
      <c r="BK35" s="90">
        <f t="shared" si="16"/>
        <v>0</v>
      </c>
      <c r="BL35" s="90">
        <f t="shared" si="16"/>
        <v>0</v>
      </c>
      <c r="BM35" s="90">
        <f t="shared" si="16"/>
        <v>0</v>
      </c>
      <c r="BN35" s="90">
        <f t="shared" si="16"/>
        <v>0</v>
      </c>
      <c r="BO35" s="90">
        <f t="shared" si="16"/>
        <v>0</v>
      </c>
    </row>
    <row r="36" spans="1:67">
      <c r="A36" s="11"/>
      <c r="B36" s="11" t="s">
        <v>279</v>
      </c>
      <c r="C36" s="11"/>
      <c r="D36" s="16">
        <v>1</v>
      </c>
      <c r="E36" s="92">
        <v>2156980</v>
      </c>
      <c r="F36" s="90">
        <f>ROUND($D36*$E36*'01 Major Assumptions'!$D$189*'01 Major Assumptions'!$D$221*$G$277,-5)</f>
        <v>5600000</v>
      </c>
      <c r="G36" s="90">
        <f t="shared" si="14"/>
        <v>0</v>
      </c>
      <c r="H36" s="90">
        <f t="shared" si="18"/>
        <v>0</v>
      </c>
      <c r="I36" s="90">
        <f t="shared" si="18"/>
        <v>0</v>
      </c>
      <c r="J36" s="90">
        <f t="shared" si="18"/>
        <v>0</v>
      </c>
      <c r="K36" s="90">
        <f t="shared" si="18"/>
        <v>0</v>
      </c>
      <c r="L36" s="90">
        <f t="shared" si="18"/>
        <v>0</v>
      </c>
      <c r="M36" s="90">
        <f t="shared" si="18"/>
        <v>0</v>
      </c>
      <c r="N36" s="90">
        <f t="shared" si="18"/>
        <v>0</v>
      </c>
      <c r="O36" s="90">
        <f t="shared" si="18"/>
        <v>0</v>
      </c>
      <c r="P36" s="90">
        <f t="shared" si="18"/>
        <v>466666.66666666663</v>
      </c>
      <c r="Q36" s="90">
        <f t="shared" si="18"/>
        <v>466666.66666666663</v>
      </c>
      <c r="R36" s="90">
        <f t="shared" si="18"/>
        <v>466666.66666666663</v>
      </c>
      <c r="S36" s="90">
        <f t="shared" si="18"/>
        <v>466666.66666666663</v>
      </c>
      <c r="T36" s="90">
        <f t="shared" si="18"/>
        <v>466666.66666666663</v>
      </c>
      <c r="U36" s="90">
        <f t="shared" si="18"/>
        <v>466666.66666666663</v>
      </c>
      <c r="V36" s="90">
        <f t="shared" si="18"/>
        <v>466666.66666666663</v>
      </c>
      <c r="W36" s="90">
        <f t="shared" si="18"/>
        <v>466666.66666666663</v>
      </c>
      <c r="X36" s="90">
        <f t="shared" si="18"/>
        <v>466666.66666666663</v>
      </c>
      <c r="Y36" s="90">
        <f t="shared" si="18"/>
        <v>466666.66666666663</v>
      </c>
      <c r="Z36" s="90">
        <f t="shared" si="18"/>
        <v>466666.66666666663</v>
      </c>
      <c r="AA36" s="90">
        <f t="shared" si="18"/>
        <v>466666.66666666663</v>
      </c>
      <c r="AB36" s="90">
        <f t="shared" si="18"/>
        <v>0</v>
      </c>
      <c r="AC36" s="90">
        <f t="shared" si="18"/>
        <v>0</v>
      </c>
      <c r="AD36" s="90">
        <f t="shared" si="18"/>
        <v>0</v>
      </c>
      <c r="AE36" s="90">
        <f t="shared" si="18"/>
        <v>0</v>
      </c>
      <c r="AF36" s="90">
        <f t="shared" si="18"/>
        <v>0</v>
      </c>
      <c r="AG36" s="90">
        <f t="shared" si="18"/>
        <v>0</v>
      </c>
      <c r="AH36" s="90">
        <f t="shared" si="18"/>
        <v>0</v>
      </c>
      <c r="AI36" s="90">
        <f t="shared" si="18"/>
        <v>0</v>
      </c>
      <c r="AJ36" s="90">
        <f t="shared" si="18"/>
        <v>0</v>
      </c>
      <c r="AK36" s="90">
        <f t="shared" si="18"/>
        <v>0</v>
      </c>
      <c r="AL36" s="90">
        <f t="shared" si="18"/>
        <v>0</v>
      </c>
      <c r="AM36" s="90">
        <f t="shared" si="18"/>
        <v>0</v>
      </c>
      <c r="AN36" s="90">
        <f t="shared" si="18"/>
        <v>0</v>
      </c>
      <c r="AO36" s="90">
        <f t="shared" si="18"/>
        <v>0</v>
      </c>
      <c r="AP36" s="90">
        <f t="shared" si="18"/>
        <v>0</v>
      </c>
      <c r="AQ36" s="90">
        <f t="shared" si="18"/>
        <v>0</v>
      </c>
      <c r="AR36" s="90">
        <f t="shared" si="18"/>
        <v>0</v>
      </c>
      <c r="AS36" s="90">
        <f t="shared" si="18"/>
        <v>0</v>
      </c>
      <c r="AT36" s="90">
        <f t="shared" si="18"/>
        <v>0</v>
      </c>
      <c r="AU36" s="90">
        <f t="shared" si="17"/>
        <v>0</v>
      </c>
      <c r="AV36" s="90">
        <f t="shared" si="17"/>
        <v>0</v>
      </c>
      <c r="AW36" s="90">
        <f t="shared" si="17"/>
        <v>0</v>
      </c>
      <c r="AX36" s="90">
        <f t="shared" si="17"/>
        <v>0</v>
      </c>
      <c r="AY36" s="90">
        <f t="shared" si="17"/>
        <v>0</v>
      </c>
      <c r="AZ36" s="90">
        <f t="shared" si="17"/>
        <v>0</v>
      </c>
      <c r="BA36" s="90">
        <f t="shared" si="17"/>
        <v>0</v>
      </c>
      <c r="BB36" s="90">
        <f t="shared" si="17"/>
        <v>0</v>
      </c>
      <c r="BC36" s="90">
        <f t="shared" si="17"/>
        <v>0</v>
      </c>
      <c r="BD36" s="90">
        <f t="shared" si="17"/>
        <v>0</v>
      </c>
      <c r="BE36" s="90">
        <f t="shared" si="17"/>
        <v>0</v>
      </c>
      <c r="BF36" s="90">
        <f t="shared" si="17"/>
        <v>0</v>
      </c>
      <c r="BG36" s="90">
        <f t="shared" si="17"/>
        <v>0</v>
      </c>
      <c r="BH36" s="90">
        <f t="shared" si="17"/>
        <v>0</v>
      </c>
      <c r="BI36" s="90">
        <f t="shared" si="17"/>
        <v>0</v>
      </c>
      <c r="BJ36" s="90">
        <f t="shared" si="16"/>
        <v>0</v>
      </c>
      <c r="BK36" s="90">
        <f t="shared" si="16"/>
        <v>0</v>
      </c>
      <c r="BL36" s="90">
        <f t="shared" si="16"/>
        <v>0</v>
      </c>
      <c r="BM36" s="90">
        <f t="shared" si="16"/>
        <v>0</v>
      </c>
      <c r="BN36" s="90">
        <f t="shared" si="16"/>
        <v>0</v>
      </c>
      <c r="BO36" s="90">
        <f t="shared" si="16"/>
        <v>0</v>
      </c>
    </row>
    <row r="37" spans="1:67">
      <c r="A37" s="11"/>
      <c r="B37" s="11" t="s">
        <v>280</v>
      </c>
      <c r="C37" s="11"/>
      <c r="D37" s="16">
        <v>1</v>
      </c>
      <c r="E37" s="92">
        <v>455860</v>
      </c>
      <c r="F37" s="90">
        <f>ROUND($D37*$E37*'01 Major Assumptions'!$D$189*'01 Major Assumptions'!$D$221*$G$277,-5)</f>
        <v>1200000</v>
      </c>
      <c r="G37" s="90">
        <f t="shared" si="14"/>
        <v>0</v>
      </c>
      <c r="H37" s="90">
        <f t="shared" si="18"/>
        <v>0</v>
      </c>
      <c r="I37" s="90">
        <f t="shared" si="18"/>
        <v>0</v>
      </c>
      <c r="J37" s="90">
        <f t="shared" si="18"/>
        <v>0</v>
      </c>
      <c r="K37" s="90">
        <f t="shared" si="18"/>
        <v>0</v>
      </c>
      <c r="L37" s="90">
        <f t="shared" si="18"/>
        <v>0</v>
      </c>
      <c r="M37" s="90">
        <f t="shared" si="18"/>
        <v>0</v>
      </c>
      <c r="N37" s="90">
        <f t="shared" si="18"/>
        <v>0</v>
      </c>
      <c r="O37" s="90">
        <f t="shared" si="18"/>
        <v>0</v>
      </c>
      <c r="P37" s="90">
        <f t="shared" si="18"/>
        <v>100000</v>
      </c>
      <c r="Q37" s="90">
        <f t="shared" si="18"/>
        <v>100000</v>
      </c>
      <c r="R37" s="90">
        <f t="shared" si="18"/>
        <v>100000</v>
      </c>
      <c r="S37" s="90">
        <f t="shared" si="18"/>
        <v>100000</v>
      </c>
      <c r="T37" s="90">
        <f t="shared" si="18"/>
        <v>100000</v>
      </c>
      <c r="U37" s="90">
        <f t="shared" si="18"/>
        <v>100000</v>
      </c>
      <c r="V37" s="90">
        <f t="shared" si="18"/>
        <v>100000</v>
      </c>
      <c r="W37" s="90">
        <f t="shared" si="18"/>
        <v>100000</v>
      </c>
      <c r="X37" s="90">
        <f t="shared" si="18"/>
        <v>100000</v>
      </c>
      <c r="Y37" s="90">
        <f t="shared" si="18"/>
        <v>100000</v>
      </c>
      <c r="Z37" s="90">
        <f t="shared" si="18"/>
        <v>100000</v>
      </c>
      <c r="AA37" s="90">
        <f t="shared" si="18"/>
        <v>100000</v>
      </c>
      <c r="AB37" s="90">
        <f t="shared" si="18"/>
        <v>0</v>
      </c>
      <c r="AC37" s="90">
        <f t="shared" si="18"/>
        <v>0</v>
      </c>
      <c r="AD37" s="90">
        <f t="shared" si="18"/>
        <v>0</v>
      </c>
      <c r="AE37" s="90">
        <f t="shared" si="18"/>
        <v>0</v>
      </c>
      <c r="AF37" s="90">
        <f t="shared" si="18"/>
        <v>0</v>
      </c>
      <c r="AG37" s="90">
        <f t="shared" si="18"/>
        <v>0</v>
      </c>
      <c r="AH37" s="90">
        <f t="shared" si="18"/>
        <v>0</v>
      </c>
      <c r="AI37" s="90">
        <f t="shared" si="18"/>
        <v>0</v>
      </c>
      <c r="AJ37" s="90">
        <f t="shared" si="18"/>
        <v>0</v>
      </c>
      <c r="AK37" s="90">
        <f t="shared" si="18"/>
        <v>0</v>
      </c>
      <c r="AL37" s="90">
        <f t="shared" si="18"/>
        <v>0</v>
      </c>
      <c r="AM37" s="90">
        <f t="shared" si="18"/>
        <v>0</v>
      </c>
      <c r="AN37" s="90">
        <f t="shared" si="18"/>
        <v>0</v>
      </c>
      <c r="AO37" s="90">
        <f t="shared" si="18"/>
        <v>0</v>
      </c>
      <c r="AP37" s="90">
        <f t="shared" si="18"/>
        <v>0</v>
      </c>
      <c r="AQ37" s="90">
        <f t="shared" si="18"/>
        <v>0</v>
      </c>
      <c r="AR37" s="90">
        <f t="shared" si="18"/>
        <v>0</v>
      </c>
      <c r="AS37" s="90">
        <f t="shared" si="18"/>
        <v>0</v>
      </c>
      <c r="AT37" s="90">
        <f t="shared" si="18"/>
        <v>0</v>
      </c>
      <c r="AU37" s="90">
        <f t="shared" si="17"/>
        <v>0</v>
      </c>
      <c r="AV37" s="90">
        <f t="shared" si="17"/>
        <v>0</v>
      </c>
      <c r="AW37" s="90">
        <f t="shared" si="17"/>
        <v>0</v>
      </c>
      <c r="AX37" s="90">
        <f t="shared" si="17"/>
        <v>0</v>
      </c>
      <c r="AY37" s="90">
        <f t="shared" si="17"/>
        <v>0</v>
      </c>
      <c r="AZ37" s="90">
        <f t="shared" si="17"/>
        <v>0</v>
      </c>
      <c r="BA37" s="90">
        <f t="shared" si="17"/>
        <v>0</v>
      </c>
      <c r="BB37" s="90">
        <f t="shared" si="17"/>
        <v>0</v>
      </c>
      <c r="BC37" s="90">
        <f t="shared" si="17"/>
        <v>0</v>
      </c>
      <c r="BD37" s="90">
        <f t="shared" si="17"/>
        <v>0</v>
      </c>
      <c r="BE37" s="90">
        <f t="shared" si="17"/>
        <v>0</v>
      </c>
      <c r="BF37" s="90">
        <f t="shared" si="17"/>
        <v>0</v>
      </c>
      <c r="BG37" s="90">
        <f t="shared" si="17"/>
        <v>0</v>
      </c>
      <c r="BH37" s="90">
        <f t="shared" si="17"/>
        <v>0</v>
      </c>
      <c r="BI37" s="90">
        <f t="shared" si="17"/>
        <v>0</v>
      </c>
      <c r="BJ37" s="90">
        <f t="shared" si="16"/>
        <v>0</v>
      </c>
      <c r="BK37" s="90">
        <f t="shared" si="16"/>
        <v>0</v>
      </c>
      <c r="BL37" s="90">
        <f t="shared" si="16"/>
        <v>0</v>
      </c>
      <c r="BM37" s="90">
        <f t="shared" si="16"/>
        <v>0</v>
      </c>
      <c r="BN37" s="90">
        <f t="shared" si="16"/>
        <v>0</v>
      </c>
      <c r="BO37" s="90">
        <f t="shared" si="16"/>
        <v>0</v>
      </c>
    </row>
    <row r="38" spans="1:67">
      <c r="A38" s="11"/>
      <c r="B38" s="11" t="s">
        <v>281</v>
      </c>
      <c r="C38" s="11"/>
      <c r="D38" s="16">
        <v>1</v>
      </c>
      <c r="E38" s="92">
        <v>856750</v>
      </c>
      <c r="F38" s="90">
        <f>ROUND($D38*$E38*'01 Major Assumptions'!$D$189*'01 Major Assumptions'!$D$221*$G$277,-5)</f>
        <v>2200000</v>
      </c>
      <c r="G38" s="90">
        <f t="shared" si="14"/>
        <v>0</v>
      </c>
      <c r="H38" s="90">
        <f t="shared" si="18"/>
        <v>0</v>
      </c>
      <c r="I38" s="90">
        <f t="shared" si="18"/>
        <v>0</v>
      </c>
      <c r="J38" s="90">
        <f t="shared" si="18"/>
        <v>0</v>
      </c>
      <c r="K38" s="90">
        <f t="shared" si="18"/>
        <v>0</v>
      </c>
      <c r="L38" s="90">
        <f t="shared" si="18"/>
        <v>0</v>
      </c>
      <c r="M38" s="90">
        <f t="shared" si="18"/>
        <v>0</v>
      </c>
      <c r="N38" s="90">
        <f t="shared" si="18"/>
        <v>0</v>
      </c>
      <c r="O38" s="90">
        <f t="shared" si="18"/>
        <v>0</v>
      </c>
      <c r="P38" s="90">
        <f t="shared" si="18"/>
        <v>183333.33333333331</v>
      </c>
      <c r="Q38" s="90">
        <f t="shared" si="18"/>
        <v>183333.33333333331</v>
      </c>
      <c r="R38" s="90">
        <f t="shared" si="18"/>
        <v>183333.33333333331</v>
      </c>
      <c r="S38" s="90">
        <f t="shared" si="18"/>
        <v>183333.33333333331</v>
      </c>
      <c r="T38" s="90">
        <f t="shared" si="18"/>
        <v>183333.33333333331</v>
      </c>
      <c r="U38" s="90">
        <f t="shared" si="18"/>
        <v>183333.33333333331</v>
      </c>
      <c r="V38" s="90">
        <f t="shared" si="18"/>
        <v>183333.33333333331</v>
      </c>
      <c r="W38" s="90">
        <f t="shared" si="18"/>
        <v>183333.33333333331</v>
      </c>
      <c r="X38" s="90">
        <f t="shared" si="18"/>
        <v>183333.33333333331</v>
      </c>
      <c r="Y38" s="90">
        <f t="shared" si="18"/>
        <v>183333.33333333331</v>
      </c>
      <c r="Z38" s="90">
        <f t="shared" si="18"/>
        <v>183333.33333333331</v>
      </c>
      <c r="AA38" s="90">
        <f t="shared" si="18"/>
        <v>183333.33333333331</v>
      </c>
      <c r="AB38" s="90">
        <f t="shared" si="18"/>
        <v>0</v>
      </c>
      <c r="AC38" s="90">
        <f t="shared" si="18"/>
        <v>0</v>
      </c>
      <c r="AD38" s="90">
        <f t="shared" si="18"/>
        <v>0</v>
      </c>
      <c r="AE38" s="90">
        <f t="shared" si="18"/>
        <v>0</v>
      </c>
      <c r="AF38" s="90">
        <f t="shared" si="18"/>
        <v>0</v>
      </c>
      <c r="AG38" s="90">
        <f t="shared" si="18"/>
        <v>0</v>
      </c>
      <c r="AH38" s="90">
        <f t="shared" si="18"/>
        <v>0</v>
      </c>
      <c r="AI38" s="90">
        <f t="shared" si="18"/>
        <v>0</v>
      </c>
      <c r="AJ38" s="90">
        <f t="shared" si="18"/>
        <v>0</v>
      </c>
      <c r="AK38" s="90">
        <f t="shared" si="18"/>
        <v>0</v>
      </c>
      <c r="AL38" s="90">
        <f t="shared" si="18"/>
        <v>0</v>
      </c>
      <c r="AM38" s="90">
        <f t="shared" si="18"/>
        <v>0</v>
      </c>
      <c r="AN38" s="90">
        <f t="shared" si="18"/>
        <v>0</v>
      </c>
      <c r="AO38" s="90">
        <f t="shared" si="18"/>
        <v>0</v>
      </c>
      <c r="AP38" s="90">
        <f t="shared" si="18"/>
        <v>0</v>
      </c>
      <c r="AQ38" s="90">
        <f t="shared" si="18"/>
        <v>0</v>
      </c>
      <c r="AR38" s="90">
        <f t="shared" si="18"/>
        <v>0</v>
      </c>
      <c r="AS38" s="90">
        <f t="shared" si="18"/>
        <v>0</v>
      </c>
      <c r="AT38" s="90">
        <f t="shared" si="18"/>
        <v>0</v>
      </c>
      <c r="AU38" s="90">
        <f t="shared" si="17"/>
        <v>0</v>
      </c>
      <c r="AV38" s="90">
        <f t="shared" si="17"/>
        <v>0</v>
      </c>
      <c r="AW38" s="90">
        <f t="shared" si="17"/>
        <v>0</v>
      </c>
      <c r="AX38" s="90">
        <f t="shared" si="17"/>
        <v>0</v>
      </c>
      <c r="AY38" s="90">
        <f t="shared" si="17"/>
        <v>0</v>
      </c>
      <c r="AZ38" s="90">
        <f t="shared" si="17"/>
        <v>0</v>
      </c>
      <c r="BA38" s="90">
        <f t="shared" si="17"/>
        <v>0</v>
      </c>
      <c r="BB38" s="90">
        <f t="shared" si="17"/>
        <v>0</v>
      </c>
      <c r="BC38" s="90">
        <f t="shared" si="17"/>
        <v>0</v>
      </c>
      <c r="BD38" s="90">
        <f t="shared" si="17"/>
        <v>0</v>
      </c>
      <c r="BE38" s="90">
        <f t="shared" si="17"/>
        <v>0</v>
      </c>
      <c r="BF38" s="90">
        <f t="shared" si="17"/>
        <v>0</v>
      </c>
      <c r="BG38" s="90">
        <f t="shared" si="17"/>
        <v>0</v>
      </c>
      <c r="BH38" s="90">
        <f t="shared" si="17"/>
        <v>0</v>
      </c>
      <c r="BI38" s="90">
        <f t="shared" si="17"/>
        <v>0</v>
      </c>
      <c r="BJ38" s="90">
        <f t="shared" si="16"/>
        <v>0</v>
      </c>
      <c r="BK38" s="90">
        <f t="shared" si="16"/>
        <v>0</v>
      </c>
      <c r="BL38" s="90">
        <f t="shared" si="16"/>
        <v>0</v>
      </c>
      <c r="BM38" s="90">
        <f t="shared" si="16"/>
        <v>0</v>
      </c>
      <c r="BN38" s="90">
        <f t="shared" si="16"/>
        <v>0</v>
      </c>
      <c r="BO38" s="90">
        <f t="shared" si="16"/>
        <v>0</v>
      </c>
    </row>
    <row r="39" spans="1:67">
      <c r="A39" s="11"/>
      <c r="B39" s="11" t="s">
        <v>282</v>
      </c>
      <c r="C39" s="11"/>
      <c r="D39" s="16">
        <v>1</v>
      </c>
      <c r="E39" s="92">
        <v>15680000</v>
      </c>
      <c r="F39" s="90">
        <f>ROUND($D39*$E39*'01 Major Assumptions'!$D$189*'01 Major Assumptions'!$D$221*$G$277,-5)</f>
        <v>40700000</v>
      </c>
      <c r="G39" s="90">
        <f t="shared" si="14"/>
        <v>0</v>
      </c>
      <c r="H39" s="90">
        <f t="shared" ref="H39:AB44" si="19">$F39*H$8</f>
        <v>0</v>
      </c>
      <c r="I39" s="90">
        <f t="shared" si="19"/>
        <v>0</v>
      </c>
      <c r="J39" s="90">
        <f t="shared" si="19"/>
        <v>0</v>
      </c>
      <c r="K39" s="90">
        <f t="shared" si="19"/>
        <v>0</v>
      </c>
      <c r="L39" s="90">
        <f t="shared" si="19"/>
        <v>0</v>
      </c>
      <c r="M39" s="90">
        <f t="shared" si="19"/>
        <v>0</v>
      </c>
      <c r="N39" s="90">
        <f t="shared" si="19"/>
        <v>0</v>
      </c>
      <c r="O39" s="90">
        <f t="shared" si="19"/>
        <v>0</v>
      </c>
      <c r="P39" s="90">
        <f t="shared" si="19"/>
        <v>3391666.6666666665</v>
      </c>
      <c r="Q39" s="90">
        <f t="shared" si="19"/>
        <v>3391666.6666666665</v>
      </c>
      <c r="R39" s="90">
        <f t="shared" si="19"/>
        <v>3391666.6666666665</v>
      </c>
      <c r="S39" s="90">
        <f t="shared" si="19"/>
        <v>3391666.6666666665</v>
      </c>
      <c r="T39" s="90">
        <f t="shared" si="19"/>
        <v>3391666.6666666665</v>
      </c>
      <c r="U39" s="90">
        <f t="shared" si="19"/>
        <v>3391666.6666666665</v>
      </c>
      <c r="V39" s="90">
        <f t="shared" si="19"/>
        <v>3391666.6666666665</v>
      </c>
      <c r="W39" s="90">
        <f t="shared" si="19"/>
        <v>3391666.6666666665</v>
      </c>
      <c r="X39" s="90">
        <f t="shared" si="19"/>
        <v>3391666.6666666665</v>
      </c>
      <c r="Y39" s="90">
        <f t="shared" si="19"/>
        <v>3391666.6666666665</v>
      </c>
      <c r="Z39" s="90">
        <f t="shared" si="19"/>
        <v>3391666.6666666665</v>
      </c>
      <c r="AA39" s="90">
        <f t="shared" si="19"/>
        <v>3391666.6666666665</v>
      </c>
      <c r="AB39" s="90">
        <f t="shared" si="19"/>
        <v>0</v>
      </c>
      <c r="AC39" s="90">
        <f t="shared" ref="AC39:AT44" si="20">$F39*AC$8</f>
        <v>0</v>
      </c>
      <c r="AD39" s="90">
        <f t="shared" si="20"/>
        <v>0</v>
      </c>
      <c r="AE39" s="90">
        <f t="shared" si="20"/>
        <v>0</v>
      </c>
      <c r="AF39" s="90">
        <f t="shared" si="20"/>
        <v>0</v>
      </c>
      <c r="AG39" s="90">
        <f t="shared" si="20"/>
        <v>0</v>
      </c>
      <c r="AH39" s="90">
        <f t="shared" si="20"/>
        <v>0</v>
      </c>
      <c r="AI39" s="90">
        <f t="shared" si="20"/>
        <v>0</v>
      </c>
      <c r="AJ39" s="90">
        <f t="shared" si="20"/>
        <v>0</v>
      </c>
      <c r="AK39" s="90">
        <f t="shared" si="20"/>
        <v>0</v>
      </c>
      <c r="AL39" s="90">
        <f t="shared" si="20"/>
        <v>0</v>
      </c>
      <c r="AM39" s="90">
        <f t="shared" si="20"/>
        <v>0</v>
      </c>
      <c r="AN39" s="90">
        <f t="shared" si="20"/>
        <v>0</v>
      </c>
      <c r="AO39" s="90">
        <f t="shared" si="20"/>
        <v>0</v>
      </c>
      <c r="AP39" s="90">
        <f t="shared" si="20"/>
        <v>0</v>
      </c>
      <c r="AQ39" s="90">
        <f t="shared" si="20"/>
        <v>0</v>
      </c>
      <c r="AR39" s="90">
        <f t="shared" si="20"/>
        <v>0</v>
      </c>
      <c r="AS39" s="90">
        <f t="shared" si="20"/>
        <v>0</v>
      </c>
      <c r="AT39" s="90">
        <f t="shared" si="20"/>
        <v>0</v>
      </c>
      <c r="AU39" s="90">
        <f t="shared" si="17"/>
        <v>0</v>
      </c>
      <c r="AV39" s="90">
        <f t="shared" si="17"/>
        <v>0</v>
      </c>
      <c r="AW39" s="90">
        <f t="shared" si="17"/>
        <v>0</v>
      </c>
      <c r="AX39" s="90">
        <f t="shared" si="17"/>
        <v>0</v>
      </c>
      <c r="AY39" s="90">
        <f t="shared" si="17"/>
        <v>0</v>
      </c>
      <c r="AZ39" s="90">
        <f t="shared" si="17"/>
        <v>0</v>
      </c>
      <c r="BA39" s="90">
        <f t="shared" si="17"/>
        <v>0</v>
      </c>
      <c r="BB39" s="90">
        <f t="shared" si="17"/>
        <v>0</v>
      </c>
      <c r="BC39" s="90">
        <f t="shared" si="17"/>
        <v>0</v>
      </c>
      <c r="BD39" s="90">
        <f t="shared" si="17"/>
        <v>0</v>
      </c>
      <c r="BE39" s="90">
        <f t="shared" si="17"/>
        <v>0</v>
      </c>
      <c r="BF39" s="90">
        <f t="shared" si="17"/>
        <v>0</v>
      </c>
      <c r="BG39" s="90">
        <f t="shared" si="17"/>
        <v>0</v>
      </c>
      <c r="BH39" s="90">
        <f t="shared" si="17"/>
        <v>0</v>
      </c>
      <c r="BI39" s="90">
        <f t="shared" si="17"/>
        <v>0</v>
      </c>
      <c r="BJ39" s="90">
        <f t="shared" si="16"/>
        <v>0</v>
      </c>
      <c r="BK39" s="90">
        <f t="shared" si="16"/>
        <v>0</v>
      </c>
      <c r="BL39" s="90">
        <f t="shared" si="16"/>
        <v>0</v>
      </c>
      <c r="BM39" s="90">
        <f t="shared" si="16"/>
        <v>0</v>
      </c>
      <c r="BN39" s="90">
        <f t="shared" si="16"/>
        <v>0</v>
      </c>
      <c r="BO39" s="90">
        <f t="shared" si="16"/>
        <v>0</v>
      </c>
    </row>
    <row r="40" spans="1:67">
      <c r="A40" s="11"/>
      <c r="B40" s="11" t="s">
        <v>283</v>
      </c>
      <c r="C40" s="11"/>
      <c r="D40" s="16">
        <v>1</v>
      </c>
      <c r="E40" s="92">
        <v>1024580</v>
      </c>
      <c r="F40" s="90">
        <f>ROUND($D40*$E40*'01 Major Assumptions'!$D$189*'01 Major Assumptions'!$D$221*$G$277,-5)</f>
        <v>2700000</v>
      </c>
      <c r="G40" s="90">
        <f t="shared" si="14"/>
        <v>0</v>
      </c>
      <c r="H40" s="90">
        <f t="shared" si="19"/>
        <v>0</v>
      </c>
      <c r="I40" s="90">
        <f t="shared" si="19"/>
        <v>0</v>
      </c>
      <c r="J40" s="90">
        <f t="shared" si="19"/>
        <v>0</v>
      </c>
      <c r="K40" s="90">
        <f t="shared" si="19"/>
        <v>0</v>
      </c>
      <c r="L40" s="90">
        <f t="shared" si="19"/>
        <v>0</v>
      </c>
      <c r="M40" s="90">
        <f t="shared" si="19"/>
        <v>0</v>
      </c>
      <c r="N40" s="90">
        <f t="shared" si="19"/>
        <v>0</v>
      </c>
      <c r="O40" s="90">
        <f t="shared" si="19"/>
        <v>0</v>
      </c>
      <c r="P40" s="90">
        <f t="shared" si="19"/>
        <v>225000</v>
      </c>
      <c r="Q40" s="90">
        <f t="shared" si="19"/>
        <v>225000</v>
      </c>
      <c r="R40" s="90">
        <f t="shared" si="19"/>
        <v>225000</v>
      </c>
      <c r="S40" s="90">
        <f t="shared" si="19"/>
        <v>225000</v>
      </c>
      <c r="T40" s="90">
        <f t="shared" si="19"/>
        <v>225000</v>
      </c>
      <c r="U40" s="90">
        <f t="shared" si="19"/>
        <v>225000</v>
      </c>
      <c r="V40" s="90">
        <f t="shared" si="19"/>
        <v>225000</v>
      </c>
      <c r="W40" s="90">
        <f t="shared" si="19"/>
        <v>225000</v>
      </c>
      <c r="X40" s="90">
        <f t="shared" si="19"/>
        <v>225000</v>
      </c>
      <c r="Y40" s="90">
        <f t="shared" si="19"/>
        <v>225000</v>
      </c>
      <c r="Z40" s="90">
        <f t="shared" si="19"/>
        <v>225000</v>
      </c>
      <c r="AA40" s="90">
        <f t="shared" si="19"/>
        <v>225000</v>
      </c>
      <c r="AB40" s="90">
        <f t="shared" si="19"/>
        <v>0</v>
      </c>
      <c r="AC40" s="90">
        <f t="shared" si="20"/>
        <v>0</v>
      </c>
      <c r="AD40" s="90">
        <f t="shared" si="20"/>
        <v>0</v>
      </c>
      <c r="AE40" s="90">
        <f t="shared" si="20"/>
        <v>0</v>
      </c>
      <c r="AF40" s="90">
        <f t="shared" si="20"/>
        <v>0</v>
      </c>
      <c r="AG40" s="90">
        <f t="shared" si="20"/>
        <v>0</v>
      </c>
      <c r="AH40" s="90">
        <f t="shared" si="20"/>
        <v>0</v>
      </c>
      <c r="AI40" s="90">
        <f t="shared" si="20"/>
        <v>0</v>
      </c>
      <c r="AJ40" s="90">
        <f t="shared" si="20"/>
        <v>0</v>
      </c>
      <c r="AK40" s="90">
        <f t="shared" si="20"/>
        <v>0</v>
      </c>
      <c r="AL40" s="90">
        <f t="shared" si="20"/>
        <v>0</v>
      </c>
      <c r="AM40" s="90">
        <f t="shared" si="20"/>
        <v>0</v>
      </c>
      <c r="AN40" s="90">
        <f t="shared" si="20"/>
        <v>0</v>
      </c>
      <c r="AO40" s="90">
        <f t="shared" si="20"/>
        <v>0</v>
      </c>
      <c r="AP40" s="90">
        <f t="shared" si="20"/>
        <v>0</v>
      </c>
      <c r="AQ40" s="90">
        <f t="shared" si="20"/>
        <v>0</v>
      </c>
      <c r="AR40" s="90">
        <f t="shared" si="20"/>
        <v>0</v>
      </c>
      <c r="AS40" s="90">
        <f t="shared" si="20"/>
        <v>0</v>
      </c>
      <c r="AT40" s="90">
        <f t="shared" si="20"/>
        <v>0</v>
      </c>
      <c r="AU40" s="90">
        <f t="shared" si="17"/>
        <v>0</v>
      </c>
      <c r="AV40" s="90">
        <f t="shared" si="17"/>
        <v>0</v>
      </c>
      <c r="AW40" s="90">
        <f t="shared" si="17"/>
        <v>0</v>
      </c>
      <c r="AX40" s="90">
        <f t="shared" si="17"/>
        <v>0</v>
      </c>
      <c r="AY40" s="90">
        <f t="shared" si="17"/>
        <v>0</v>
      </c>
      <c r="AZ40" s="90">
        <f t="shared" si="17"/>
        <v>0</v>
      </c>
      <c r="BA40" s="90">
        <f t="shared" si="17"/>
        <v>0</v>
      </c>
      <c r="BB40" s="90">
        <f t="shared" si="17"/>
        <v>0</v>
      </c>
      <c r="BC40" s="90">
        <f t="shared" si="17"/>
        <v>0</v>
      </c>
      <c r="BD40" s="90">
        <f t="shared" si="17"/>
        <v>0</v>
      </c>
      <c r="BE40" s="90">
        <f t="shared" si="17"/>
        <v>0</v>
      </c>
      <c r="BF40" s="90">
        <f t="shared" si="17"/>
        <v>0</v>
      </c>
      <c r="BG40" s="90">
        <f t="shared" si="17"/>
        <v>0</v>
      </c>
      <c r="BH40" s="90">
        <f t="shared" si="17"/>
        <v>0</v>
      </c>
      <c r="BI40" s="90">
        <f t="shared" si="17"/>
        <v>0</v>
      </c>
      <c r="BJ40" s="90">
        <f t="shared" si="16"/>
        <v>0</v>
      </c>
      <c r="BK40" s="90">
        <f t="shared" si="16"/>
        <v>0</v>
      </c>
      <c r="BL40" s="90">
        <f t="shared" si="16"/>
        <v>0</v>
      </c>
      <c r="BM40" s="90">
        <f t="shared" si="16"/>
        <v>0</v>
      </c>
      <c r="BN40" s="90">
        <f t="shared" si="16"/>
        <v>0</v>
      </c>
      <c r="BO40" s="90">
        <f t="shared" si="16"/>
        <v>0</v>
      </c>
    </row>
    <row r="41" spans="1:67">
      <c r="A41" s="11"/>
      <c r="B41" s="11" t="s">
        <v>284</v>
      </c>
      <c r="C41" s="11"/>
      <c r="D41" s="16">
        <v>1</v>
      </c>
      <c r="E41" s="92">
        <v>5655750</v>
      </c>
      <c r="F41" s="90">
        <f>ROUND($D41*$E41*'01 Major Assumptions'!$D$189*'01 Major Assumptions'!$D$221*$G$277,-5)</f>
        <v>14700000</v>
      </c>
      <c r="G41" s="90">
        <f t="shared" si="14"/>
        <v>0</v>
      </c>
      <c r="H41" s="90">
        <f t="shared" si="19"/>
        <v>0</v>
      </c>
      <c r="I41" s="90">
        <f t="shared" si="19"/>
        <v>0</v>
      </c>
      <c r="J41" s="90">
        <f t="shared" si="19"/>
        <v>0</v>
      </c>
      <c r="K41" s="90">
        <f t="shared" si="19"/>
        <v>0</v>
      </c>
      <c r="L41" s="90">
        <f t="shared" si="19"/>
        <v>0</v>
      </c>
      <c r="M41" s="90">
        <f t="shared" si="19"/>
        <v>0</v>
      </c>
      <c r="N41" s="90">
        <f t="shared" si="19"/>
        <v>0</v>
      </c>
      <c r="O41" s="90">
        <f t="shared" si="19"/>
        <v>0</v>
      </c>
      <c r="P41" s="90">
        <f t="shared" si="19"/>
        <v>1225000</v>
      </c>
      <c r="Q41" s="90">
        <f t="shared" si="19"/>
        <v>1225000</v>
      </c>
      <c r="R41" s="90">
        <f t="shared" si="19"/>
        <v>1225000</v>
      </c>
      <c r="S41" s="90">
        <f t="shared" si="19"/>
        <v>1225000</v>
      </c>
      <c r="T41" s="90">
        <f t="shared" si="19"/>
        <v>1225000</v>
      </c>
      <c r="U41" s="90">
        <f t="shared" si="19"/>
        <v>1225000</v>
      </c>
      <c r="V41" s="90">
        <f t="shared" si="19"/>
        <v>1225000</v>
      </c>
      <c r="W41" s="90">
        <f t="shared" si="19"/>
        <v>1225000</v>
      </c>
      <c r="X41" s="90">
        <f t="shared" si="19"/>
        <v>1225000</v>
      </c>
      <c r="Y41" s="90">
        <f t="shared" si="19"/>
        <v>1225000</v>
      </c>
      <c r="Z41" s="90">
        <f t="shared" si="19"/>
        <v>1225000</v>
      </c>
      <c r="AA41" s="90">
        <f t="shared" si="19"/>
        <v>1225000</v>
      </c>
      <c r="AB41" s="90">
        <f t="shared" si="19"/>
        <v>0</v>
      </c>
      <c r="AC41" s="90">
        <f t="shared" si="20"/>
        <v>0</v>
      </c>
      <c r="AD41" s="90">
        <f t="shared" si="20"/>
        <v>0</v>
      </c>
      <c r="AE41" s="90">
        <f t="shared" si="20"/>
        <v>0</v>
      </c>
      <c r="AF41" s="90">
        <f t="shared" si="20"/>
        <v>0</v>
      </c>
      <c r="AG41" s="90">
        <f t="shared" si="20"/>
        <v>0</v>
      </c>
      <c r="AH41" s="90">
        <f t="shared" si="20"/>
        <v>0</v>
      </c>
      <c r="AI41" s="90">
        <f t="shared" si="20"/>
        <v>0</v>
      </c>
      <c r="AJ41" s="90">
        <f t="shared" si="20"/>
        <v>0</v>
      </c>
      <c r="AK41" s="90">
        <f t="shared" si="20"/>
        <v>0</v>
      </c>
      <c r="AL41" s="90">
        <f t="shared" si="20"/>
        <v>0</v>
      </c>
      <c r="AM41" s="90">
        <f t="shared" si="20"/>
        <v>0</v>
      </c>
      <c r="AN41" s="90">
        <f t="shared" si="20"/>
        <v>0</v>
      </c>
      <c r="AO41" s="90">
        <f t="shared" si="20"/>
        <v>0</v>
      </c>
      <c r="AP41" s="90">
        <f t="shared" si="20"/>
        <v>0</v>
      </c>
      <c r="AQ41" s="90">
        <f t="shared" si="20"/>
        <v>0</v>
      </c>
      <c r="AR41" s="90">
        <f t="shared" si="20"/>
        <v>0</v>
      </c>
      <c r="AS41" s="90">
        <f t="shared" si="20"/>
        <v>0</v>
      </c>
      <c r="AT41" s="90">
        <f t="shared" si="20"/>
        <v>0</v>
      </c>
      <c r="AU41" s="90">
        <f t="shared" si="17"/>
        <v>0</v>
      </c>
      <c r="AV41" s="90">
        <f t="shared" si="17"/>
        <v>0</v>
      </c>
      <c r="AW41" s="90">
        <f t="shared" si="17"/>
        <v>0</v>
      </c>
      <c r="AX41" s="90">
        <f t="shared" si="17"/>
        <v>0</v>
      </c>
      <c r="AY41" s="90">
        <f t="shared" si="17"/>
        <v>0</v>
      </c>
      <c r="AZ41" s="90">
        <f t="shared" si="17"/>
        <v>0</v>
      </c>
      <c r="BA41" s="90">
        <f t="shared" si="17"/>
        <v>0</v>
      </c>
      <c r="BB41" s="90">
        <f t="shared" si="17"/>
        <v>0</v>
      </c>
      <c r="BC41" s="90">
        <f t="shared" si="17"/>
        <v>0</v>
      </c>
      <c r="BD41" s="90">
        <f t="shared" si="17"/>
        <v>0</v>
      </c>
      <c r="BE41" s="90">
        <f t="shared" si="17"/>
        <v>0</v>
      </c>
      <c r="BF41" s="90">
        <f t="shared" si="17"/>
        <v>0</v>
      </c>
      <c r="BG41" s="90">
        <f t="shared" si="17"/>
        <v>0</v>
      </c>
      <c r="BH41" s="90">
        <f t="shared" si="17"/>
        <v>0</v>
      </c>
      <c r="BI41" s="90">
        <f t="shared" si="17"/>
        <v>0</v>
      </c>
      <c r="BJ41" s="90">
        <f t="shared" si="16"/>
        <v>0</v>
      </c>
      <c r="BK41" s="90">
        <f t="shared" si="16"/>
        <v>0</v>
      </c>
      <c r="BL41" s="90">
        <f t="shared" si="16"/>
        <v>0</v>
      </c>
      <c r="BM41" s="90">
        <f t="shared" si="16"/>
        <v>0</v>
      </c>
      <c r="BN41" s="90">
        <f t="shared" si="16"/>
        <v>0</v>
      </c>
      <c r="BO41" s="90">
        <f t="shared" si="16"/>
        <v>0</v>
      </c>
    </row>
    <row r="42" spans="1:67">
      <c r="A42" s="11"/>
      <c r="B42" s="11" t="s">
        <v>285</v>
      </c>
      <c r="C42" s="11"/>
      <c r="D42" s="16">
        <v>1</v>
      </c>
      <c r="E42" s="92">
        <v>1680000</v>
      </c>
      <c r="F42" s="90">
        <f>ROUND($D42*$E42*'01 Major Assumptions'!$D$189*'01 Major Assumptions'!$D$221*$G$277,-5)</f>
        <v>4400000</v>
      </c>
      <c r="G42" s="90">
        <f t="shared" si="14"/>
        <v>0</v>
      </c>
      <c r="H42" s="90">
        <f t="shared" si="19"/>
        <v>0</v>
      </c>
      <c r="I42" s="90">
        <f t="shared" si="19"/>
        <v>0</v>
      </c>
      <c r="J42" s="90">
        <f t="shared" si="19"/>
        <v>0</v>
      </c>
      <c r="K42" s="90">
        <f t="shared" si="19"/>
        <v>0</v>
      </c>
      <c r="L42" s="90">
        <f t="shared" si="19"/>
        <v>0</v>
      </c>
      <c r="M42" s="90">
        <f t="shared" si="19"/>
        <v>0</v>
      </c>
      <c r="N42" s="90">
        <f t="shared" si="19"/>
        <v>0</v>
      </c>
      <c r="O42" s="90">
        <f t="shared" si="19"/>
        <v>0</v>
      </c>
      <c r="P42" s="90">
        <f t="shared" si="19"/>
        <v>366666.66666666663</v>
      </c>
      <c r="Q42" s="90">
        <f t="shared" si="19"/>
        <v>366666.66666666663</v>
      </c>
      <c r="R42" s="90">
        <f t="shared" si="19"/>
        <v>366666.66666666663</v>
      </c>
      <c r="S42" s="90">
        <f t="shared" si="19"/>
        <v>366666.66666666663</v>
      </c>
      <c r="T42" s="90">
        <f t="shared" si="19"/>
        <v>366666.66666666663</v>
      </c>
      <c r="U42" s="90">
        <f t="shared" si="19"/>
        <v>366666.66666666663</v>
      </c>
      <c r="V42" s="90">
        <f t="shared" si="19"/>
        <v>366666.66666666663</v>
      </c>
      <c r="W42" s="90">
        <f t="shared" si="19"/>
        <v>366666.66666666663</v>
      </c>
      <c r="X42" s="90">
        <f t="shared" si="19"/>
        <v>366666.66666666663</v>
      </c>
      <c r="Y42" s="90">
        <f t="shared" si="19"/>
        <v>366666.66666666663</v>
      </c>
      <c r="Z42" s="90">
        <f t="shared" si="19"/>
        <v>366666.66666666663</v>
      </c>
      <c r="AA42" s="90">
        <f t="shared" si="19"/>
        <v>366666.66666666663</v>
      </c>
      <c r="AB42" s="90">
        <f t="shared" si="19"/>
        <v>0</v>
      </c>
      <c r="AC42" s="90">
        <f t="shared" si="20"/>
        <v>0</v>
      </c>
      <c r="AD42" s="90">
        <f t="shared" si="20"/>
        <v>0</v>
      </c>
      <c r="AE42" s="90">
        <f t="shared" si="20"/>
        <v>0</v>
      </c>
      <c r="AF42" s="90">
        <f t="shared" si="20"/>
        <v>0</v>
      </c>
      <c r="AG42" s="90">
        <f t="shared" si="20"/>
        <v>0</v>
      </c>
      <c r="AH42" s="90">
        <f t="shared" si="20"/>
        <v>0</v>
      </c>
      <c r="AI42" s="90">
        <f t="shared" si="20"/>
        <v>0</v>
      </c>
      <c r="AJ42" s="90">
        <f t="shared" si="20"/>
        <v>0</v>
      </c>
      <c r="AK42" s="90">
        <f t="shared" si="20"/>
        <v>0</v>
      </c>
      <c r="AL42" s="90">
        <f t="shared" si="20"/>
        <v>0</v>
      </c>
      <c r="AM42" s="90">
        <f t="shared" si="20"/>
        <v>0</v>
      </c>
      <c r="AN42" s="90">
        <f t="shared" si="20"/>
        <v>0</v>
      </c>
      <c r="AO42" s="90">
        <f t="shared" si="20"/>
        <v>0</v>
      </c>
      <c r="AP42" s="90">
        <f t="shared" si="20"/>
        <v>0</v>
      </c>
      <c r="AQ42" s="90">
        <f t="shared" si="20"/>
        <v>0</v>
      </c>
      <c r="AR42" s="90">
        <f t="shared" si="20"/>
        <v>0</v>
      </c>
      <c r="AS42" s="90">
        <f t="shared" si="20"/>
        <v>0</v>
      </c>
      <c r="AT42" s="90">
        <f t="shared" si="20"/>
        <v>0</v>
      </c>
      <c r="AU42" s="90">
        <f t="shared" si="17"/>
        <v>0</v>
      </c>
      <c r="AV42" s="90">
        <f t="shared" si="17"/>
        <v>0</v>
      </c>
      <c r="AW42" s="90">
        <f t="shared" si="17"/>
        <v>0</v>
      </c>
      <c r="AX42" s="90">
        <f t="shared" si="17"/>
        <v>0</v>
      </c>
      <c r="AY42" s="90">
        <f t="shared" si="17"/>
        <v>0</v>
      </c>
      <c r="AZ42" s="90">
        <f t="shared" si="17"/>
        <v>0</v>
      </c>
      <c r="BA42" s="90">
        <f t="shared" si="17"/>
        <v>0</v>
      </c>
      <c r="BB42" s="90">
        <f t="shared" si="17"/>
        <v>0</v>
      </c>
      <c r="BC42" s="90">
        <f t="shared" si="17"/>
        <v>0</v>
      </c>
      <c r="BD42" s="90">
        <f t="shared" si="17"/>
        <v>0</v>
      </c>
      <c r="BE42" s="90">
        <f t="shared" si="17"/>
        <v>0</v>
      </c>
      <c r="BF42" s="90">
        <f t="shared" si="17"/>
        <v>0</v>
      </c>
      <c r="BG42" s="90">
        <f t="shared" si="17"/>
        <v>0</v>
      </c>
      <c r="BH42" s="90">
        <f t="shared" si="17"/>
        <v>0</v>
      </c>
      <c r="BI42" s="90">
        <f t="shared" si="17"/>
        <v>0</v>
      </c>
      <c r="BJ42" s="90">
        <f t="shared" si="16"/>
        <v>0</v>
      </c>
      <c r="BK42" s="90">
        <f t="shared" si="16"/>
        <v>0</v>
      </c>
      <c r="BL42" s="90">
        <f t="shared" si="16"/>
        <v>0</v>
      </c>
      <c r="BM42" s="90">
        <f t="shared" si="16"/>
        <v>0</v>
      </c>
      <c r="BN42" s="90">
        <f t="shared" si="16"/>
        <v>0</v>
      </c>
      <c r="BO42" s="90">
        <f t="shared" si="16"/>
        <v>0</v>
      </c>
    </row>
    <row r="43" spans="1:67">
      <c r="A43" s="11"/>
      <c r="B43" s="11" t="s">
        <v>286</v>
      </c>
      <c r="C43" s="11"/>
      <c r="D43" s="16">
        <v>1</v>
      </c>
      <c r="E43" s="92">
        <v>25000000</v>
      </c>
      <c r="F43" s="90">
        <f>ROUND($D43*$E43*'01 Major Assumptions'!$D$189*'01 Major Assumptions'!$D$221*$G$277,-5)</f>
        <v>64900000</v>
      </c>
      <c r="G43" s="90">
        <f t="shared" si="14"/>
        <v>0</v>
      </c>
      <c r="H43" s="90">
        <f t="shared" si="19"/>
        <v>0</v>
      </c>
      <c r="I43" s="90">
        <f t="shared" si="19"/>
        <v>0</v>
      </c>
      <c r="J43" s="90">
        <f t="shared" si="19"/>
        <v>0</v>
      </c>
      <c r="K43" s="90">
        <f t="shared" si="19"/>
        <v>0</v>
      </c>
      <c r="L43" s="90">
        <f t="shared" si="19"/>
        <v>0</v>
      </c>
      <c r="M43" s="90">
        <f t="shared" si="19"/>
        <v>0</v>
      </c>
      <c r="N43" s="90">
        <f t="shared" si="19"/>
        <v>0</v>
      </c>
      <c r="O43" s="90">
        <f t="shared" si="19"/>
        <v>0</v>
      </c>
      <c r="P43" s="90">
        <f t="shared" si="19"/>
        <v>5408333.333333333</v>
      </c>
      <c r="Q43" s="90">
        <f t="shared" si="19"/>
        <v>5408333.333333333</v>
      </c>
      <c r="R43" s="90">
        <f t="shared" si="19"/>
        <v>5408333.333333333</v>
      </c>
      <c r="S43" s="90">
        <f t="shared" si="19"/>
        <v>5408333.333333333</v>
      </c>
      <c r="T43" s="90">
        <f t="shared" si="19"/>
        <v>5408333.333333333</v>
      </c>
      <c r="U43" s="90">
        <f t="shared" si="19"/>
        <v>5408333.333333333</v>
      </c>
      <c r="V43" s="90">
        <f t="shared" si="19"/>
        <v>5408333.333333333</v>
      </c>
      <c r="W43" s="90">
        <f t="shared" si="19"/>
        <v>5408333.333333333</v>
      </c>
      <c r="X43" s="90">
        <f t="shared" si="19"/>
        <v>5408333.333333333</v>
      </c>
      <c r="Y43" s="90">
        <f t="shared" si="19"/>
        <v>5408333.333333333</v>
      </c>
      <c r="Z43" s="90">
        <f t="shared" si="19"/>
        <v>5408333.333333333</v>
      </c>
      <c r="AA43" s="90">
        <f t="shared" si="19"/>
        <v>5408333.333333333</v>
      </c>
      <c r="AB43" s="90">
        <f t="shared" si="19"/>
        <v>0</v>
      </c>
      <c r="AC43" s="90">
        <f t="shared" si="20"/>
        <v>0</v>
      </c>
      <c r="AD43" s="90">
        <f t="shared" si="20"/>
        <v>0</v>
      </c>
      <c r="AE43" s="90">
        <f t="shared" si="20"/>
        <v>0</v>
      </c>
      <c r="AF43" s="90">
        <f t="shared" si="20"/>
        <v>0</v>
      </c>
      <c r="AG43" s="90">
        <f t="shared" si="20"/>
        <v>0</v>
      </c>
      <c r="AH43" s="90">
        <f t="shared" si="20"/>
        <v>0</v>
      </c>
      <c r="AI43" s="90">
        <f t="shared" si="20"/>
        <v>0</v>
      </c>
      <c r="AJ43" s="90">
        <f t="shared" si="20"/>
        <v>0</v>
      </c>
      <c r="AK43" s="90">
        <f t="shared" si="20"/>
        <v>0</v>
      </c>
      <c r="AL43" s="90">
        <f t="shared" si="20"/>
        <v>0</v>
      </c>
      <c r="AM43" s="90">
        <f t="shared" si="20"/>
        <v>0</v>
      </c>
      <c r="AN43" s="90">
        <f t="shared" si="20"/>
        <v>0</v>
      </c>
      <c r="AO43" s="90">
        <f t="shared" si="20"/>
        <v>0</v>
      </c>
      <c r="AP43" s="90">
        <f t="shared" si="20"/>
        <v>0</v>
      </c>
      <c r="AQ43" s="90">
        <f t="shared" si="20"/>
        <v>0</v>
      </c>
      <c r="AR43" s="90">
        <f t="shared" si="20"/>
        <v>0</v>
      </c>
      <c r="AS43" s="90">
        <f t="shared" si="20"/>
        <v>0</v>
      </c>
      <c r="AT43" s="90">
        <f t="shared" si="20"/>
        <v>0</v>
      </c>
      <c r="AU43" s="90">
        <f t="shared" si="17"/>
        <v>0</v>
      </c>
      <c r="AV43" s="90">
        <f t="shared" si="17"/>
        <v>0</v>
      </c>
      <c r="AW43" s="90">
        <f t="shared" si="17"/>
        <v>0</v>
      </c>
      <c r="AX43" s="90">
        <f t="shared" si="17"/>
        <v>0</v>
      </c>
      <c r="AY43" s="90">
        <f t="shared" si="17"/>
        <v>0</v>
      </c>
      <c r="AZ43" s="90">
        <f t="shared" si="17"/>
        <v>0</v>
      </c>
      <c r="BA43" s="90">
        <f t="shared" si="17"/>
        <v>0</v>
      </c>
      <c r="BB43" s="90">
        <f t="shared" si="17"/>
        <v>0</v>
      </c>
      <c r="BC43" s="90">
        <f t="shared" si="17"/>
        <v>0</v>
      </c>
      <c r="BD43" s="90">
        <f t="shared" si="17"/>
        <v>0</v>
      </c>
      <c r="BE43" s="90">
        <f t="shared" si="17"/>
        <v>0</v>
      </c>
      <c r="BF43" s="90">
        <f t="shared" si="17"/>
        <v>0</v>
      </c>
      <c r="BG43" s="90">
        <f t="shared" si="17"/>
        <v>0</v>
      </c>
      <c r="BH43" s="90">
        <f t="shared" si="17"/>
        <v>0</v>
      </c>
      <c r="BI43" s="90">
        <f t="shared" si="17"/>
        <v>0</v>
      </c>
      <c r="BJ43" s="90">
        <f t="shared" ref="BJ43:BO44" si="21">$F43*BJ$8</f>
        <v>0</v>
      </c>
      <c r="BK43" s="90">
        <f t="shared" si="21"/>
        <v>0</v>
      </c>
      <c r="BL43" s="90">
        <f t="shared" si="21"/>
        <v>0</v>
      </c>
      <c r="BM43" s="90">
        <f t="shared" si="21"/>
        <v>0</v>
      </c>
      <c r="BN43" s="90">
        <f t="shared" si="21"/>
        <v>0</v>
      </c>
      <c r="BO43" s="90">
        <f t="shared" si="21"/>
        <v>0</v>
      </c>
    </row>
    <row r="44" spans="1:67">
      <c r="A44" s="11"/>
      <c r="B44" s="11" t="s">
        <v>287</v>
      </c>
      <c r="C44" s="11"/>
      <c r="D44" s="16">
        <v>1</v>
      </c>
      <c r="E44" s="92">
        <v>9000000</v>
      </c>
      <c r="F44" s="90">
        <f>ROUND($D44*$E44*'01 Major Assumptions'!$D$189*'01 Major Assumptions'!$D$221*$G$277,-5)</f>
        <v>23400000</v>
      </c>
      <c r="G44" s="90">
        <f t="shared" si="14"/>
        <v>0</v>
      </c>
      <c r="H44" s="90">
        <f t="shared" si="19"/>
        <v>0</v>
      </c>
      <c r="I44" s="90">
        <f t="shared" si="19"/>
        <v>0</v>
      </c>
      <c r="J44" s="90">
        <f t="shared" si="19"/>
        <v>0</v>
      </c>
      <c r="K44" s="90">
        <f t="shared" si="19"/>
        <v>0</v>
      </c>
      <c r="L44" s="90">
        <f t="shared" si="19"/>
        <v>0</v>
      </c>
      <c r="M44" s="90">
        <f t="shared" si="19"/>
        <v>0</v>
      </c>
      <c r="N44" s="90">
        <f t="shared" si="19"/>
        <v>0</v>
      </c>
      <c r="O44" s="90">
        <f t="shared" si="19"/>
        <v>0</v>
      </c>
      <c r="P44" s="90">
        <f t="shared" si="19"/>
        <v>1950000</v>
      </c>
      <c r="Q44" s="90">
        <f t="shared" si="19"/>
        <v>1950000</v>
      </c>
      <c r="R44" s="90">
        <f t="shared" si="19"/>
        <v>1950000</v>
      </c>
      <c r="S44" s="90">
        <f t="shared" si="19"/>
        <v>1950000</v>
      </c>
      <c r="T44" s="90">
        <f t="shared" si="19"/>
        <v>1950000</v>
      </c>
      <c r="U44" s="90">
        <f t="shared" si="19"/>
        <v>1950000</v>
      </c>
      <c r="V44" s="90">
        <f t="shared" si="19"/>
        <v>1950000</v>
      </c>
      <c r="W44" s="90">
        <f t="shared" si="19"/>
        <v>1950000</v>
      </c>
      <c r="X44" s="90">
        <f t="shared" si="19"/>
        <v>1950000</v>
      </c>
      <c r="Y44" s="90">
        <f t="shared" si="19"/>
        <v>1950000</v>
      </c>
      <c r="Z44" s="90">
        <f t="shared" si="19"/>
        <v>1950000</v>
      </c>
      <c r="AA44" s="90">
        <f t="shared" si="19"/>
        <v>1950000</v>
      </c>
      <c r="AB44" s="90">
        <f t="shared" si="19"/>
        <v>0</v>
      </c>
      <c r="AC44" s="90">
        <f t="shared" si="20"/>
        <v>0</v>
      </c>
      <c r="AD44" s="90">
        <f t="shared" si="20"/>
        <v>0</v>
      </c>
      <c r="AE44" s="90">
        <f t="shared" si="20"/>
        <v>0</v>
      </c>
      <c r="AF44" s="90">
        <f t="shared" si="20"/>
        <v>0</v>
      </c>
      <c r="AG44" s="90">
        <f t="shared" si="20"/>
        <v>0</v>
      </c>
      <c r="AH44" s="90">
        <f t="shared" si="20"/>
        <v>0</v>
      </c>
      <c r="AI44" s="90">
        <f t="shared" si="20"/>
        <v>0</v>
      </c>
      <c r="AJ44" s="90">
        <f t="shared" si="20"/>
        <v>0</v>
      </c>
      <c r="AK44" s="90">
        <f t="shared" si="20"/>
        <v>0</v>
      </c>
      <c r="AL44" s="90">
        <f t="shared" si="20"/>
        <v>0</v>
      </c>
      <c r="AM44" s="90">
        <f t="shared" si="20"/>
        <v>0</v>
      </c>
      <c r="AN44" s="90">
        <f t="shared" si="20"/>
        <v>0</v>
      </c>
      <c r="AO44" s="90">
        <f t="shared" si="20"/>
        <v>0</v>
      </c>
      <c r="AP44" s="90">
        <f t="shared" si="20"/>
        <v>0</v>
      </c>
      <c r="AQ44" s="90">
        <f t="shared" si="20"/>
        <v>0</v>
      </c>
      <c r="AR44" s="90">
        <f t="shared" si="20"/>
        <v>0</v>
      </c>
      <c r="AS44" s="90">
        <f t="shared" si="20"/>
        <v>0</v>
      </c>
      <c r="AT44" s="90">
        <f t="shared" si="20"/>
        <v>0</v>
      </c>
      <c r="AU44" s="90">
        <f t="shared" si="17"/>
        <v>0</v>
      </c>
      <c r="AV44" s="90">
        <f t="shared" si="17"/>
        <v>0</v>
      </c>
      <c r="AW44" s="90">
        <f t="shared" si="17"/>
        <v>0</v>
      </c>
      <c r="AX44" s="90">
        <f t="shared" si="17"/>
        <v>0</v>
      </c>
      <c r="AY44" s="90">
        <f t="shared" si="17"/>
        <v>0</v>
      </c>
      <c r="AZ44" s="90">
        <f t="shared" si="17"/>
        <v>0</v>
      </c>
      <c r="BA44" s="90">
        <f t="shared" si="17"/>
        <v>0</v>
      </c>
      <c r="BB44" s="90">
        <f t="shared" si="17"/>
        <v>0</v>
      </c>
      <c r="BC44" s="90">
        <f t="shared" si="17"/>
        <v>0</v>
      </c>
      <c r="BD44" s="90">
        <f t="shared" si="17"/>
        <v>0</v>
      </c>
      <c r="BE44" s="90">
        <f t="shared" si="17"/>
        <v>0</v>
      </c>
      <c r="BF44" s="90">
        <f t="shared" si="17"/>
        <v>0</v>
      </c>
      <c r="BG44" s="90">
        <f t="shared" si="17"/>
        <v>0</v>
      </c>
      <c r="BH44" s="90">
        <f t="shared" si="17"/>
        <v>0</v>
      </c>
      <c r="BI44" s="90">
        <f t="shared" si="17"/>
        <v>0</v>
      </c>
      <c r="BJ44" s="90">
        <f t="shared" si="21"/>
        <v>0</v>
      </c>
      <c r="BK44" s="90">
        <f t="shared" si="21"/>
        <v>0</v>
      </c>
      <c r="BL44" s="90">
        <f t="shared" si="21"/>
        <v>0</v>
      </c>
      <c r="BM44" s="90">
        <f t="shared" si="21"/>
        <v>0</v>
      </c>
      <c r="BN44" s="90">
        <f t="shared" si="21"/>
        <v>0</v>
      </c>
      <c r="BO44" s="90">
        <f t="shared" si="21"/>
        <v>0</v>
      </c>
    </row>
    <row r="45" spans="1:67">
      <c r="A45" s="11"/>
      <c r="B45" s="22" t="s">
        <v>288</v>
      </c>
      <c r="C45" s="22"/>
      <c r="D45" s="11"/>
      <c r="E45" s="89">
        <f t="shared" ref="E45:AJ45" si="22">SUM(E31:E44)</f>
        <v>105000980</v>
      </c>
      <c r="F45" s="89">
        <f t="shared" si="22"/>
        <v>272700000</v>
      </c>
      <c r="G45" s="89">
        <f t="shared" si="22"/>
        <v>0</v>
      </c>
      <c r="H45" s="89">
        <f t="shared" si="22"/>
        <v>0</v>
      </c>
      <c r="I45" s="89">
        <f t="shared" si="22"/>
        <v>0</v>
      </c>
      <c r="J45" s="89">
        <f t="shared" si="22"/>
        <v>0</v>
      </c>
      <c r="K45" s="89">
        <f t="shared" si="22"/>
        <v>0</v>
      </c>
      <c r="L45" s="89">
        <f t="shared" si="22"/>
        <v>0</v>
      </c>
      <c r="M45" s="89">
        <f t="shared" si="22"/>
        <v>0</v>
      </c>
      <c r="N45" s="89">
        <f t="shared" si="22"/>
        <v>0</v>
      </c>
      <c r="O45" s="89">
        <f t="shared" si="22"/>
        <v>0</v>
      </c>
      <c r="P45" s="89">
        <f t="shared" si="22"/>
        <v>22724999.999999996</v>
      </c>
      <c r="Q45" s="89">
        <f t="shared" si="22"/>
        <v>22724999.999999996</v>
      </c>
      <c r="R45" s="89">
        <f t="shared" si="22"/>
        <v>22724999.999999996</v>
      </c>
      <c r="S45" s="89">
        <f t="shared" si="22"/>
        <v>22724999.999999996</v>
      </c>
      <c r="T45" s="89">
        <f t="shared" si="22"/>
        <v>22724999.999999996</v>
      </c>
      <c r="U45" s="89">
        <f t="shared" si="22"/>
        <v>22724999.999999996</v>
      </c>
      <c r="V45" s="89">
        <f t="shared" si="22"/>
        <v>22724999.999999996</v>
      </c>
      <c r="W45" s="89">
        <f t="shared" si="22"/>
        <v>22724999.999999996</v>
      </c>
      <c r="X45" s="89">
        <f t="shared" si="22"/>
        <v>22724999.999999996</v>
      </c>
      <c r="Y45" s="89">
        <f t="shared" si="22"/>
        <v>22724999.999999996</v>
      </c>
      <c r="Z45" s="89">
        <f t="shared" si="22"/>
        <v>22724999.999999996</v>
      </c>
      <c r="AA45" s="89">
        <f t="shared" si="22"/>
        <v>22724999.999999996</v>
      </c>
      <c r="AB45" s="89">
        <f t="shared" si="22"/>
        <v>0</v>
      </c>
      <c r="AC45" s="89">
        <f t="shared" si="22"/>
        <v>0</v>
      </c>
      <c r="AD45" s="89">
        <f t="shared" si="22"/>
        <v>0</v>
      </c>
      <c r="AE45" s="89">
        <f t="shared" si="22"/>
        <v>0</v>
      </c>
      <c r="AF45" s="89">
        <f t="shared" si="22"/>
        <v>0</v>
      </c>
      <c r="AG45" s="89">
        <f t="shared" si="22"/>
        <v>0</v>
      </c>
      <c r="AH45" s="89">
        <f t="shared" si="22"/>
        <v>0</v>
      </c>
      <c r="AI45" s="89">
        <f t="shared" si="22"/>
        <v>0</v>
      </c>
      <c r="AJ45" s="89">
        <f t="shared" si="22"/>
        <v>0</v>
      </c>
      <c r="AK45" s="89">
        <f t="shared" ref="AK45:BO45" si="23">SUM(AK31:AK44)</f>
        <v>0</v>
      </c>
      <c r="AL45" s="89">
        <f t="shared" si="23"/>
        <v>0</v>
      </c>
      <c r="AM45" s="89">
        <f t="shared" si="23"/>
        <v>0</v>
      </c>
      <c r="AN45" s="89">
        <f t="shared" si="23"/>
        <v>0</v>
      </c>
      <c r="AO45" s="89">
        <f t="shared" si="23"/>
        <v>0</v>
      </c>
      <c r="AP45" s="89">
        <f t="shared" si="23"/>
        <v>0</v>
      </c>
      <c r="AQ45" s="89">
        <f t="shared" si="23"/>
        <v>0</v>
      </c>
      <c r="AR45" s="89">
        <f t="shared" si="23"/>
        <v>0</v>
      </c>
      <c r="AS45" s="89">
        <f t="shared" si="23"/>
        <v>0</v>
      </c>
      <c r="AT45" s="89">
        <f t="shared" si="23"/>
        <v>0</v>
      </c>
      <c r="AU45" s="89">
        <f t="shared" si="23"/>
        <v>0</v>
      </c>
      <c r="AV45" s="89">
        <f t="shared" si="23"/>
        <v>0</v>
      </c>
      <c r="AW45" s="89">
        <f t="shared" si="23"/>
        <v>0</v>
      </c>
      <c r="AX45" s="89">
        <f t="shared" si="23"/>
        <v>0</v>
      </c>
      <c r="AY45" s="89">
        <f t="shared" si="23"/>
        <v>0</v>
      </c>
      <c r="AZ45" s="89">
        <f t="shared" si="23"/>
        <v>0</v>
      </c>
      <c r="BA45" s="89">
        <f t="shared" si="23"/>
        <v>0</v>
      </c>
      <c r="BB45" s="89">
        <f t="shared" si="23"/>
        <v>0</v>
      </c>
      <c r="BC45" s="89">
        <f t="shared" si="23"/>
        <v>0</v>
      </c>
      <c r="BD45" s="89">
        <f t="shared" si="23"/>
        <v>0</v>
      </c>
      <c r="BE45" s="89">
        <f t="shared" si="23"/>
        <v>0</v>
      </c>
      <c r="BF45" s="89">
        <f t="shared" si="23"/>
        <v>0</v>
      </c>
      <c r="BG45" s="89">
        <f t="shared" si="23"/>
        <v>0</v>
      </c>
      <c r="BH45" s="89">
        <f t="shared" si="23"/>
        <v>0</v>
      </c>
      <c r="BI45" s="89">
        <f t="shared" si="23"/>
        <v>0</v>
      </c>
      <c r="BJ45" s="89">
        <f t="shared" si="23"/>
        <v>0</v>
      </c>
      <c r="BK45" s="89">
        <f t="shared" si="23"/>
        <v>0</v>
      </c>
      <c r="BL45" s="89">
        <f t="shared" si="23"/>
        <v>0</v>
      </c>
      <c r="BM45" s="89">
        <f t="shared" si="23"/>
        <v>0</v>
      </c>
      <c r="BN45" s="89">
        <f t="shared" si="23"/>
        <v>0</v>
      </c>
      <c r="BO45" s="89">
        <f t="shared" si="23"/>
        <v>0</v>
      </c>
    </row>
    <row r="46" spans="1:67">
      <c r="A46" s="11"/>
      <c r="B46" s="11"/>
      <c r="C46" s="11"/>
      <c r="D46" s="11"/>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row>
    <row r="47" spans="1:67">
      <c r="A47" s="18" t="s">
        <v>1750</v>
      </c>
      <c r="B47" s="18"/>
      <c r="C47" s="18"/>
      <c r="D47" s="18"/>
      <c r="E47" s="39"/>
      <c r="F47" s="39"/>
      <c r="G47" s="39"/>
      <c r="H47" s="39"/>
      <c r="I47" s="39"/>
      <c r="J47" s="39"/>
      <c r="K47" s="39"/>
      <c r="L47" s="39"/>
      <c r="M47" s="39"/>
      <c r="N47" s="39"/>
      <c r="O47" s="39"/>
      <c r="P47" s="39"/>
      <c r="Q47" s="39"/>
      <c r="R47" s="39"/>
      <c r="S47" s="39"/>
      <c r="T47" s="39"/>
      <c r="U47" s="39"/>
      <c r="V47" s="39"/>
      <c r="W47" s="39"/>
      <c r="X47" s="39"/>
      <c r="Y47" s="39"/>
      <c r="Z47" s="39"/>
      <c r="AA47" s="39"/>
      <c r="AB47" s="39"/>
      <c r="AC47" s="39"/>
      <c r="AD47" s="39"/>
      <c r="AE47" s="39"/>
      <c r="AF47" s="39"/>
      <c r="AG47" s="39"/>
      <c r="AH47" s="39"/>
      <c r="AI47" s="39"/>
      <c r="AJ47" s="39"/>
      <c r="AK47" s="39"/>
      <c r="AL47" s="39"/>
      <c r="AM47" s="39"/>
      <c r="AN47" s="39"/>
      <c r="AO47" s="39"/>
      <c r="AP47" s="39"/>
      <c r="AQ47" s="39"/>
      <c r="AR47" s="39"/>
      <c r="AS47" s="39"/>
      <c r="AT47" s="39"/>
      <c r="AU47" s="39"/>
      <c r="AV47" s="39"/>
      <c r="AW47" s="39"/>
      <c r="AX47" s="39"/>
      <c r="AY47" s="39"/>
      <c r="AZ47" s="39"/>
      <c r="BA47" s="39"/>
      <c r="BB47" s="39"/>
      <c r="BC47" s="39"/>
      <c r="BD47" s="39"/>
      <c r="BE47" s="39"/>
      <c r="BF47" s="39"/>
      <c r="BG47" s="39"/>
      <c r="BH47" s="39"/>
      <c r="BI47" s="39"/>
      <c r="BJ47" s="39"/>
      <c r="BK47" s="39"/>
      <c r="BL47" s="39"/>
      <c r="BM47" s="39"/>
      <c r="BN47" s="39"/>
      <c r="BO47" s="39"/>
    </row>
    <row r="48" spans="1:67">
      <c r="A48" s="32"/>
      <c r="B48" s="32" t="s">
        <v>1748</v>
      </c>
      <c r="C48" s="32"/>
      <c r="D48" s="11"/>
      <c r="E48" s="90">
        <f>E27+E45</f>
        <v>719344899.1698463</v>
      </c>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row>
    <row r="49" spans="1:67">
      <c r="A49" s="32"/>
      <c r="B49" s="32" t="s">
        <v>1772</v>
      </c>
      <c r="C49" s="32"/>
      <c r="D49" s="11"/>
      <c r="E49" s="90">
        <v>507130991</v>
      </c>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row>
    <row r="50" spans="1:67">
      <c r="A50" s="32"/>
      <c r="B50" s="32" t="s">
        <v>1749</v>
      </c>
      <c r="C50" s="32"/>
      <c r="D50" s="11"/>
      <c r="E50" s="6">
        <f>E48/(E48+E49)</f>
        <v>0.58651368929089109</v>
      </c>
      <c r="F50" s="33"/>
      <c r="G50" s="33"/>
      <c r="H50" s="33"/>
      <c r="I50" s="33"/>
      <c r="J50" s="33"/>
      <c r="K50" s="33"/>
      <c r="L50" s="33"/>
      <c r="M50" s="33"/>
      <c r="N50" s="33"/>
      <c r="O50" s="33"/>
      <c r="P50" s="33"/>
      <c r="Q50" s="33"/>
      <c r="R50" s="33"/>
      <c r="S50" s="33"/>
      <c r="T50" s="33"/>
      <c r="U50" s="33"/>
      <c r="V50" s="33"/>
      <c r="W50" s="33"/>
      <c r="X50" s="33"/>
      <c r="Y50" s="33"/>
      <c r="Z50" s="33"/>
      <c r="AA50" s="33"/>
      <c r="AB50" s="33"/>
      <c r="AC50" s="33"/>
      <c r="AD50" s="33"/>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3"/>
      <c r="BN50" s="33"/>
      <c r="BO50" s="33"/>
    </row>
    <row r="51" spans="1:67">
      <c r="A51" s="11"/>
      <c r="B51" s="11"/>
      <c r="C51" s="11"/>
      <c r="D51" s="22" t="s">
        <v>259</v>
      </c>
      <c r="E51" s="22" t="s">
        <v>260</v>
      </c>
      <c r="F51" s="22" t="s">
        <v>261</v>
      </c>
      <c r="G51" s="33"/>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c r="AJ51" s="33"/>
      <c r="AK51" s="33"/>
      <c r="AL51" s="33"/>
      <c r="AM51" s="33"/>
      <c r="AN51" s="33"/>
      <c r="AO51" s="33"/>
      <c r="AP51" s="33"/>
      <c r="AQ51" s="33"/>
      <c r="AR51" s="33"/>
      <c r="AS51" s="33"/>
      <c r="AT51" s="33"/>
      <c r="AU51" s="33"/>
      <c r="AV51" s="33"/>
      <c r="AW51" s="33"/>
      <c r="AX51" s="33"/>
      <c r="AY51" s="33"/>
      <c r="AZ51" s="33"/>
      <c r="BA51" s="33"/>
      <c r="BB51" s="33"/>
      <c r="BC51" s="33"/>
      <c r="BD51" s="33"/>
      <c r="BE51" s="33"/>
      <c r="BF51" s="33"/>
      <c r="BG51" s="33"/>
      <c r="BH51" s="33"/>
      <c r="BI51" s="33"/>
      <c r="BJ51" s="33"/>
      <c r="BK51" s="33"/>
      <c r="BL51" s="33"/>
      <c r="BM51" s="33"/>
      <c r="BN51" s="33"/>
      <c r="BO51" s="33"/>
    </row>
    <row r="52" spans="1:67">
      <c r="A52" s="11"/>
      <c r="B52" s="11" t="s">
        <v>289</v>
      </c>
      <c r="C52" s="11"/>
      <c r="D52" s="6">
        <f>$E$50</f>
        <v>0.58651368929089109</v>
      </c>
      <c r="E52" s="92">
        <v>275600000</v>
      </c>
      <c r="F52" s="90">
        <f>IF($D52*$E52*'01 Major Assumptions'!$D$189*'01 Major Assumptions'!$D$221*$I$218&gt;=1000000,ROUND($D52*$E52*'01 Major Assumptions'!$D$189*'01 Major Assumptions'!$D$221*$I$218,-6),ROUND($D52*$E52*'01 Major Assumptions'!$D$189*'01 Major Assumptions'!$D$221*$I$218,-5))</f>
        <v>125000000</v>
      </c>
      <c r="G52" s="90">
        <f>$F52*G$10</f>
        <v>10000000</v>
      </c>
      <c r="H52" s="90">
        <f t="shared" ref="H52:BO52" si="24">$F52*H$10</f>
        <v>10000000</v>
      </c>
      <c r="I52" s="90">
        <f t="shared" si="24"/>
        <v>10000000</v>
      </c>
      <c r="J52" s="90">
        <f t="shared" si="24"/>
        <v>8750000</v>
      </c>
      <c r="K52" s="90">
        <f t="shared" si="24"/>
        <v>8750000</v>
      </c>
      <c r="L52" s="90">
        <f t="shared" si="24"/>
        <v>8750000</v>
      </c>
      <c r="M52" s="90">
        <f t="shared" si="24"/>
        <v>8750000</v>
      </c>
      <c r="N52" s="90">
        <f t="shared" si="24"/>
        <v>8750000</v>
      </c>
      <c r="O52" s="90">
        <f t="shared" si="24"/>
        <v>8750000</v>
      </c>
      <c r="P52" s="90">
        <f t="shared" si="24"/>
        <v>3541666.666666667</v>
      </c>
      <c r="Q52" s="90">
        <f t="shared" si="24"/>
        <v>3541666.666666667</v>
      </c>
      <c r="R52" s="90">
        <f t="shared" si="24"/>
        <v>3541666.666666667</v>
      </c>
      <c r="S52" s="90">
        <f t="shared" si="24"/>
        <v>3541666.666666667</v>
      </c>
      <c r="T52" s="90">
        <f t="shared" si="24"/>
        <v>3541666.666666667</v>
      </c>
      <c r="U52" s="90">
        <f t="shared" si="24"/>
        <v>3541666.666666667</v>
      </c>
      <c r="V52" s="90">
        <f t="shared" si="24"/>
        <v>3541666.666666667</v>
      </c>
      <c r="W52" s="90">
        <f t="shared" si="24"/>
        <v>3541666.666666667</v>
      </c>
      <c r="X52" s="90">
        <f t="shared" si="24"/>
        <v>3541666.666666667</v>
      </c>
      <c r="Y52" s="90">
        <f t="shared" si="24"/>
        <v>3541666.666666667</v>
      </c>
      <c r="Z52" s="90">
        <f t="shared" si="24"/>
        <v>3541666.666666667</v>
      </c>
      <c r="AA52" s="90">
        <f t="shared" si="24"/>
        <v>3541666.666666667</v>
      </c>
      <c r="AB52" s="90">
        <f t="shared" si="24"/>
        <v>0</v>
      </c>
      <c r="AC52" s="90">
        <f t="shared" si="24"/>
        <v>0</v>
      </c>
      <c r="AD52" s="90">
        <f t="shared" si="24"/>
        <v>0</v>
      </c>
      <c r="AE52" s="90">
        <f t="shared" si="24"/>
        <v>0</v>
      </c>
      <c r="AF52" s="90">
        <f t="shared" si="24"/>
        <v>0</v>
      </c>
      <c r="AG52" s="90">
        <f t="shared" si="24"/>
        <v>0</v>
      </c>
      <c r="AH52" s="90">
        <f t="shared" si="24"/>
        <v>0</v>
      </c>
      <c r="AI52" s="90">
        <f t="shared" si="24"/>
        <v>0</v>
      </c>
      <c r="AJ52" s="90">
        <f t="shared" si="24"/>
        <v>0</v>
      </c>
      <c r="AK52" s="90">
        <f t="shared" si="24"/>
        <v>0</v>
      </c>
      <c r="AL52" s="90">
        <f t="shared" si="24"/>
        <v>0</v>
      </c>
      <c r="AM52" s="90">
        <f t="shared" si="24"/>
        <v>0</v>
      </c>
      <c r="AN52" s="90">
        <f t="shared" si="24"/>
        <v>0</v>
      </c>
      <c r="AO52" s="90">
        <f t="shared" si="24"/>
        <v>0</v>
      </c>
      <c r="AP52" s="90">
        <f t="shared" si="24"/>
        <v>0</v>
      </c>
      <c r="AQ52" s="90">
        <f t="shared" si="24"/>
        <v>0</v>
      </c>
      <c r="AR52" s="90">
        <f t="shared" si="24"/>
        <v>0</v>
      </c>
      <c r="AS52" s="90">
        <f t="shared" si="24"/>
        <v>0</v>
      </c>
      <c r="AT52" s="90">
        <f t="shared" si="24"/>
        <v>0</v>
      </c>
      <c r="AU52" s="90">
        <f t="shared" si="24"/>
        <v>0</v>
      </c>
      <c r="AV52" s="90">
        <f t="shared" si="24"/>
        <v>0</v>
      </c>
      <c r="AW52" s="90">
        <f t="shared" si="24"/>
        <v>0</v>
      </c>
      <c r="AX52" s="90">
        <f t="shared" si="24"/>
        <v>0</v>
      </c>
      <c r="AY52" s="90">
        <f t="shared" si="24"/>
        <v>0</v>
      </c>
      <c r="AZ52" s="90">
        <f t="shared" si="24"/>
        <v>0</v>
      </c>
      <c r="BA52" s="90">
        <f t="shared" si="24"/>
        <v>0</v>
      </c>
      <c r="BB52" s="90">
        <f t="shared" si="24"/>
        <v>0</v>
      </c>
      <c r="BC52" s="90">
        <f t="shared" si="24"/>
        <v>0</v>
      </c>
      <c r="BD52" s="90">
        <f t="shared" si="24"/>
        <v>0</v>
      </c>
      <c r="BE52" s="90">
        <f t="shared" si="24"/>
        <v>0</v>
      </c>
      <c r="BF52" s="90">
        <f t="shared" si="24"/>
        <v>0</v>
      </c>
      <c r="BG52" s="90">
        <f t="shared" si="24"/>
        <v>0</v>
      </c>
      <c r="BH52" s="90">
        <f t="shared" si="24"/>
        <v>0</v>
      </c>
      <c r="BI52" s="90">
        <f t="shared" si="24"/>
        <v>0</v>
      </c>
      <c r="BJ52" s="90">
        <f t="shared" si="24"/>
        <v>0</v>
      </c>
      <c r="BK52" s="90">
        <f t="shared" si="24"/>
        <v>0</v>
      </c>
      <c r="BL52" s="90">
        <f t="shared" si="24"/>
        <v>0</v>
      </c>
      <c r="BM52" s="90">
        <f t="shared" si="24"/>
        <v>0</v>
      </c>
      <c r="BN52" s="90">
        <f t="shared" si="24"/>
        <v>0</v>
      </c>
      <c r="BO52" s="90">
        <f t="shared" si="24"/>
        <v>0</v>
      </c>
    </row>
    <row r="53" spans="1:67">
      <c r="A53" s="11"/>
      <c r="B53" s="11" t="s">
        <v>290</v>
      </c>
      <c r="C53" s="11"/>
      <c r="D53" s="6">
        <f>$E$50</f>
        <v>0.58651368929089109</v>
      </c>
      <c r="E53" s="92">
        <v>150000000</v>
      </c>
      <c r="F53" s="90">
        <f>IF($D53*$E53*'01 Major Assumptions'!$D$189*'01 Major Assumptions'!$D$221*$I$219&gt;=1000000,ROUND($D53*$E53*'01 Major Assumptions'!$D$189*'01 Major Assumptions'!$D$221*$I$219,-6),ROUND($D53*$E53*'01 Major Assumptions'!$D$189*'01 Major Assumptions'!$D$221*$I$219,-5))</f>
        <v>68000000</v>
      </c>
      <c r="G53" s="90">
        <f>$F53*G$9</f>
        <v>0</v>
      </c>
      <c r="H53" s="90">
        <f t="shared" ref="H53:BO53" si="25">$F53*H$9</f>
        <v>0</v>
      </c>
      <c r="I53" s="90">
        <f t="shared" si="25"/>
        <v>0</v>
      </c>
      <c r="J53" s="90">
        <f t="shared" si="25"/>
        <v>20400000</v>
      </c>
      <c r="K53" s="90">
        <f t="shared" si="25"/>
        <v>2800000</v>
      </c>
      <c r="L53" s="90">
        <f t="shared" si="25"/>
        <v>2800000</v>
      </c>
      <c r="M53" s="90">
        <f t="shared" si="25"/>
        <v>2800000</v>
      </c>
      <c r="N53" s="90">
        <f t="shared" si="25"/>
        <v>2800000</v>
      </c>
      <c r="O53" s="90">
        <f t="shared" si="25"/>
        <v>2800000</v>
      </c>
      <c r="P53" s="90">
        <f t="shared" si="25"/>
        <v>2800000</v>
      </c>
      <c r="Q53" s="90">
        <f t="shared" si="25"/>
        <v>2800000</v>
      </c>
      <c r="R53" s="90">
        <f t="shared" si="25"/>
        <v>2800000</v>
      </c>
      <c r="S53" s="90">
        <f t="shared" si="25"/>
        <v>2800000</v>
      </c>
      <c r="T53" s="90">
        <f t="shared" si="25"/>
        <v>2800000</v>
      </c>
      <c r="U53" s="90">
        <f t="shared" si="25"/>
        <v>2800000</v>
      </c>
      <c r="V53" s="90">
        <f t="shared" si="25"/>
        <v>2800000</v>
      </c>
      <c r="W53" s="90">
        <f t="shared" si="25"/>
        <v>2800000</v>
      </c>
      <c r="X53" s="90">
        <f t="shared" si="25"/>
        <v>2800000</v>
      </c>
      <c r="Y53" s="90">
        <f t="shared" si="25"/>
        <v>2800000</v>
      </c>
      <c r="Z53" s="90">
        <f t="shared" si="25"/>
        <v>2800000</v>
      </c>
      <c r="AA53" s="90">
        <f t="shared" si="25"/>
        <v>2800000</v>
      </c>
      <c r="AB53" s="90">
        <f t="shared" si="25"/>
        <v>0</v>
      </c>
      <c r="AC53" s="90">
        <f t="shared" si="25"/>
        <v>0</v>
      </c>
      <c r="AD53" s="90">
        <f t="shared" si="25"/>
        <v>0</v>
      </c>
      <c r="AE53" s="90">
        <f t="shared" si="25"/>
        <v>0</v>
      </c>
      <c r="AF53" s="90">
        <f t="shared" si="25"/>
        <v>0</v>
      </c>
      <c r="AG53" s="90">
        <f t="shared" si="25"/>
        <v>0</v>
      </c>
      <c r="AH53" s="90">
        <f t="shared" si="25"/>
        <v>0</v>
      </c>
      <c r="AI53" s="90">
        <f t="shared" si="25"/>
        <v>0</v>
      </c>
      <c r="AJ53" s="90">
        <f t="shared" si="25"/>
        <v>0</v>
      </c>
      <c r="AK53" s="90">
        <f t="shared" si="25"/>
        <v>0</v>
      </c>
      <c r="AL53" s="90">
        <f t="shared" si="25"/>
        <v>0</v>
      </c>
      <c r="AM53" s="90">
        <f t="shared" si="25"/>
        <v>0</v>
      </c>
      <c r="AN53" s="90">
        <f t="shared" si="25"/>
        <v>0</v>
      </c>
      <c r="AO53" s="90">
        <f t="shared" si="25"/>
        <v>0</v>
      </c>
      <c r="AP53" s="90">
        <f t="shared" si="25"/>
        <v>0</v>
      </c>
      <c r="AQ53" s="90">
        <f t="shared" si="25"/>
        <v>0</v>
      </c>
      <c r="AR53" s="90">
        <f t="shared" si="25"/>
        <v>0</v>
      </c>
      <c r="AS53" s="90">
        <f t="shared" si="25"/>
        <v>0</v>
      </c>
      <c r="AT53" s="90">
        <f t="shared" si="25"/>
        <v>0</v>
      </c>
      <c r="AU53" s="90">
        <f t="shared" si="25"/>
        <v>0</v>
      </c>
      <c r="AV53" s="90">
        <f t="shared" si="25"/>
        <v>0</v>
      </c>
      <c r="AW53" s="90">
        <f t="shared" si="25"/>
        <v>0</v>
      </c>
      <c r="AX53" s="90">
        <f t="shared" si="25"/>
        <v>0</v>
      </c>
      <c r="AY53" s="90">
        <f t="shared" si="25"/>
        <v>0</v>
      </c>
      <c r="AZ53" s="90">
        <f t="shared" si="25"/>
        <v>0</v>
      </c>
      <c r="BA53" s="90">
        <f t="shared" si="25"/>
        <v>0</v>
      </c>
      <c r="BB53" s="90">
        <f t="shared" si="25"/>
        <v>0</v>
      </c>
      <c r="BC53" s="90">
        <f t="shared" si="25"/>
        <v>0</v>
      </c>
      <c r="BD53" s="90">
        <f t="shared" si="25"/>
        <v>0</v>
      </c>
      <c r="BE53" s="90">
        <f t="shared" si="25"/>
        <v>0</v>
      </c>
      <c r="BF53" s="90">
        <f t="shared" si="25"/>
        <v>0</v>
      </c>
      <c r="BG53" s="90">
        <f t="shared" si="25"/>
        <v>0</v>
      </c>
      <c r="BH53" s="90">
        <f t="shared" si="25"/>
        <v>0</v>
      </c>
      <c r="BI53" s="90">
        <f t="shared" si="25"/>
        <v>0</v>
      </c>
      <c r="BJ53" s="90">
        <f t="shared" si="25"/>
        <v>0</v>
      </c>
      <c r="BK53" s="90">
        <f t="shared" si="25"/>
        <v>0</v>
      </c>
      <c r="BL53" s="90">
        <f t="shared" si="25"/>
        <v>0</v>
      </c>
      <c r="BM53" s="90">
        <f t="shared" si="25"/>
        <v>0</v>
      </c>
      <c r="BN53" s="90">
        <f t="shared" si="25"/>
        <v>0</v>
      </c>
      <c r="BO53" s="90">
        <f t="shared" si="25"/>
        <v>0</v>
      </c>
    </row>
    <row r="54" spans="1:67">
      <c r="A54" s="11"/>
      <c r="B54" s="11" t="s">
        <v>291</v>
      </c>
      <c r="C54" s="11"/>
      <c r="D54" s="6">
        <f>$E$50</f>
        <v>0.58651368929089109</v>
      </c>
      <c r="E54" s="92">
        <v>28000000</v>
      </c>
      <c r="F54" s="90">
        <f>IF($D54*$E54*'01 Major Assumptions'!$D$189*'01 Major Assumptions'!$D$221*$I$220&gt;=1000000,ROUND($D54*$E54*'01 Major Assumptions'!$D$189*'01 Major Assumptions'!$D$221*$I$220,-6),ROUND($D54*$E54*'01 Major Assumptions'!$D$189*'01 Major Assumptions'!$D$221*$I$220,-5))</f>
        <v>13000000</v>
      </c>
      <c r="G54" s="90">
        <f>$F54*G$10</f>
        <v>1040000</v>
      </c>
      <c r="H54" s="90">
        <f t="shared" ref="H54:BJ57" si="26">$F54*H$10</f>
        <v>1040000</v>
      </c>
      <c r="I54" s="90">
        <f t="shared" si="26"/>
        <v>1040000</v>
      </c>
      <c r="J54" s="90">
        <f t="shared" si="26"/>
        <v>910000.00000000012</v>
      </c>
      <c r="K54" s="90">
        <f t="shared" si="26"/>
        <v>910000.00000000012</v>
      </c>
      <c r="L54" s="90">
        <f t="shared" si="26"/>
        <v>910000.00000000012</v>
      </c>
      <c r="M54" s="90">
        <f t="shared" si="26"/>
        <v>910000.00000000012</v>
      </c>
      <c r="N54" s="90">
        <f t="shared" si="26"/>
        <v>910000.00000000012</v>
      </c>
      <c r="O54" s="90">
        <f>$F54*O$10</f>
        <v>910000.00000000012</v>
      </c>
      <c r="P54" s="90">
        <f t="shared" si="26"/>
        <v>368333.33333333337</v>
      </c>
      <c r="Q54" s="90">
        <f t="shared" si="26"/>
        <v>368333.33333333337</v>
      </c>
      <c r="R54" s="90">
        <f t="shared" si="26"/>
        <v>368333.33333333337</v>
      </c>
      <c r="S54" s="90">
        <f t="shared" si="26"/>
        <v>368333.33333333337</v>
      </c>
      <c r="T54" s="90">
        <f t="shared" si="26"/>
        <v>368333.33333333337</v>
      </c>
      <c r="U54" s="90">
        <f t="shared" si="26"/>
        <v>368333.33333333337</v>
      </c>
      <c r="V54" s="90">
        <f t="shared" si="26"/>
        <v>368333.33333333337</v>
      </c>
      <c r="W54" s="90">
        <f t="shared" si="26"/>
        <v>368333.33333333337</v>
      </c>
      <c r="X54" s="90">
        <f t="shared" si="26"/>
        <v>368333.33333333337</v>
      </c>
      <c r="Y54" s="90">
        <f t="shared" si="26"/>
        <v>368333.33333333337</v>
      </c>
      <c r="Z54" s="90">
        <f t="shared" si="26"/>
        <v>368333.33333333337</v>
      </c>
      <c r="AA54" s="90">
        <f t="shared" si="26"/>
        <v>368333.33333333337</v>
      </c>
      <c r="AB54" s="90">
        <f t="shared" si="26"/>
        <v>0</v>
      </c>
      <c r="AC54" s="90">
        <f t="shared" si="26"/>
        <v>0</v>
      </c>
      <c r="AD54" s="90">
        <f t="shared" si="26"/>
        <v>0</v>
      </c>
      <c r="AE54" s="90">
        <f t="shared" si="26"/>
        <v>0</v>
      </c>
      <c r="AF54" s="90">
        <f t="shared" si="26"/>
        <v>0</v>
      </c>
      <c r="AG54" s="90">
        <f t="shared" si="26"/>
        <v>0</v>
      </c>
      <c r="AH54" s="90">
        <f t="shared" si="26"/>
        <v>0</v>
      </c>
      <c r="AI54" s="90">
        <f t="shared" si="26"/>
        <v>0</v>
      </c>
      <c r="AJ54" s="90">
        <f t="shared" si="26"/>
        <v>0</v>
      </c>
      <c r="AK54" s="90">
        <f t="shared" si="26"/>
        <v>0</v>
      </c>
      <c r="AL54" s="90">
        <f t="shared" si="26"/>
        <v>0</v>
      </c>
      <c r="AM54" s="90">
        <f t="shared" si="26"/>
        <v>0</v>
      </c>
      <c r="AN54" s="90">
        <f t="shared" si="26"/>
        <v>0</v>
      </c>
      <c r="AO54" s="90">
        <f t="shared" si="26"/>
        <v>0</v>
      </c>
      <c r="AP54" s="90">
        <f t="shared" si="26"/>
        <v>0</v>
      </c>
      <c r="AQ54" s="90">
        <f t="shared" si="26"/>
        <v>0</v>
      </c>
      <c r="AR54" s="90">
        <f t="shared" si="26"/>
        <v>0</v>
      </c>
      <c r="AS54" s="90">
        <f t="shared" si="26"/>
        <v>0</v>
      </c>
      <c r="AT54" s="90">
        <f t="shared" si="26"/>
        <v>0</v>
      </c>
      <c r="AU54" s="90">
        <f t="shared" si="26"/>
        <v>0</v>
      </c>
      <c r="AV54" s="90">
        <f t="shared" si="26"/>
        <v>0</v>
      </c>
      <c r="AW54" s="90">
        <f t="shared" si="26"/>
        <v>0</v>
      </c>
      <c r="AX54" s="90">
        <f t="shared" si="26"/>
        <v>0</v>
      </c>
      <c r="AY54" s="90">
        <f t="shared" si="26"/>
        <v>0</v>
      </c>
      <c r="AZ54" s="90">
        <f t="shared" si="26"/>
        <v>0</v>
      </c>
      <c r="BA54" s="90">
        <f t="shared" si="26"/>
        <v>0</v>
      </c>
      <c r="BB54" s="90">
        <f t="shared" si="26"/>
        <v>0</v>
      </c>
      <c r="BC54" s="90">
        <f t="shared" si="26"/>
        <v>0</v>
      </c>
      <c r="BD54" s="90">
        <f t="shared" si="26"/>
        <v>0</v>
      </c>
      <c r="BE54" s="90">
        <f t="shared" si="26"/>
        <v>0</v>
      </c>
      <c r="BF54" s="90">
        <f t="shared" si="26"/>
        <v>0</v>
      </c>
      <c r="BG54" s="90">
        <f t="shared" si="26"/>
        <v>0</v>
      </c>
      <c r="BH54" s="90">
        <f t="shared" si="26"/>
        <v>0</v>
      </c>
      <c r="BI54" s="90">
        <f t="shared" si="26"/>
        <v>0</v>
      </c>
      <c r="BJ54" s="90">
        <f t="shared" si="26"/>
        <v>0</v>
      </c>
      <c r="BK54" s="90">
        <f t="shared" ref="BJ54:BO57" si="27">$F54*BK$10</f>
        <v>0</v>
      </c>
      <c r="BL54" s="90">
        <f t="shared" si="27"/>
        <v>0</v>
      </c>
      <c r="BM54" s="90">
        <f t="shared" si="27"/>
        <v>0</v>
      </c>
      <c r="BN54" s="90">
        <f t="shared" si="27"/>
        <v>0</v>
      </c>
      <c r="BO54" s="90">
        <f t="shared" si="27"/>
        <v>0</v>
      </c>
    </row>
    <row r="55" spans="1:67">
      <c r="A55" s="11"/>
      <c r="B55" s="11" t="s">
        <v>1634</v>
      </c>
      <c r="C55" s="11"/>
      <c r="D55" s="6">
        <f>$E$50</f>
        <v>0.58651368929089109</v>
      </c>
      <c r="E55" s="92">
        <f>56000000*$E$300</f>
        <v>11200000</v>
      </c>
      <c r="F55" s="90">
        <f>IF($D55*$E55*'01 Major Assumptions'!$D$189*'01 Major Assumptions'!$D$221*$I$221&gt;=1000000,ROUND($D55*$E55*'01 Major Assumptions'!$D$189*'01 Major Assumptions'!$D$221*$I$221,-6),ROUND($D55*$E55*'01 Major Assumptions'!$D$189*'01 Major Assumptions'!$D$221*$I$221,-5))</f>
        <v>5000000</v>
      </c>
      <c r="G55" s="90">
        <f>$F55*G$10</f>
        <v>400000</v>
      </c>
      <c r="H55" s="90">
        <f t="shared" si="26"/>
        <v>400000</v>
      </c>
      <c r="I55" s="90">
        <f t="shared" si="26"/>
        <v>400000</v>
      </c>
      <c r="J55" s="90">
        <f t="shared" si="26"/>
        <v>350000.00000000006</v>
      </c>
      <c r="K55" s="90">
        <f t="shared" si="26"/>
        <v>350000.00000000006</v>
      </c>
      <c r="L55" s="90">
        <f t="shared" si="26"/>
        <v>350000.00000000006</v>
      </c>
      <c r="M55" s="90">
        <f t="shared" si="26"/>
        <v>350000.00000000006</v>
      </c>
      <c r="N55" s="90">
        <f t="shared" si="26"/>
        <v>350000.00000000006</v>
      </c>
      <c r="O55" s="90">
        <f t="shared" si="26"/>
        <v>350000.00000000006</v>
      </c>
      <c r="P55" s="90">
        <f t="shared" si="26"/>
        <v>141666.66666666669</v>
      </c>
      <c r="Q55" s="90">
        <f t="shared" si="26"/>
        <v>141666.66666666669</v>
      </c>
      <c r="R55" s="90">
        <f t="shared" si="26"/>
        <v>141666.66666666669</v>
      </c>
      <c r="S55" s="90">
        <f t="shared" si="26"/>
        <v>141666.66666666669</v>
      </c>
      <c r="T55" s="90">
        <f t="shared" si="26"/>
        <v>141666.66666666669</v>
      </c>
      <c r="U55" s="90">
        <f t="shared" si="26"/>
        <v>141666.66666666669</v>
      </c>
      <c r="V55" s="90">
        <f t="shared" si="26"/>
        <v>141666.66666666669</v>
      </c>
      <c r="W55" s="90">
        <f t="shared" si="26"/>
        <v>141666.66666666669</v>
      </c>
      <c r="X55" s="90">
        <f t="shared" si="26"/>
        <v>141666.66666666669</v>
      </c>
      <c r="Y55" s="90">
        <f t="shared" si="26"/>
        <v>141666.66666666669</v>
      </c>
      <c r="Z55" s="90">
        <f t="shared" si="26"/>
        <v>141666.66666666669</v>
      </c>
      <c r="AA55" s="90">
        <f t="shared" si="26"/>
        <v>141666.66666666669</v>
      </c>
      <c r="AB55" s="90">
        <f t="shared" si="26"/>
        <v>0</v>
      </c>
      <c r="AC55" s="90">
        <f t="shared" si="26"/>
        <v>0</v>
      </c>
      <c r="AD55" s="90">
        <f t="shared" si="26"/>
        <v>0</v>
      </c>
      <c r="AE55" s="90">
        <f t="shared" si="26"/>
        <v>0</v>
      </c>
      <c r="AF55" s="90">
        <f t="shared" si="26"/>
        <v>0</v>
      </c>
      <c r="AG55" s="90">
        <f t="shared" si="26"/>
        <v>0</v>
      </c>
      <c r="AH55" s="90">
        <f t="shared" si="26"/>
        <v>0</v>
      </c>
      <c r="AI55" s="90">
        <f t="shared" si="26"/>
        <v>0</v>
      </c>
      <c r="AJ55" s="90">
        <f t="shared" si="26"/>
        <v>0</v>
      </c>
      <c r="AK55" s="90">
        <f t="shared" si="26"/>
        <v>0</v>
      </c>
      <c r="AL55" s="90">
        <f t="shared" si="26"/>
        <v>0</v>
      </c>
      <c r="AM55" s="90">
        <f t="shared" si="26"/>
        <v>0</v>
      </c>
      <c r="AN55" s="90">
        <f t="shared" si="26"/>
        <v>0</v>
      </c>
      <c r="AO55" s="90">
        <f t="shared" si="26"/>
        <v>0</v>
      </c>
      <c r="AP55" s="90">
        <f t="shared" si="26"/>
        <v>0</v>
      </c>
      <c r="AQ55" s="90">
        <f t="shared" si="26"/>
        <v>0</v>
      </c>
      <c r="AR55" s="90">
        <f t="shared" si="26"/>
        <v>0</v>
      </c>
      <c r="AS55" s="90">
        <f t="shared" si="26"/>
        <v>0</v>
      </c>
      <c r="AT55" s="90">
        <f t="shared" si="26"/>
        <v>0</v>
      </c>
      <c r="AU55" s="90">
        <f t="shared" si="26"/>
        <v>0</v>
      </c>
      <c r="AV55" s="90">
        <f t="shared" si="26"/>
        <v>0</v>
      </c>
      <c r="AW55" s="90">
        <f t="shared" si="26"/>
        <v>0</v>
      </c>
      <c r="AX55" s="90">
        <f t="shared" si="26"/>
        <v>0</v>
      </c>
      <c r="AY55" s="90">
        <f t="shared" si="26"/>
        <v>0</v>
      </c>
      <c r="AZ55" s="90">
        <f t="shared" si="26"/>
        <v>0</v>
      </c>
      <c r="BA55" s="90">
        <f t="shared" si="26"/>
        <v>0</v>
      </c>
      <c r="BB55" s="90">
        <f t="shared" si="26"/>
        <v>0</v>
      </c>
      <c r="BC55" s="90">
        <f t="shared" si="26"/>
        <v>0</v>
      </c>
      <c r="BD55" s="90">
        <f t="shared" si="26"/>
        <v>0</v>
      </c>
      <c r="BE55" s="90">
        <f t="shared" si="26"/>
        <v>0</v>
      </c>
      <c r="BF55" s="90">
        <f t="shared" si="26"/>
        <v>0</v>
      </c>
      <c r="BG55" s="90">
        <f t="shared" si="26"/>
        <v>0</v>
      </c>
      <c r="BH55" s="90">
        <f t="shared" si="26"/>
        <v>0</v>
      </c>
      <c r="BI55" s="90">
        <f t="shared" si="26"/>
        <v>0</v>
      </c>
      <c r="BJ55" s="90">
        <f t="shared" si="27"/>
        <v>0</v>
      </c>
      <c r="BK55" s="90">
        <f t="shared" si="27"/>
        <v>0</v>
      </c>
      <c r="BL55" s="90">
        <f t="shared" si="27"/>
        <v>0</v>
      </c>
      <c r="BM55" s="90">
        <f t="shared" si="27"/>
        <v>0</v>
      </c>
      <c r="BN55" s="90">
        <f t="shared" si="27"/>
        <v>0</v>
      </c>
      <c r="BO55" s="90">
        <f t="shared" si="27"/>
        <v>0</v>
      </c>
    </row>
    <row r="56" spans="1:67">
      <c r="A56" s="11"/>
      <c r="B56" s="11" t="s">
        <v>292</v>
      </c>
      <c r="C56" s="11"/>
      <c r="D56" s="6">
        <f>$E$50</f>
        <v>0.58651368929089109</v>
      </c>
      <c r="E56" s="92">
        <v>12000000</v>
      </c>
      <c r="F56" s="90">
        <f>IF($D56*$E56*'01 Major Assumptions'!$D$189*'01 Major Assumptions'!$D$221*$I$222&gt;=1000000,ROUND($D56*$E56*'01 Major Assumptions'!$D$189*'01 Major Assumptions'!$D$221*$I$222,-6),ROUND($D56*$E56*'01 Major Assumptions'!$D$189*'01 Major Assumptions'!$D$221*$I$222,-5))</f>
        <v>5000000</v>
      </c>
      <c r="G56" s="90">
        <f>$F56*G$10</f>
        <v>400000</v>
      </c>
      <c r="H56" s="90">
        <f t="shared" si="26"/>
        <v>400000</v>
      </c>
      <c r="I56" s="90">
        <f t="shared" si="26"/>
        <v>400000</v>
      </c>
      <c r="J56" s="90">
        <f t="shared" si="26"/>
        <v>350000.00000000006</v>
      </c>
      <c r="K56" s="90">
        <f t="shared" si="26"/>
        <v>350000.00000000006</v>
      </c>
      <c r="L56" s="90">
        <f t="shared" si="26"/>
        <v>350000.00000000006</v>
      </c>
      <c r="M56" s="90">
        <f t="shared" si="26"/>
        <v>350000.00000000006</v>
      </c>
      <c r="N56" s="90">
        <f t="shared" si="26"/>
        <v>350000.00000000006</v>
      </c>
      <c r="O56" s="90">
        <f t="shared" si="26"/>
        <v>350000.00000000006</v>
      </c>
      <c r="P56" s="90">
        <f t="shared" si="26"/>
        <v>141666.66666666669</v>
      </c>
      <c r="Q56" s="90">
        <f t="shared" si="26"/>
        <v>141666.66666666669</v>
      </c>
      <c r="R56" s="90">
        <f t="shared" si="26"/>
        <v>141666.66666666669</v>
      </c>
      <c r="S56" s="90">
        <f t="shared" si="26"/>
        <v>141666.66666666669</v>
      </c>
      <c r="T56" s="90">
        <f t="shared" si="26"/>
        <v>141666.66666666669</v>
      </c>
      <c r="U56" s="90">
        <f t="shared" si="26"/>
        <v>141666.66666666669</v>
      </c>
      <c r="V56" s="90">
        <f t="shared" si="26"/>
        <v>141666.66666666669</v>
      </c>
      <c r="W56" s="90">
        <f t="shared" si="26"/>
        <v>141666.66666666669</v>
      </c>
      <c r="X56" s="90">
        <f t="shared" si="26"/>
        <v>141666.66666666669</v>
      </c>
      <c r="Y56" s="90">
        <f t="shared" si="26"/>
        <v>141666.66666666669</v>
      </c>
      <c r="Z56" s="90">
        <f t="shared" si="26"/>
        <v>141666.66666666669</v>
      </c>
      <c r="AA56" s="90">
        <f t="shared" si="26"/>
        <v>141666.66666666669</v>
      </c>
      <c r="AB56" s="90">
        <f t="shared" si="26"/>
        <v>0</v>
      </c>
      <c r="AC56" s="90">
        <f t="shared" si="26"/>
        <v>0</v>
      </c>
      <c r="AD56" s="90">
        <f t="shared" si="26"/>
        <v>0</v>
      </c>
      <c r="AE56" s="90">
        <f t="shared" si="26"/>
        <v>0</v>
      </c>
      <c r="AF56" s="90">
        <f t="shared" si="26"/>
        <v>0</v>
      </c>
      <c r="AG56" s="90">
        <f t="shared" si="26"/>
        <v>0</v>
      </c>
      <c r="AH56" s="90">
        <f t="shared" si="26"/>
        <v>0</v>
      </c>
      <c r="AI56" s="90">
        <f t="shared" si="26"/>
        <v>0</v>
      </c>
      <c r="AJ56" s="90">
        <f t="shared" si="26"/>
        <v>0</v>
      </c>
      <c r="AK56" s="90">
        <f t="shared" si="26"/>
        <v>0</v>
      </c>
      <c r="AL56" s="90">
        <f t="shared" si="26"/>
        <v>0</v>
      </c>
      <c r="AM56" s="90">
        <f t="shared" si="26"/>
        <v>0</v>
      </c>
      <c r="AN56" s="90">
        <f t="shared" si="26"/>
        <v>0</v>
      </c>
      <c r="AO56" s="90">
        <f t="shared" si="26"/>
        <v>0</v>
      </c>
      <c r="AP56" s="90">
        <f t="shared" si="26"/>
        <v>0</v>
      </c>
      <c r="AQ56" s="90">
        <f t="shared" si="26"/>
        <v>0</v>
      </c>
      <c r="AR56" s="90">
        <f t="shared" si="26"/>
        <v>0</v>
      </c>
      <c r="AS56" s="90">
        <f t="shared" si="26"/>
        <v>0</v>
      </c>
      <c r="AT56" s="90">
        <f t="shared" si="26"/>
        <v>0</v>
      </c>
      <c r="AU56" s="90">
        <f t="shared" si="26"/>
        <v>0</v>
      </c>
      <c r="AV56" s="90">
        <f t="shared" si="26"/>
        <v>0</v>
      </c>
      <c r="AW56" s="90">
        <f t="shared" si="26"/>
        <v>0</v>
      </c>
      <c r="AX56" s="90">
        <f t="shared" si="26"/>
        <v>0</v>
      </c>
      <c r="AY56" s="90">
        <f t="shared" si="26"/>
        <v>0</v>
      </c>
      <c r="AZ56" s="90">
        <f t="shared" si="26"/>
        <v>0</v>
      </c>
      <c r="BA56" s="90">
        <f t="shared" si="26"/>
        <v>0</v>
      </c>
      <c r="BB56" s="90">
        <f t="shared" si="26"/>
        <v>0</v>
      </c>
      <c r="BC56" s="90">
        <f t="shared" si="26"/>
        <v>0</v>
      </c>
      <c r="BD56" s="90">
        <f t="shared" si="26"/>
        <v>0</v>
      </c>
      <c r="BE56" s="90">
        <f t="shared" si="26"/>
        <v>0</v>
      </c>
      <c r="BF56" s="90">
        <f t="shared" si="26"/>
        <v>0</v>
      </c>
      <c r="BG56" s="90">
        <f t="shared" si="26"/>
        <v>0</v>
      </c>
      <c r="BH56" s="90">
        <f t="shared" si="26"/>
        <v>0</v>
      </c>
      <c r="BI56" s="90">
        <f t="shared" si="26"/>
        <v>0</v>
      </c>
      <c r="BJ56" s="90">
        <f t="shared" si="27"/>
        <v>0</v>
      </c>
      <c r="BK56" s="90">
        <f t="shared" si="27"/>
        <v>0</v>
      </c>
      <c r="BL56" s="90">
        <f t="shared" si="27"/>
        <v>0</v>
      </c>
      <c r="BM56" s="90">
        <f t="shared" si="27"/>
        <v>0</v>
      </c>
      <c r="BN56" s="90">
        <f t="shared" si="27"/>
        <v>0</v>
      </c>
      <c r="BO56" s="90">
        <f t="shared" si="27"/>
        <v>0</v>
      </c>
    </row>
    <row r="57" spans="1:67">
      <c r="A57" s="11"/>
      <c r="B57" s="11" t="s">
        <v>1773</v>
      </c>
      <c r="C57" s="11"/>
      <c r="D57" s="6"/>
      <c r="E57" s="92">
        <f>'01 Major Assumptions'!$D$214*SUM($E$52:$E$56)</f>
        <v>47680000</v>
      </c>
      <c r="F57" s="90">
        <f>ROUND('01 Major Assumptions'!$D$214*SUM(F52:F56),-6)</f>
        <v>22000000</v>
      </c>
      <c r="G57" s="90">
        <f>$F57*G$10</f>
        <v>1760000</v>
      </c>
      <c r="H57" s="90">
        <f t="shared" si="26"/>
        <v>1760000</v>
      </c>
      <c r="I57" s="90">
        <f t="shared" si="26"/>
        <v>1760000</v>
      </c>
      <c r="J57" s="90">
        <f t="shared" si="26"/>
        <v>1540000.0000000002</v>
      </c>
      <c r="K57" s="90">
        <f t="shared" si="26"/>
        <v>1540000.0000000002</v>
      </c>
      <c r="L57" s="90">
        <f t="shared" si="26"/>
        <v>1540000.0000000002</v>
      </c>
      <c r="M57" s="90">
        <f t="shared" si="26"/>
        <v>1540000.0000000002</v>
      </c>
      <c r="N57" s="90">
        <f t="shared" si="26"/>
        <v>1540000.0000000002</v>
      </c>
      <c r="O57" s="90">
        <f t="shared" si="26"/>
        <v>1540000.0000000002</v>
      </c>
      <c r="P57" s="90">
        <f t="shared" si="26"/>
        <v>623333.33333333337</v>
      </c>
      <c r="Q57" s="90">
        <f t="shared" si="26"/>
        <v>623333.33333333337</v>
      </c>
      <c r="R57" s="90">
        <f t="shared" si="26"/>
        <v>623333.33333333337</v>
      </c>
      <c r="S57" s="90">
        <f t="shared" si="26"/>
        <v>623333.33333333337</v>
      </c>
      <c r="T57" s="90">
        <f t="shared" si="26"/>
        <v>623333.33333333337</v>
      </c>
      <c r="U57" s="90">
        <f t="shared" si="26"/>
        <v>623333.33333333337</v>
      </c>
      <c r="V57" s="90">
        <f t="shared" si="26"/>
        <v>623333.33333333337</v>
      </c>
      <c r="W57" s="90">
        <f t="shared" si="26"/>
        <v>623333.33333333337</v>
      </c>
      <c r="X57" s="90">
        <f t="shared" si="26"/>
        <v>623333.33333333337</v>
      </c>
      <c r="Y57" s="90">
        <f t="shared" si="26"/>
        <v>623333.33333333337</v>
      </c>
      <c r="Z57" s="90">
        <f t="shared" si="26"/>
        <v>623333.33333333337</v>
      </c>
      <c r="AA57" s="90">
        <f t="shared" si="26"/>
        <v>623333.33333333337</v>
      </c>
      <c r="AB57" s="90">
        <f t="shared" si="26"/>
        <v>0</v>
      </c>
      <c r="AC57" s="90">
        <f t="shared" si="26"/>
        <v>0</v>
      </c>
      <c r="AD57" s="90">
        <f t="shared" si="26"/>
        <v>0</v>
      </c>
      <c r="AE57" s="90">
        <f t="shared" si="26"/>
        <v>0</v>
      </c>
      <c r="AF57" s="90">
        <f t="shared" si="26"/>
        <v>0</v>
      </c>
      <c r="AG57" s="90">
        <f t="shared" si="26"/>
        <v>0</v>
      </c>
      <c r="AH57" s="90">
        <f t="shared" si="26"/>
        <v>0</v>
      </c>
      <c r="AI57" s="90">
        <f t="shared" si="26"/>
        <v>0</v>
      </c>
      <c r="AJ57" s="90">
        <f t="shared" si="26"/>
        <v>0</v>
      </c>
      <c r="AK57" s="90">
        <f t="shared" si="26"/>
        <v>0</v>
      </c>
      <c r="AL57" s="90">
        <f t="shared" si="26"/>
        <v>0</v>
      </c>
      <c r="AM57" s="90">
        <f t="shared" si="26"/>
        <v>0</v>
      </c>
      <c r="AN57" s="90">
        <f t="shared" si="26"/>
        <v>0</v>
      </c>
      <c r="AO57" s="90">
        <f t="shared" si="26"/>
        <v>0</v>
      </c>
      <c r="AP57" s="90">
        <f t="shared" si="26"/>
        <v>0</v>
      </c>
      <c r="AQ57" s="90">
        <f t="shared" si="26"/>
        <v>0</v>
      </c>
      <c r="AR57" s="90">
        <f t="shared" si="26"/>
        <v>0</v>
      </c>
      <c r="AS57" s="90">
        <f t="shared" si="26"/>
        <v>0</v>
      </c>
      <c r="AT57" s="90">
        <f t="shared" si="26"/>
        <v>0</v>
      </c>
      <c r="AU57" s="90">
        <f t="shared" si="26"/>
        <v>0</v>
      </c>
      <c r="AV57" s="90">
        <f t="shared" si="26"/>
        <v>0</v>
      </c>
      <c r="AW57" s="90">
        <f t="shared" si="26"/>
        <v>0</v>
      </c>
      <c r="AX57" s="90">
        <f t="shared" si="26"/>
        <v>0</v>
      </c>
      <c r="AY57" s="90">
        <f t="shared" si="26"/>
        <v>0</v>
      </c>
      <c r="AZ57" s="90">
        <f t="shared" si="26"/>
        <v>0</v>
      </c>
      <c r="BA57" s="90">
        <f t="shared" si="26"/>
        <v>0</v>
      </c>
      <c r="BB57" s="90">
        <f t="shared" si="26"/>
        <v>0</v>
      </c>
      <c r="BC57" s="90">
        <f t="shared" si="26"/>
        <v>0</v>
      </c>
      <c r="BD57" s="90">
        <f t="shared" si="26"/>
        <v>0</v>
      </c>
      <c r="BE57" s="90">
        <f t="shared" si="26"/>
        <v>0</v>
      </c>
      <c r="BF57" s="90">
        <f t="shared" si="26"/>
        <v>0</v>
      </c>
      <c r="BG57" s="90">
        <f t="shared" si="26"/>
        <v>0</v>
      </c>
      <c r="BH57" s="90">
        <f t="shared" si="26"/>
        <v>0</v>
      </c>
      <c r="BI57" s="90">
        <f t="shared" si="26"/>
        <v>0</v>
      </c>
      <c r="BJ57" s="90">
        <f t="shared" si="27"/>
        <v>0</v>
      </c>
      <c r="BK57" s="90">
        <f t="shared" si="27"/>
        <v>0</v>
      </c>
      <c r="BL57" s="90">
        <f t="shared" si="27"/>
        <v>0</v>
      </c>
      <c r="BM57" s="90">
        <f t="shared" si="27"/>
        <v>0</v>
      </c>
      <c r="BN57" s="90">
        <f t="shared" si="27"/>
        <v>0</v>
      </c>
      <c r="BO57" s="90">
        <f t="shared" si="27"/>
        <v>0</v>
      </c>
    </row>
    <row r="58" spans="1:67">
      <c r="A58" s="11"/>
      <c r="B58" s="22" t="s">
        <v>293</v>
      </c>
      <c r="C58" s="22"/>
      <c r="D58" s="11"/>
      <c r="E58" s="89">
        <f>SUM(E52:E57)</f>
        <v>524480000</v>
      </c>
      <c r="F58" s="89">
        <f>SUM(F52:F57)</f>
        <v>238000000</v>
      </c>
      <c r="G58" s="89">
        <f>SUM(G52:G57)</f>
        <v>13600000</v>
      </c>
      <c r="H58" s="89">
        <f t="shared" ref="H58:BI58" si="28">SUM(H52:H57)</f>
        <v>13600000</v>
      </c>
      <c r="I58" s="89">
        <f t="shared" si="28"/>
        <v>13600000</v>
      </c>
      <c r="J58" s="89">
        <f t="shared" si="28"/>
        <v>32300000</v>
      </c>
      <c r="K58" s="89">
        <f t="shared" si="28"/>
        <v>14700000</v>
      </c>
      <c r="L58" s="89">
        <f t="shared" si="28"/>
        <v>14700000</v>
      </c>
      <c r="M58" s="89">
        <f t="shared" si="28"/>
        <v>14700000</v>
      </c>
      <c r="N58" s="89">
        <f t="shared" si="28"/>
        <v>14700000</v>
      </c>
      <c r="O58" s="89">
        <f t="shared" si="28"/>
        <v>14700000</v>
      </c>
      <c r="P58" s="89">
        <f t="shared" si="28"/>
        <v>7616666.666666667</v>
      </c>
      <c r="Q58" s="89">
        <f t="shared" si="28"/>
        <v>7616666.666666667</v>
      </c>
      <c r="R58" s="89">
        <f t="shared" si="28"/>
        <v>7616666.666666667</v>
      </c>
      <c r="S58" s="89">
        <f t="shared" si="28"/>
        <v>7616666.666666667</v>
      </c>
      <c r="T58" s="89">
        <f t="shared" si="28"/>
        <v>7616666.666666667</v>
      </c>
      <c r="U58" s="89">
        <f t="shared" si="28"/>
        <v>7616666.666666667</v>
      </c>
      <c r="V58" s="89">
        <f t="shared" si="28"/>
        <v>7616666.666666667</v>
      </c>
      <c r="W58" s="89">
        <f t="shared" si="28"/>
        <v>7616666.666666667</v>
      </c>
      <c r="X58" s="89">
        <f t="shared" si="28"/>
        <v>7616666.666666667</v>
      </c>
      <c r="Y58" s="89">
        <f t="shared" si="28"/>
        <v>7616666.666666667</v>
      </c>
      <c r="Z58" s="89">
        <f t="shared" si="28"/>
        <v>7616666.666666667</v>
      </c>
      <c r="AA58" s="89">
        <f t="shared" si="28"/>
        <v>7616666.666666667</v>
      </c>
      <c r="AB58" s="89">
        <f t="shared" si="28"/>
        <v>0</v>
      </c>
      <c r="AC58" s="89">
        <f t="shared" si="28"/>
        <v>0</v>
      </c>
      <c r="AD58" s="89">
        <f t="shared" si="28"/>
        <v>0</v>
      </c>
      <c r="AE58" s="89">
        <f t="shared" si="28"/>
        <v>0</v>
      </c>
      <c r="AF58" s="89">
        <f t="shared" si="28"/>
        <v>0</v>
      </c>
      <c r="AG58" s="89">
        <f t="shared" si="28"/>
        <v>0</v>
      </c>
      <c r="AH58" s="89">
        <f t="shared" si="28"/>
        <v>0</v>
      </c>
      <c r="AI58" s="89">
        <f t="shared" si="28"/>
        <v>0</v>
      </c>
      <c r="AJ58" s="89">
        <f t="shared" si="28"/>
        <v>0</v>
      </c>
      <c r="AK58" s="89">
        <f t="shared" si="28"/>
        <v>0</v>
      </c>
      <c r="AL58" s="89">
        <f t="shared" si="28"/>
        <v>0</v>
      </c>
      <c r="AM58" s="89">
        <f t="shared" si="28"/>
        <v>0</v>
      </c>
      <c r="AN58" s="89">
        <f t="shared" si="28"/>
        <v>0</v>
      </c>
      <c r="AO58" s="89">
        <f t="shared" si="28"/>
        <v>0</v>
      </c>
      <c r="AP58" s="89">
        <f t="shared" si="28"/>
        <v>0</v>
      </c>
      <c r="AQ58" s="89">
        <f t="shared" si="28"/>
        <v>0</v>
      </c>
      <c r="AR58" s="89">
        <f t="shared" si="28"/>
        <v>0</v>
      </c>
      <c r="AS58" s="89">
        <f t="shared" si="28"/>
        <v>0</v>
      </c>
      <c r="AT58" s="89">
        <f t="shared" si="28"/>
        <v>0</v>
      </c>
      <c r="AU58" s="89">
        <f t="shared" si="28"/>
        <v>0</v>
      </c>
      <c r="AV58" s="89">
        <f t="shared" si="28"/>
        <v>0</v>
      </c>
      <c r="AW58" s="89">
        <f t="shared" si="28"/>
        <v>0</v>
      </c>
      <c r="AX58" s="89">
        <f t="shared" si="28"/>
        <v>0</v>
      </c>
      <c r="AY58" s="89">
        <f t="shared" si="28"/>
        <v>0</v>
      </c>
      <c r="AZ58" s="89">
        <f t="shared" si="28"/>
        <v>0</v>
      </c>
      <c r="BA58" s="89">
        <f t="shared" si="28"/>
        <v>0</v>
      </c>
      <c r="BB58" s="89">
        <f t="shared" si="28"/>
        <v>0</v>
      </c>
      <c r="BC58" s="89">
        <f t="shared" si="28"/>
        <v>0</v>
      </c>
      <c r="BD58" s="89">
        <f t="shared" si="28"/>
        <v>0</v>
      </c>
      <c r="BE58" s="89">
        <f t="shared" si="28"/>
        <v>0</v>
      </c>
      <c r="BF58" s="89">
        <f t="shared" si="28"/>
        <v>0</v>
      </c>
      <c r="BG58" s="89">
        <f t="shared" si="28"/>
        <v>0</v>
      </c>
      <c r="BH58" s="89">
        <f t="shared" si="28"/>
        <v>0</v>
      </c>
      <c r="BI58" s="89">
        <f t="shared" si="28"/>
        <v>0</v>
      </c>
      <c r="BJ58" s="89">
        <f t="shared" ref="BJ58" si="29">SUM(BJ52:BJ57)</f>
        <v>0</v>
      </c>
      <c r="BK58" s="89">
        <f t="shared" ref="BK58" si="30">SUM(BK52:BK57)</f>
        <v>0</v>
      </c>
      <c r="BL58" s="89">
        <f t="shared" ref="BL58" si="31">SUM(BL52:BL57)</f>
        <v>0</v>
      </c>
      <c r="BM58" s="89">
        <f t="shared" ref="BM58" si="32">SUM(BM52:BM57)</f>
        <v>0</v>
      </c>
      <c r="BN58" s="89">
        <f t="shared" ref="BN58" si="33">SUM(BN52:BN57)</f>
        <v>0</v>
      </c>
      <c r="BO58" s="89">
        <f t="shared" ref="BO58" si="34">SUM(BO52:BO57)</f>
        <v>0</v>
      </c>
    </row>
    <row r="59" spans="1:67">
      <c r="A59" s="11"/>
      <c r="B59" s="11"/>
      <c r="C59" s="11"/>
      <c r="D59" s="11"/>
      <c r="E59" s="33"/>
      <c r="F59" s="33"/>
      <c r="G59" s="33"/>
      <c r="H59" s="33"/>
      <c r="I59" s="33"/>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row>
    <row r="60" spans="1:67">
      <c r="A60" s="18" t="s">
        <v>1751</v>
      </c>
      <c r="B60" s="18"/>
      <c r="C60" s="18"/>
      <c r="D60" s="18"/>
      <c r="E60" s="39"/>
      <c r="F60" s="39"/>
      <c r="G60" s="39"/>
      <c r="H60" s="39"/>
      <c r="I60" s="39"/>
      <c r="J60" s="39"/>
      <c r="K60" s="39"/>
      <c r="L60" s="39"/>
      <c r="M60" s="39"/>
      <c r="N60" s="39"/>
      <c r="O60" s="39"/>
      <c r="P60" s="39"/>
      <c r="Q60" s="39"/>
      <c r="R60" s="39"/>
      <c r="S60" s="39"/>
      <c r="T60" s="39"/>
      <c r="U60" s="39"/>
      <c r="V60" s="39"/>
      <c r="W60" s="39"/>
      <c r="X60" s="39"/>
      <c r="Y60" s="39"/>
      <c r="Z60" s="39"/>
      <c r="AA60" s="39"/>
      <c r="AB60" s="39"/>
      <c r="AC60" s="39"/>
      <c r="AD60" s="39"/>
      <c r="AE60" s="39"/>
      <c r="AF60" s="39"/>
      <c r="AG60" s="39"/>
      <c r="AH60" s="39"/>
      <c r="AI60" s="39"/>
      <c r="AJ60" s="39"/>
      <c r="AK60" s="39"/>
      <c r="AL60" s="39"/>
      <c r="AM60" s="39"/>
      <c r="AN60" s="39"/>
      <c r="AO60" s="39"/>
      <c r="AP60" s="39"/>
      <c r="AQ60" s="39"/>
      <c r="AR60" s="39"/>
      <c r="AS60" s="39"/>
      <c r="AT60" s="39"/>
      <c r="AU60" s="39"/>
      <c r="AV60" s="39"/>
      <c r="AW60" s="39"/>
      <c r="AX60" s="39"/>
      <c r="AY60" s="39"/>
      <c r="AZ60" s="39"/>
      <c r="BA60" s="39"/>
      <c r="BB60" s="39"/>
      <c r="BC60" s="39"/>
      <c r="BD60" s="39"/>
      <c r="BE60" s="39"/>
      <c r="BF60" s="39"/>
      <c r="BG60" s="39"/>
      <c r="BH60" s="39"/>
      <c r="BI60" s="39"/>
      <c r="BJ60" s="39"/>
      <c r="BK60" s="39"/>
      <c r="BL60" s="39"/>
      <c r="BM60" s="39"/>
      <c r="BN60" s="39"/>
      <c r="BO60" s="39"/>
    </row>
    <row r="61" spans="1:67">
      <c r="A61" s="11"/>
      <c r="B61" s="11" t="s">
        <v>294</v>
      </c>
      <c r="C61" s="11"/>
      <c r="D61" s="11"/>
      <c r="E61" s="92">
        <v>15</v>
      </c>
      <c r="F61" s="11" t="s">
        <v>64</v>
      </c>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row>
    <row r="62" spans="1:67">
      <c r="A62" s="11"/>
      <c r="B62" s="11" t="s">
        <v>295</v>
      </c>
      <c r="C62" s="11"/>
      <c r="D62" s="11"/>
      <c r="E62" s="90">
        <f>ROUNDUP('01 Major Assumptions'!$D$31/E61,0)</f>
        <v>8</v>
      </c>
      <c r="F62" s="11" t="s">
        <v>296</v>
      </c>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row>
    <row r="63" spans="1:67">
      <c r="A63" s="11"/>
      <c r="B63" s="11" t="s">
        <v>1653</v>
      </c>
      <c r="C63" s="11"/>
      <c r="D63" s="19">
        <v>0.2</v>
      </c>
      <c r="E63" s="92">
        <v>82924</v>
      </c>
      <c r="F63" s="11" t="s">
        <v>297</v>
      </c>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3"/>
      <c r="BN63" s="33"/>
      <c r="BO63" s="33"/>
    </row>
    <row r="64" spans="1:67">
      <c r="A64" s="11"/>
      <c r="B64" s="11" t="s">
        <v>54</v>
      </c>
      <c r="C64" s="11"/>
      <c r="D64" s="11"/>
      <c r="E64" s="66">
        <f>'01 Major Assumptions'!$D$20</f>
        <v>32.5</v>
      </c>
      <c r="F64" s="11" t="s">
        <v>51</v>
      </c>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3"/>
      <c r="BN64" s="33"/>
      <c r="BO64" s="33"/>
    </row>
    <row r="65" spans="1:67">
      <c r="A65" s="11"/>
      <c r="B65" s="11" t="s">
        <v>1478</v>
      </c>
      <c r="C65" s="11"/>
      <c r="D65" s="11"/>
      <c r="E65" s="90">
        <f>E63*(1-D63)*E64</f>
        <v>2156024</v>
      </c>
      <c r="F65" s="11" t="s">
        <v>13</v>
      </c>
      <c r="G65" s="33"/>
      <c r="H65" s="33"/>
      <c r="I65" s="33"/>
      <c r="J65" s="33"/>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3"/>
      <c r="BN65" s="33"/>
      <c r="BO65" s="33"/>
    </row>
    <row r="66" spans="1:67">
      <c r="A66" s="11"/>
      <c r="B66" s="11" t="s">
        <v>298</v>
      </c>
      <c r="C66" s="11"/>
      <c r="D66" s="11"/>
      <c r="E66" s="92">
        <v>2000000</v>
      </c>
      <c r="F66" s="11" t="s">
        <v>13</v>
      </c>
      <c r="G66" s="33"/>
      <c r="H66" s="33"/>
      <c r="I66" s="33"/>
      <c r="J66" s="33"/>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c r="BE66" s="33"/>
      <c r="BF66" s="33"/>
      <c r="BG66" s="33"/>
      <c r="BH66" s="33"/>
      <c r="BI66" s="33"/>
      <c r="BJ66" s="33"/>
      <c r="BK66" s="33"/>
      <c r="BL66" s="33"/>
      <c r="BM66" s="33"/>
      <c r="BN66" s="33"/>
      <c r="BO66" s="33"/>
    </row>
    <row r="67" spans="1:67">
      <c r="A67" s="11"/>
      <c r="B67" s="11" t="s">
        <v>1654</v>
      </c>
      <c r="C67" s="11"/>
      <c r="D67" s="11"/>
      <c r="E67" s="92">
        <v>695821</v>
      </c>
      <c r="F67" s="11" t="s">
        <v>13</v>
      </c>
      <c r="G67" s="33"/>
      <c r="H67" s="33"/>
      <c r="I67" s="33"/>
      <c r="J67" s="33"/>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3"/>
      <c r="BE67" s="33"/>
      <c r="BF67" s="33"/>
      <c r="BG67" s="33"/>
      <c r="BH67" s="33"/>
      <c r="BI67" s="33"/>
      <c r="BJ67" s="33"/>
      <c r="BK67" s="33"/>
      <c r="BL67" s="33"/>
      <c r="BM67" s="33"/>
      <c r="BN67" s="33"/>
      <c r="BO67" s="33"/>
    </row>
    <row r="68" spans="1:67">
      <c r="A68" s="11"/>
      <c r="B68" s="11" t="s">
        <v>1688</v>
      </c>
      <c r="C68" s="11"/>
      <c r="D68" s="11"/>
      <c r="E68" s="90">
        <f>(E65+E66+E67)/'01 Major Assumptions'!$D$221</f>
        <v>4133141.0557575175</v>
      </c>
      <c r="F68" s="11" t="s">
        <v>13</v>
      </c>
      <c r="G68" s="33"/>
      <c r="H68" s="33"/>
      <c r="I68" s="33"/>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c r="BM68" s="33"/>
      <c r="BN68" s="33"/>
      <c r="BO68" s="33"/>
    </row>
    <row r="69" spans="1:67">
      <c r="A69" s="11"/>
      <c r="B69" s="11" t="s">
        <v>299</v>
      </c>
      <c r="C69" s="11"/>
      <c r="D69" s="11"/>
      <c r="E69" s="3"/>
      <c r="F69" s="90">
        <f>ROUND(E62*E68*'01 Major Assumptions'!$D$189*'01 Major Assumptions'!$D$221,-6)</f>
        <v>39000000</v>
      </c>
      <c r="G69" s="90">
        <f>$F69*G$9</f>
        <v>0</v>
      </c>
      <c r="H69" s="90">
        <f t="shared" ref="H69:BO69" si="35">$F69*H$9</f>
        <v>0</v>
      </c>
      <c r="I69" s="90">
        <f t="shared" si="35"/>
        <v>0</v>
      </c>
      <c r="J69" s="90">
        <f t="shared" si="35"/>
        <v>11700000</v>
      </c>
      <c r="K69" s="90">
        <f t="shared" si="35"/>
        <v>1605882.3529411764</v>
      </c>
      <c r="L69" s="90">
        <f t="shared" si="35"/>
        <v>1605882.3529411764</v>
      </c>
      <c r="M69" s="90">
        <f t="shared" si="35"/>
        <v>1605882.3529411764</v>
      </c>
      <c r="N69" s="90">
        <f t="shared" si="35"/>
        <v>1605882.3529411764</v>
      </c>
      <c r="O69" s="90">
        <f t="shared" si="35"/>
        <v>1605882.3529411764</v>
      </c>
      <c r="P69" s="90">
        <f t="shared" si="35"/>
        <v>1605882.3529411764</v>
      </c>
      <c r="Q69" s="90">
        <f t="shared" si="35"/>
        <v>1605882.3529411764</v>
      </c>
      <c r="R69" s="90">
        <f t="shared" si="35"/>
        <v>1605882.3529411764</v>
      </c>
      <c r="S69" s="90">
        <f t="shared" si="35"/>
        <v>1605882.3529411764</v>
      </c>
      <c r="T69" s="90">
        <f t="shared" si="35"/>
        <v>1605882.3529411764</v>
      </c>
      <c r="U69" s="90">
        <f t="shared" si="35"/>
        <v>1605882.3529411764</v>
      </c>
      <c r="V69" s="90">
        <f t="shared" si="35"/>
        <v>1605882.3529411764</v>
      </c>
      <c r="W69" s="90">
        <f t="shared" si="35"/>
        <v>1605882.3529411764</v>
      </c>
      <c r="X69" s="90">
        <f t="shared" si="35"/>
        <v>1605882.3529411764</v>
      </c>
      <c r="Y69" s="90">
        <f t="shared" si="35"/>
        <v>1605882.3529411764</v>
      </c>
      <c r="Z69" s="90">
        <f t="shared" si="35"/>
        <v>1605882.3529411764</v>
      </c>
      <c r="AA69" s="90">
        <f t="shared" si="35"/>
        <v>1605882.3529411764</v>
      </c>
      <c r="AB69" s="90">
        <f t="shared" si="35"/>
        <v>0</v>
      </c>
      <c r="AC69" s="90">
        <f t="shared" si="35"/>
        <v>0</v>
      </c>
      <c r="AD69" s="90">
        <f t="shared" si="35"/>
        <v>0</v>
      </c>
      <c r="AE69" s="90">
        <f t="shared" si="35"/>
        <v>0</v>
      </c>
      <c r="AF69" s="90">
        <f t="shared" si="35"/>
        <v>0</v>
      </c>
      <c r="AG69" s="90">
        <f t="shared" si="35"/>
        <v>0</v>
      </c>
      <c r="AH69" s="90">
        <f t="shared" si="35"/>
        <v>0</v>
      </c>
      <c r="AI69" s="90">
        <f t="shared" si="35"/>
        <v>0</v>
      </c>
      <c r="AJ69" s="90">
        <f t="shared" si="35"/>
        <v>0</v>
      </c>
      <c r="AK69" s="90">
        <f t="shared" si="35"/>
        <v>0</v>
      </c>
      <c r="AL69" s="90">
        <f t="shared" si="35"/>
        <v>0</v>
      </c>
      <c r="AM69" s="90">
        <f t="shared" si="35"/>
        <v>0</v>
      </c>
      <c r="AN69" s="90">
        <f t="shared" si="35"/>
        <v>0</v>
      </c>
      <c r="AO69" s="90">
        <f t="shared" si="35"/>
        <v>0</v>
      </c>
      <c r="AP69" s="90">
        <f t="shared" si="35"/>
        <v>0</v>
      </c>
      <c r="AQ69" s="90">
        <f t="shared" si="35"/>
        <v>0</v>
      </c>
      <c r="AR69" s="90">
        <f t="shared" si="35"/>
        <v>0</v>
      </c>
      <c r="AS69" s="90">
        <f t="shared" si="35"/>
        <v>0</v>
      </c>
      <c r="AT69" s="90">
        <f t="shared" si="35"/>
        <v>0</v>
      </c>
      <c r="AU69" s="90">
        <f t="shared" si="35"/>
        <v>0</v>
      </c>
      <c r="AV69" s="90">
        <f t="shared" si="35"/>
        <v>0</v>
      </c>
      <c r="AW69" s="90">
        <f t="shared" si="35"/>
        <v>0</v>
      </c>
      <c r="AX69" s="90">
        <f t="shared" si="35"/>
        <v>0</v>
      </c>
      <c r="AY69" s="90">
        <f t="shared" si="35"/>
        <v>0</v>
      </c>
      <c r="AZ69" s="90">
        <f t="shared" si="35"/>
        <v>0</v>
      </c>
      <c r="BA69" s="90">
        <f t="shared" si="35"/>
        <v>0</v>
      </c>
      <c r="BB69" s="90">
        <f t="shared" si="35"/>
        <v>0</v>
      </c>
      <c r="BC69" s="90">
        <f t="shared" si="35"/>
        <v>0</v>
      </c>
      <c r="BD69" s="90">
        <f t="shared" si="35"/>
        <v>0</v>
      </c>
      <c r="BE69" s="90">
        <f t="shared" si="35"/>
        <v>0</v>
      </c>
      <c r="BF69" s="90">
        <f t="shared" si="35"/>
        <v>0</v>
      </c>
      <c r="BG69" s="90">
        <f t="shared" si="35"/>
        <v>0</v>
      </c>
      <c r="BH69" s="90">
        <f t="shared" si="35"/>
        <v>0</v>
      </c>
      <c r="BI69" s="90">
        <f t="shared" si="35"/>
        <v>0</v>
      </c>
      <c r="BJ69" s="90">
        <f t="shared" si="35"/>
        <v>0</v>
      </c>
      <c r="BK69" s="90">
        <f t="shared" si="35"/>
        <v>0</v>
      </c>
      <c r="BL69" s="90">
        <f t="shared" si="35"/>
        <v>0</v>
      </c>
      <c r="BM69" s="90">
        <f t="shared" si="35"/>
        <v>0</v>
      </c>
      <c r="BN69" s="90">
        <f t="shared" si="35"/>
        <v>0</v>
      </c>
      <c r="BO69" s="90">
        <f t="shared" si="35"/>
        <v>0</v>
      </c>
    </row>
    <row r="70" spans="1:67">
      <c r="A70" s="11"/>
      <c r="B70" s="11"/>
      <c r="C70" s="11"/>
      <c r="D70" s="11"/>
      <c r="E70" s="33"/>
      <c r="F70" s="33"/>
      <c r="G70" s="33"/>
      <c r="H70" s="33"/>
      <c r="I70" s="33"/>
      <c r="J70" s="33"/>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33"/>
      <c r="BK70" s="33"/>
      <c r="BL70" s="33"/>
      <c r="BM70" s="33"/>
      <c r="BN70" s="33"/>
      <c r="BO70" s="33"/>
    </row>
    <row r="71" spans="1:67">
      <c r="A71" s="18" t="s">
        <v>1752</v>
      </c>
      <c r="B71" s="18"/>
      <c r="C71" s="18"/>
      <c r="D71" s="18"/>
      <c r="E71" s="39"/>
      <c r="F71" s="39"/>
      <c r="G71" s="39"/>
      <c r="H71" s="39"/>
      <c r="I71" s="39"/>
      <c r="J71" s="39"/>
      <c r="K71" s="39"/>
      <c r="L71" s="39"/>
      <c r="M71" s="39"/>
      <c r="N71" s="39"/>
      <c r="O71" s="39"/>
      <c r="P71" s="39"/>
      <c r="Q71" s="39"/>
      <c r="R71" s="39"/>
      <c r="S71" s="39"/>
      <c r="T71" s="39"/>
      <c r="U71" s="39"/>
      <c r="V71" s="39"/>
      <c r="W71" s="39"/>
      <c r="X71" s="39"/>
      <c r="Y71" s="39"/>
      <c r="Z71" s="39"/>
      <c r="AA71" s="39"/>
      <c r="AB71" s="39"/>
      <c r="AC71" s="39"/>
      <c r="AD71" s="39"/>
      <c r="AE71" s="39"/>
      <c r="AF71" s="39"/>
      <c r="AG71" s="39"/>
      <c r="AH71" s="39"/>
      <c r="AI71" s="39"/>
      <c r="AJ71" s="39"/>
      <c r="AK71" s="39"/>
      <c r="AL71" s="39"/>
      <c r="AM71" s="39"/>
      <c r="AN71" s="39"/>
      <c r="AO71" s="39"/>
      <c r="AP71" s="39"/>
      <c r="AQ71" s="39"/>
      <c r="AR71" s="39"/>
      <c r="AS71" s="39"/>
      <c r="AT71" s="39"/>
      <c r="AU71" s="39"/>
      <c r="AV71" s="39"/>
      <c r="AW71" s="39"/>
      <c r="AX71" s="39"/>
      <c r="AY71" s="39"/>
      <c r="AZ71" s="39"/>
      <c r="BA71" s="39"/>
      <c r="BB71" s="39"/>
      <c r="BC71" s="39"/>
      <c r="BD71" s="39"/>
      <c r="BE71" s="39"/>
      <c r="BF71" s="39"/>
      <c r="BG71" s="39"/>
      <c r="BH71" s="39"/>
      <c r="BI71" s="39"/>
      <c r="BJ71" s="39"/>
      <c r="BK71" s="39"/>
      <c r="BL71" s="39"/>
      <c r="BM71" s="39"/>
      <c r="BN71" s="39"/>
      <c r="BO71" s="39"/>
    </row>
    <row r="72" spans="1:67">
      <c r="A72" s="11"/>
      <c r="B72" s="11" t="s">
        <v>300</v>
      </c>
      <c r="C72" s="11"/>
      <c r="D72" s="11"/>
      <c r="E72" s="92">
        <f>'01 Major Assumptions'!$D$33*'01 Major Assumptions'!$D$41*'01 Major Assumptions'!$D$52*'01 Major Assumptions'!$D$54</f>
        <v>12153.24</v>
      </c>
      <c r="F72" s="11" t="s">
        <v>68</v>
      </c>
      <c r="G72" s="33"/>
      <c r="H72" s="33"/>
      <c r="I72" s="33"/>
      <c r="J72" s="33"/>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3"/>
      <c r="AP72" s="33"/>
      <c r="AQ72" s="33"/>
      <c r="AR72" s="33"/>
      <c r="AS72" s="33"/>
      <c r="AT72" s="33"/>
      <c r="AU72" s="33"/>
      <c r="AV72" s="33"/>
      <c r="AW72" s="33"/>
      <c r="AX72" s="33"/>
      <c r="AY72" s="33"/>
      <c r="AZ72" s="33"/>
      <c r="BA72" s="33"/>
      <c r="BB72" s="33"/>
      <c r="BC72" s="33"/>
      <c r="BD72" s="33"/>
      <c r="BE72" s="33"/>
      <c r="BF72" s="33"/>
      <c r="BG72" s="33"/>
      <c r="BH72" s="33"/>
      <c r="BI72" s="33"/>
      <c r="BJ72" s="33"/>
      <c r="BK72" s="33"/>
      <c r="BL72" s="33"/>
      <c r="BM72" s="33"/>
      <c r="BN72" s="33"/>
      <c r="BO72" s="33"/>
    </row>
    <row r="73" spans="1:67">
      <c r="A73" s="11"/>
      <c r="B73" s="11" t="s">
        <v>301</v>
      </c>
      <c r="C73" s="11"/>
      <c r="D73" s="11"/>
      <c r="E73" s="92">
        <f>'01 Major Assumptions'!$D$55</f>
        <v>2000</v>
      </c>
      <c r="F73" s="11" t="s">
        <v>68</v>
      </c>
      <c r="G73" s="33"/>
      <c r="H73" s="33"/>
      <c r="I73" s="33"/>
      <c r="J73" s="33"/>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33"/>
      <c r="BE73" s="33"/>
      <c r="BF73" s="33"/>
      <c r="BG73" s="33"/>
      <c r="BH73" s="33"/>
      <c r="BI73" s="33"/>
      <c r="BJ73" s="33"/>
      <c r="BK73" s="33"/>
      <c r="BL73" s="33"/>
      <c r="BM73" s="33"/>
      <c r="BN73" s="33"/>
      <c r="BO73" s="33"/>
    </row>
    <row r="74" spans="1:67">
      <c r="A74" s="11"/>
      <c r="B74" s="11" t="s">
        <v>1767</v>
      </c>
      <c r="C74" s="11"/>
      <c r="D74" s="11"/>
      <c r="E74" s="92">
        <f>$E$293</f>
        <v>2</v>
      </c>
      <c r="F74" s="11" t="s">
        <v>60</v>
      </c>
      <c r="G74" s="33"/>
      <c r="H74" s="33"/>
      <c r="I74" s="33"/>
      <c r="J74" s="33"/>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33"/>
      <c r="BE74" s="33"/>
      <c r="BF74" s="33"/>
      <c r="BG74" s="33"/>
      <c r="BH74" s="33"/>
      <c r="BI74" s="33"/>
      <c r="BJ74" s="33"/>
      <c r="BK74" s="33"/>
      <c r="BL74" s="33"/>
      <c r="BM74" s="33"/>
      <c r="BN74" s="33"/>
      <c r="BO74" s="33"/>
    </row>
    <row r="75" spans="1:67">
      <c r="A75" s="11"/>
      <c r="B75" s="11" t="s">
        <v>1637</v>
      </c>
      <c r="C75" s="11"/>
      <c r="D75" s="11"/>
      <c r="E75" s="92">
        <f>$E$296/'01 Major Assumptions'!$D$221</f>
        <v>1244554.2211882561</v>
      </c>
      <c r="F75" s="11" t="s">
        <v>297</v>
      </c>
      <c r="G75" s="33"/>
      <c r="H75" s="33"/>
      <c r="I75" s="33"/>
      <c r="J75" s="33"/>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3"/>
      <c r="AP75" s="33"/>
      <c r="AQ75" s="33"/>
      <c r="AR75" s="33"/>
      <c r="AS75" s="33"/>
      <c r="AT75" s="33"/>
      <c r="AU75" s="33"/>
      <c r="AV75" s="33"/>
      <c r="AW75" s="33"/>
      <c r="AX75" s="33"/>
      <c r="AY75" s="33"/>
      <c r="AZ75" s="33"/>
      <c r="BA75" s="33"/>
      <c r="BB75" s="33"/>
      <c r="BC75" s="33"/>
      <c r="BD75" s="33"/>
      <c r="BE75" s="33"/>
      <c r="BF75" s="33"/>
      <c r="BG75" s="33"/>
      <c r="BH75" s="33"/>
      <c r="BI75" s="33"/>
      <c r="BJ75" s="33"/>
      <c r="BK75" s="33"/>
      <c r="BL75" s="33"/>
      <c r="BM75" s="33"/>
      <c r="BN75" s="33"/>
      <c r="BO75" s="33"/>
    </row>
    <row r="76" spans="1:67">
      <c r="A76" s="11"/>
      <c r="B76" s="1" t="s">
        <v>1655</v>
      </c>
      <c r="C76" s="1"/>
      <c r="D76" s="1"/>
      <c r="E76" s="98">
        <v>439168</v>
      </c>
      <c r="F76" s="1" t="s">
        <v>297</v>
      </c>
      <c r="G76" s="33"/>
      <c r="H76" s="33"/>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33"/>
      <c r="BM76" s="33"/>
      <c r="BN76" s="33"/>
      <c r="BO76" s="33"/>
    </row>
    <row r="77" spans="1:67">
      <c r="A77" s="11"/>
      <c r="B77" s="11" t="s">
        <v>54</v>
      </c>
      <c r="C77" s="11"/>
      <c r="D77" s="11"/>
      <c r="E77" s="66">
        <f>'01 Major Assumptions'!$D$20</f>
        <v>32.5</v>
      </c>
      <c r="F77" s="11" t="s">
        <v>51</v>
      </c>
      <c r="G77" s="33"/>
      <c r="H77" s="33"/>
      <c r="I77" s="33"/>
      <c r="J77" s="33"/>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3"/>
      <c r="BN77" s="33"/>
      <c r="BO77" s="33"/>
    </row>
    <row r="78" spans="1:67">
      <c r="A78" s="11"/>
      <c r="B78" s="11" t="s">
        <v>302</v>
      </c>
      <c r="C78" s="11"/>
      <c r="D78" s="11"/>
      <c r="E78" s="90">
        <f>E75*E77</f>
        <v>40448012.188618325</v>
      </c>
      <c r="F78" s="11" t="s">
        <v>13</v>
      </c>
      <c r="G78" s="33"/>
      <c r="H78" s="33"/>
      <c r="I78" s="33"/>
      <c r="J78" s="33"/>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3"/>
      <c r="AP78" s="33"/>
      <c r="AQ78" s="33"/>
      <c r="AR78" s="33"/>
      <c r="AS78" s="33"/>
      <c r="AT78" s="33"/>
      <c r="AU78" s="33"/>
      <c r="AV78" s="33"/>
      <c r="AW78" s="33"/>
      <c r="AX78" s="33"/>
      <c r="AY78" s="33"/>
      <c r="AZ78" s="33"/>
      <c r="BA78" s="33"/>
      <c r="BB78" s="33"/>
      <c r="BC78" s="33"/>
      <c r="BD78" s="33"/>
      <c r="BE78" s="33"/>
      <c r="BF78" s="33"/>
      <c r="BG78" s="33"/>
      <c r="BH78" s="33"/>
      <c r="BI78" s="33"/>
      <c r="BJ78" s="33"/>
      <c r="BK78" s="33"/>
      <c r="BL78" s="33"/>
      <c r="BM78" s="33"/>
      <c r="BN78" s="33"/>
      <c r="BO78" s="33"/>
    </row>
    <row r="79" spans="1:67">
      <c r="A79" s="11"/>
      <c r="B79" s="11" t="s">
        <v>1638</v>
      </c>
      <c r="C79" s="11"/>
      <c r="D79" s="11"/>
      <c r="E79" s="92">
        <f>25000000/'01 Major Assumptions'!$D$221</f>
        <v>21296749.255991884</v>
      </c>
      <c r="F79" s="11" t="s">
        <v>13</v>
      </c>
      <c r="G79" s="33"/>
      <c r="H79" s="33"/>
      <c r="I79" s="33"/>
      <c r="J79" s="33"/>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3"/>
      <c r="AP79" s="33"/>
      <c r="AQ79" s="33"/>
      <c r="AR79" s="33"/>
      <c r="AS79" s="33"/>
      <c r="AT79" s="33"/>
      <c r="AU79" s="33"/>
      <c r="AV79" s="33"/>
      <c r="AW79" s="33"/>
      <c r="AX79" s="33"/>
      <c r="AY79" s="33"/>
      <c r="AZ79" s="33"/>
      <c r="BA79" s="33"/>
      <c r="BB79" s="33"/>
      <c r="BC79" s="33"/>
      <c r="BD79" s="33"/>
      <c r="BE79" s="33"/>
      <c r="BF79" s="33"/>
      <c r="BG79" s="33"/>
      <c r="BH79" s="33"/>
      <c r="BI79" s="33"/>
      <c r="BJ79" s="33"/>
      <c r="BK79" s="33"/>
      <c r="BL79" s="33"/>
      <c r="BM79" s="33"/>
      <c r="BN79" s="33"/>
      <c r="BO79" s="33"/>
    </row>
    <row r="80" spans="1:67">
      <c r="A80" s="11"/>
      <c r="B80" s="11" t="s">
        <v>14</v>
      </c>
      <c r="C80" s="11"/>
      <c r="D80" s="11"/>
      <c r="E80" s="16">
        <v>0.1</v>
      </c>
      <c r="F80" s="33"/>
      <c r="G80" s="33"/>
      <c r="H80" s="33"/>
      <c r="I80" s="33"/>
      <c r="J80" s="33"/>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33"/>
      <c r="BN80" s="33"/>
      <c r="BO80" s="33"/>
    </row>
    <row r="81" spans="1:67">
      <c r="A81" s="11"/>
      <c r="B81" s="11" t="s">
        <v>303</v>
      </c>
      <c r="C81" s="11"/>
      <c r="D81" s="11"/>
      <c r="E81" s="90">
        <f>(E78+E79)*(1+E80)</f>
        <v>67919237.589071229</v>
      </c>
      <c r="F81" s="11" t="s">
        <v>13</v>
      </c>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3"/>
      <c r="AP81" s="33"/>
      <c r="AQ81" s="33"/>
      <c r="AR81" s="33"/>
      <c r="AS81" s="33"/>
      <c r="AT81" s="33"/>
      <c r="AU81" s="33"/>
      <c r="AV81" s="33"/>
      <c r="AW81" s="33"/>
      <c r="AX81" s="33"/>
      <c r="AY81" s="33"/>
      <c r="AZ81" s="33"/>
      <c r="BA81" s="33"/>
      <c r="BB81" s="33"/>
      <c r="BC81" s="33"/>
      <c r="BD81" s="33"/>
      <c r="BE81" s="33"/>
      <c r="BF81" s="33"/>
      <c r="BG81" s="33"/>
      <c r="BH81" s="33"/>
      <c r="BI81" s="33"/>
      <c r="BJ81" s="33"/>
      <c r="BK81" s="33"/>
      <c r="BL81" s="33"/>
      <c r="BM81" s="33"/>
      <c r="BN81" s="33"/>
      <c r="BO81" s="33"/>
    </row>
    <row r="82" spans="1:67">
      <c r="A82" s="11"/>
      <c r="B82" s="11" t="s">
        <v>304</v>
      </c>
      <c r="C82" s="11"/>
      <c r="D82" s="11"/>
      <c r="E82" s="3"/>
      <c r="F82" s="90">
        <f>ROUND(E74*E81*'01 Major Assumptions'!$D$189*'01 Major Assumptions'!$D$221,-6)</f>
        <v>159000000</v>
      </c>
      <c r="G82" s="90">
        <f>$F82*G$9</f>
        <v>0</v>
      </c>
      <c r="H82" s="90">
        <f t="shared" ref="H82:BO82" si="36">$F82*H$9</f>
        <v>0</v>
      </c>
      <c r="I82" s="90">
        <f t="shared" si="36"/>
        <v>0</v>
      </c>
      <c r="J82" s="90">
        <f t="shared" si="36"/>
        <v>47700000</v>
      </c>
      <c r="K82" s="90">
        <f t="shared" si="36"/>
        <v>6547058.823529412</v>
      </c>
      <c r="L82" s="90">
        <f t="shared" si="36"/>
        <v>6547058.823529412</v>
      </c>
      <c r="M82" s="90">
        <f t="shared" si="36"/>
        <v>6547058.823529412</v>
      </c>
      <c r="N82" s="90">
        <f t="shared" si="36"/>
        <v>6547058.823529412</v>
      </c>
      <c r="O82" s="90">
        <f t="shared" si="36"/>
        <v>6547058.823529412</v>
      </c>
      <c r="P82" s="90">
        <f t="shared" si="36"/>
        <v>6547058.823529412</v>
      </c>
      <c r="Q82" s="90">
        <f t="shared" si="36"/>
        <v>6547058.823529412</v>
      </c>
      <c r="R82" s="90">
        <f t="shared" si="36"/>
        <v>6547058.823529412</v>
      </c>
      <c r="S82" s="90">
        <f t="shared" si="36"/>
        <v>6547058.823529412</v>
      </c>
      <c r="T82" s="90">
        <f t="shared" si="36"/>
        <v>6547058.823529412</v>
      </c>
      <c r="U82" s="90">
        <f t="shared" si="36"/>
        <v>6547058.823529412</v>
      </c>
      <c r="V82" s="90">
        <f t="shared" si="36"/>
        <v>6547058.823529412</v>
      </c>
      <c r="W82" s="90">
        <f t="shared" si="36"/>
        <v>6547058.823529412</v>
      </c>
      <c r="X82" s="90">
        <f t="shared" si="36"/>
        <v>6547058.823529412</v>
      </c>
      <c r="Y82" s="90">
        <f t="shared" si="36"/>
        <v>6547058.823529412</v>
      </c>
      <c r="Z82" s="90">
        <f t="shared" si="36"/>
        <v>6547058.823529412</v>
      </c>
      <c r="AA82" s="90">
        <f t="shared" si="36"/>
        <v>6547058.823529412</v>
      </c>
      <c r="AB82" s="90">
        <f t="shared" si="36"/>
        <v>0</v>
      </c>
      <c r="AC82" s="90">
        <f t="shared" si="36"/>
        <v>0</v>
      </c>
      <c r="AD82" s="90">
        <f t="shared" si="36"/>
        <v>0</v>
      </c>
      <c r="AE82" s="90">
        <f t="shared" si="36"/>
        <v>0</v>
      </c>
      <c r="AF82" s="90">
        <f t="shared" si="36"/>
        <v>0</v>
      </c>
      <c r="AG82" s="90">
        <f t="shared" si="36"/>
        <v>0</v>
      </c>
      <c r="AH82" s="90">
        <f t="shared" si="36"/>
        <v>0</v>
      </c>
      <c r="AI82" s="90">
        <f t="shared" si="36"/>
        <v>0</v>
      </c>
      <c r="AJ82" s="90">
        <f t="shared" si="36"/>
        <v>0</v>
      </c>
      <c r="AK82" s="90">
        <f t="shared" si="36"/>
        <v>0</v>
      </c>
      <c r="AL82" s="90">
        <f t="shared" si="36"/>
        <v>0</v>
      </c>
      <c r="AM82" s="90">
        <f t="shared" si="36"/>
        <v>0</v>
      </c>
      <c r="AN82" s="90">
        <f t="shared" si="36"/>
        <v>0</v>
      </c>
      <c r="AO82" s="90">
        <f t="shared" si="36"/>
        <v>0</v>
      </c>
      <c r="AP82" s="90">
        <f t="shared" si="36"/>
        <v>0</v>
      </c>
      <c r="AQ82" s="90">
        <f t="shared" si="36"/>
        <v>0</v>
      </c>
      <c r="AR82" s="90">
        <f t="shared" si="36"/>
        <v>0</v>
      </c>
      <c r="AS82" s="90">
        <f t="shared" si="36"/>
        <v>0</v>
      </c>
      <c r="AT82" s="90">
        <f t="shared" si="36"/>
        <v>0</v>
      </c>
      <c r="AU82" s="90">
        <f t="shared" si="36"/>
        <v>0</v>
      </c>
      <c r="AV82" s="90">
        <f t="shared" si="36"/>
        <v>0</v>
      </c>
      <c r="AW82" s="90">
        <f t="shared" si="36"/>
        <v>0</v>
      </c>
      <c r="AX82" s="90">
        <f t="shared" si="36"/>
        <v>0</v>
      </c>
      <c r="AY82" s="90">
        <f t="shared" si="36"/>
        <v>0</v>
      </c>
      <c r="AZ82" s="90">
        <f t="shared" si="36"/>
        <v>0</v>
      </c>
      <c r="BA82" s="90">
        <f t="shared" si="36"/>
        <v>0</v>
      </c>
      <c r="BB82" s="90">
        <f t="shared" si="36"/>
        <v>0</v>
      </c>
      <c r="BC82" s="90">
        <f t="shared" si="36"/>
        <v>0</v>
      </c>
      <c r="BD82" s="90">
        <f t="shared" si="36"/>
        <v>0</v>
      </c>
      <c r="BE82" s="90">
        <f t="shared" si="36"/>
        <v>0</v>
      </c>
      <c r="BF82" s="90">
        <f t="shared" si="36"/>
        <v>0</v>
      </c>
      <c r="BG82" s="90">
        <f t="shared" si="36"/>
        <v>0</v>
      </c>
      <c r="BH82" s="90">
        <f t="shared" si="36"/>
        <v>0</v>
      </c>
      <c r="BI82" s="90">
        <f t="shared" si="36"/>
        <v>0</v>
      </c>
      <c r="BJ82" s="90">
        <f t="shared" si="36"/>
        <v>0</v>
      </c>
      <c r="BK82" s="90">
        <f t="shared" si="36"/>
        <v>0</v>
      </c>
      <c r="BL82" s="90">
        <f t="shared" si="36"/>
        <v>0</v>
      </c>
      <c r="BM82" s="90">
        <f t="shared" si="36"/>
        <v>0</v>
      </c>
      <c r="BN82" s="90">
        <f t="shared" si="36"/>
        <v>0</v>
      </c>
      <c r="BO82" s="90">
        <f t="shared" si="36"/>
        <v>0</v>
      </c>
    </row>
    <row r="83" spans="1:67">
      <c r="A83" s="11"/>
      <c r="B83" s="11"/>
      <c r="C83" s="11"/>
      <c r="D83" s="11"/>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row>
    <row r="84" spans="1:67">
      <c r="A84" s="18" t="s">
        <v>1753</v>
      </c>
      <c r="B84" s="18"/>
      <c r="C84" s="18"/>
      <c r="D84" s="18"/>
      <c r="E84" s="39"/>
      <c r="F84" s="39"/>
      <c r="G84" s="39"/>
      <c r="H84" s="39"/>
      <c r="I84" s="39"/>
      <c r="J84" s="39"/>
      <c r="K84" s="39"/>
      <c r="L84" s="39"/>
      <c r="M84" s="39"/>
      <c r="N84" s="39"/>
      <c r="O84" s="39"/>
      <c r="P84" s="39"/>
      <c r="Q84" s="39"/>
      <c r="R84" s="39"/>
      <c r="S84" s="39"/>
      <c r="T84" s="39"/>
      <c r="U84" s="39"/>
      <c r="V84" s="39"/>
      <c r="W84" s="39"/>
      <c r="X84" s="39"/>
      <c r="Y84" s="39"/>
      <c r="Z84" s="39"/>
      <c r="AA84" s="39"/>
      <c r="AB84" s="39"/>
      <c r="AC84" s="39"/>
      <c r="AD84" s="39"/>
      <c r="AE84" s="39"/>
      <c r="AF84" s="39"/>
      <c r="AG84" s="39"/>
      <c r="AH84" s="39"/>
      <c r="AI84" s="39"/>
      <c r="AJ84" s="39"/>
      <c r="AK84" s="39"/>
      <c r="AL84" s="39"/>
      <c r="AM84" s="39"/>
      <c r="AN84" s="39"/>
      <c r="AO84" s="39"/>
      <c r="AP84" s="39"/>
      <c r="AQ84" s="39"/>
      <c r="AR84" s="39"/>
      <c r="AS84" s="39"/>
      <c r="AT84" s="39"/>
      <c r="AU84" s="39"/>
      <c r="AV84" s="39"/>
      <c r="AW84" s="39"/>
      <c r="AX84" s="39"/>
      <c r="AY84" s="39"/>
      <c r="AZ84" s="39"/>
      <c r="BA84" s="39"/>
      <c r="BB84" s="39"/>
      <c r="BC84" s="39"/>
      <c r="BD84" s="39"/>
      <c r="BE84" s="39"/>
      <c r="BF84" s="39"/>
      <c r="BG84" s="39"/>
      <c r="BH84" s="39"/>
      <c r="BI84" s="39"/>
      <c r="BJ84" s="39"/>
      <c r="BK84" s="39"/>
      <c r="BL84" s="39"/>
      <c r="BM84" s="39"/>
      <c r="BN84" s="39"/>
      <c r="BO84" s="39"/>
    </row>
    <row r="85" spans="1:67">
      <c r="A85" s="11"/>
      <c r="B85" s="11"/>
      <c r="C85" s="11"/>
      <c r="D85" s="22" t="s">
        <v>259</v>
      </c>
      <c r="E85" s="22" t="s">
        <v>260</v>
      </c>
      <c r="F85" s="22" t="s">
        <v>261</v>
      </c>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3"/>
      <c r="AP85" s="33"/>
      <c r="AQ85" s="33"/>
      <c r="AR85" s="33"/>
      <c r="AS85" s="33"/>
      <c r="AT85" s="33"/>
      <c r="AU85" s="33"/>
      <c r="AV85" s="33"/>
      <c r="AW85" s="33"/>
      <c r="AX85" s="33"/>
      <c r="AY85" s="33"/>
      <c r="AZ85" s="33"/>
      <c r="BA85" s="33"/>
      <c r="BB85" s="33"/>
      <c r="BC85" s="33"/>
      <c r="BD85" s="33"/>
      <c r="BE85" s="33"/>
      <c r="BF85" s="33"/>
      <c r="BG85" s="33"/>
      <c r="BH85" s="33"/>
      <c r="BI85" s="33"/>
      <c r="BJ85" s="33"/>
      <c r="BK85" s="33"/>
      <c r="BL85" s="33"/>
      <c r="BM85" s="33"/>
      <c r="BN85" s="33"/>
      <c r="BO85" s="33"/>
    </row>
    <row r="86" spans="1:67">
      <c r="A86" s="11"/>
      <c r="B86" s="11" t="s">
        <v>305</v>
      </c>
      <c r="C86" s="11"/>
      <c r="D86" s="16">
        <v>1</v>
      </c>
      <c r="E86" s="92">
        <f>'01 Major Assumptions'!$D$66</f>
        <v>18000000</v>
      </c>
      <c r="F86" s="90">
        <f>IF($D86*$E86*'01 Major Assumptions'!$D$189*'01 Major Assumptions'!$D$221&gt;=1000000,ROUND($D86*$E86*'01 Major Assumptions'!$D$189*'01 Major Assumptions'!$D$221,-6),ROUND($D86*$E86*'01 Major Assumptions'!$D$189*'01 Major Assumptions'!$D$221,-5))</f>
        <v>21000000</v>
      </c>
      <c r="G86" s="90">
        <f t="shared" ref="G86:G95" si="37">$F86*G$10</f>
        <v>1680000</v>
      </c>
      <c r="H86" s="90">
        <f t="shared" ref="H86:BI90" si="38">$F86*H$10</f>
        <v>1680000</v>
      </c>
      <c r="I86" s="90">
        <f t="shared" si="38"/>
        <v>1680000</v>
      </c>
      <c r="J86" s="90">
        <f t="shared" si="38"/>
        <v>1470000.0000000002</v>
      </c>
      <c r="K86" s="90">
        <f t="shared" si="38"/>
        <v>1470000.0000000002</v>
      </c>
      <c r="L86" s="90">
        <f t="shared" si="38"/>
        <v>1470000.0000000002</v>
      </c>
      <c r="M86" s="90">
        <f t="shared" si="38"/>
        <v>1470000.0000000002</v>
      </c>
      <c r="N86" s="90">
        <f t="shared" si="38"/>
        <v>1470000.0000000002</v>
      </c>
      <c r="O86" s="90">
        <f t="shared" si="38"/>
        <v>1470000.0000000002</v>
      </c>
      <c r="P86" s="90">
        <f t="shared" si="38"/>
        <v>595000</v>
      </c>
      <c r="Q86" s="90">
        <f t="shared" si="38"/>
        <v>595000</v>
      </c>
      <c r="R86" s="90">
        <f t="shared" si="38"/>
        <v>595000</v>
      </c>
      <c r="S86" s="90">
        <f t="shared" si="38"/>
        <v>595000</v>
      </c>
      <c r="T86" s="90">
        <f t="shared" si="38"/>
        <v>595000</v>
      </c>
      <c r="U86" s="90">
        <f t="shared" si="38"/>
        <v>595000</v>
      </c>
      <c r="V86" s="90">
        <f t="shared" si="38"/>
        <v>595000</v>
      </c>
      <c r="W86" s="90">
        <f t="shared" si="38"/>
        <v>595000</v>
      </c>
      <c r="X86" s="90">
        <f t="shared" si="38"/>
        <v>595000</v>
      </c>
      <c r="Y86" s="90">
        <f t="shared" si="38"/>
        <v>595000</v>
      </c>
      <c r="Z86" s="90">
        <f t="shared" si="38"/>
        <v>595000</v>
      </c>
      <c r="AA86" s="90">
        <f t="shared" si="38"/>
        <v>595000</v>
      </c>
      <c r="AB86" s="90">
        <f t="shared" si="38"/>
        <v>0</v>
      </c>
      <c r="AC86" s="90">
        <f t="shared" si="38"/>
        <v>0</v>
      </c>
      <c r="AD86" s="90">
        <f t="shared" si="38"/>
        <v>0</v>
      </c>
      <c r="AE86" s="90">
        <f t="shared" si="38"/>
        <v>0</v>
      </c>
      <c r="AF86" s="90">
        <f t="shared" si="38"/>
        <v>0</v>
      </c>
      <c r="AG86" s="90">
        <f t="shared" si="38"/>
        <v>0</v>
      </c>
      <c r="AH86" s="90">
        <f t="shared" si="38"/>
        <v>0</v>
      </c>
      <c r="AI86" s="90">
        <f t="shared" si="38"/>
        <v>0</v>
      </c>
      <c r="AJ86" s="90">
        <f t="shared" si="38"/>
        <v>0</v>
      </c>
      <c r="AK86" s="90">
        <f t="shared" si="38"/>
        <v>0</v>
      </c>
      <c r="AL86" s="90">
        <f t="shared" si="38"/>
        <v>0</v>
      </c>
      <c r="AM86" s="90">
        <f t="shared" si="38"/>
        <v>0</v>
      </c>
      <c r="AN86" s="90">
        <f t="shared" si="38"/>
        <v>0</v>
      </c>
      <c r="AO86" s="90">
        <f t="shared" si="38"/>
        <v>0</v>
      </c>
      <c r="AP86" s="90">
        <f t="shared" si="38"/>
        <v>0</v>
      </c>
      <c r="AQ86" s="90">
        <f t="shared" si="38"/>
        <v>0</v>
      </c>
      <c r="AR86" s="90">
        <f t="shared" si="38"/>
        <v>0</v>
      </c>
      <c r="AS86" s="90">
        <f t="shared" si="38"/>
        <v>0</v>
      </c>
      <c r="AT86" s="90">
        <f t="shared" si="38"/>
        <v>0</v>
      </c>
      <c r="AU86" s="90">
        <f t="shared" si="38"/>
        <v>0</v>
      </c>
      <c r="AV86" s="90">
        <f t="shared" si="38"/>
        <v>0</v>
      </c>
      <c r="AW86" s="90">
        <f t="shared" si="38"/>
        <v>0</v>
      </c>
      <c r="AX86" s="90">
        <f t="shared" si="38"/>
        <v>0</v>
      </c>
      <c r="AY86" s="90">
        <f t="shared" si="38"/>
        <v>0</v>
      </c>
      <c r="AZ86" s="90">
        <f t="shared" si="38"/>
        <v>0</v>
      </c>
      <c r="BA86" s="90">
        <f t="shared" si="38"/>
        <v>0</v>
      </c>
      <c r="BB86" s="90">
        <f t="shared" si="38"/>
        <v>0</v>
      </c>
      <c r="BC86" s="90">
        <f t="shared" si="38"/>
        <v>0</v>
      </c>
      <c r="BD86" s="90">
        <f t="shared" si="38"/>
        <v>0</v>
      </c>
      <c r="BE86" s="90">
        <f t="shared" si="38"/>
        <v>0</v>
      </c>
      <c r="BF86" s="90">
        <f t="shared" si="38"/>
        <v>0</v>
      </c>
      <c r="BG86" s="90">
        <f t="shared" si="38"/>
        <v>0</v>
      </c>
      <c r="BH86" s="90">
        <f t="shared" si="38"/>
        <v>0</v>
      </c>
      <c r="BI86" s="90">
        <f t="shared" si="38"/>
        <v>0</v>
      </c>
      <c r="BJ86" s="90">
        <f t="shared" ref="BJ86:BO95" si="39">$F86*BJ$10</f>
        <v>0</v>
      </c>
      <c r="BK86" s="90">
        <f t="shared" si="39"/>
        <v>0</v>
      </c>
      <c r="BL86" s="90">
        <f t="shared" si="39"/>
        <v>0</v>
      </c>
      <c r="BM86" s="90">
        <f t="shared" si="39"/>
        <v>0</v>
      </c>
      <c r="BN86" s="90">
        <f t="shared" si="39"/>
        <v>0</v>
      </c>
      <c r="BO86" s="90">
        <f t="shared" si="39"/>
        <v>0</v>
      </c>
    </row>
    <row r="87" spans="1:67">
      <c r="A87" s="11"/>
      <c r="B87" s="11" t="s">
        <v>306</v>
      </c>
      <c r="C87" s="11"/>
      <c r="D87" s="16">
        <v>1</v>
      </c>
      <c r="E87" s="92">
        <v>15000000</v>
      </c>
      <c r="F87" s="90">
        <f>IF($D87*$E87*'01 Major Assumptions'!$D$189*'01 Major Assumptions'!$D$221*$I$223&gt;=1000000,ROUND($D87*$E87*'01 Major Assumptions'!$D$189*'01 Major Assumptions'!$D$221*$I$223,-6),ROUND($D87*$E87*'01 Major Assumptions'!$D$189*'01 Major Assumptions'!$D$221*$I$223,-5))</f>
        <v>12000000</v>
      </c>
      <c r="G87" s="90">
        <f t="shared" si="37"/>
        <v>960000</v>
      </c>
      <c r="H87" s="90">
        <f t="shared" si="38"/>
        <v>960000</v>
      </c>
      <c r="I87" s="90">
        <f t="shared" si="38"/>
        <v>960000</v>
      </c>
      <c r="J87" s="90">
        <f t="shared" si="38"/>
        <v>840000.00000000012</v>
      </c>
      <c r="K87" s="90">
        <f t="shared" si="38"/>
        <v>840000.00000000012</v>
      </c>
      <c r="L87" s="90">
        <f t="shared" si="38"/>
        <v>840000.00000000012</v>
      </c>
      <c r="M87" s="90">
        <f t="shared" si="38"/>
        <v>840000.00000000012</v>
      </c>
      <c r="N87" s="90">
        <f t="shared" si="38"/>
        <v>840000.00000000012</v>
      </c>
      <c r="O87" s="90">
        <f t="shared" si="38"/>
        <v>840000.00000000012</v>
      </c>
      <c r="P87" s="90">
        <f t="shared" si="38"/>
        <v>340000</v>
      </c>
      <c r="Q87" s="90">
        <f t="shared" si="38"/>
        <v>340000</v>
      </c>
      <c r="R87" s="90">
        <f t="shared" si="38"/>
        <v>340000</v>
      </c>
      <c r="S87" s="90">
        <f t="shared" si="38"/>
        <v>340000</v>
      </c>
      <c r="T87" s="90">
        <f t="shared" si="38"/>
        <v>340000</v>
      </c>
      <c r="U87" s="90">
        <f t="shared" si="38"/>
        <v>340000</v>
      </c>
      <c r="V87" s="90">
        <f t="shared" si="38"/>
        <v>340000</v>
      </c>
      <c r="W87" s="90">
        <f t="shared" si="38"/>
        <v>340000</v>
      </c>
      <c r="X87" s="90">
        <f t="shared" si="38"/>
        <v>340000</v>
      </c>
      <c r="Y87" s="90">
        <f t="shared" si="38"/>
        <v>340000</v>
      </c>
      <c r="Z87" s="90">
        <f t="shared" si="38"/>
        <v>340000</v>
      </c>
      <c r="AA87" s="90">
        <f t="shared" si="38"/>
        <v>340000</v>
      </c>
      <c r="AB87" s="90">
        <f t="shared" si="38"/>
        <v>0</v>
      </c>
      <c r="AC87" s="90">
        <f t="shared" si="38"/>
        <v>0</v>
      </c>
      <c r="AD87" s="90">
        <f t="shared" si="38"/>
        <v>0</v>
      </c>
      <c r="AE87" s="90">
        <f t="shared" si="38"/>
        <v>0</v>
      </c>
      <c r="AF87" s="90">
        <f t="shared" si="38"/>
        <v>0</v>
      </c>
      <c r="AG87" s="90">
        <f t="shared" si="38"/>
        <v>0</v>
      </c>
      <c r="AH87" s="90">
        <f t="shared" si="38"/>
        <v>0</v>
      </c>
      <c r="AI87" s="90">
        <f t="shared" si="38"/>
        <v>0</v>
      </c>
      <c r="AJ87" s="90">
        <f t="shared" si="38"/>
        <v>0</v>
      </c>
      <c r="AK87" s="90">
        <f t="shared" si="38"/>
        <v>0</v>
      </c>
      <c r="AL87" s="90">
        <f t="shared" si="38"/>
        <v>0</v>
      </c>
      <c r="AM87" s="90">
        <f t="shared" si="38"/>
        <v>0</v>
      </c>
      <c r="AN87" s="90">
        <f t="shared" si="38"/>
        <v>0</v>
      </c>
      <c r="AO87" s="90">
        <f t="shared" si="38"/>
        <v>0</v>
      </c>
      <c r="AP87" s="90">
        <f t="shared" si="38"/>
        <v>0</v>
      </c>
      <c r="AQ87" s="90">
        <f t="shared" si="38"/>
        <v>0</v>
      </c>
      <c r="AR87" s="90">
        <f t="shared" si="38"/>
        <v>0</v>
      </c>
      <c r="AS87" s="90">
        <f t="shared" si="38"/>
        <v>0</v>
      </c>
      <c r="AT87" s="90">
        <f t="shared" si="38"/>
        <v>0</v>
      </c>
      <c r="AU87" s="90">
        <f t="shared" si="38"/>
        <v>0</v>
      </c>
      <c r="AV87" s="90">
        <f t="shared" si="38"/>
        <v>0</v>
      </c>
      <c r="AW87" s="90">
        <f t="shared" si="38"/>
        <v>0</v>
      </c>
      <c r="AX87" s="90">
        <f t="shared" si="38"/>
        <v>0</v>
      </c>
      <c r="AY87" s="90">
        <f t="shared" si="38"/>
        <v>0</v>
      </c>
      <c r="AZ87" s="90">
        <f t="shared" si="38"/>
        <v>0</v>
      </c>
      <c r="BA87" s="90">
        <f t="shared" si="38"/>
        <v>0</v>
      </c>
      <c r="BB87" s="90">
        <f t="shared" si="38"/>
        <v>0</v>
      </c>
      <c r="BC87" s="90">
        <f t="shared" si="38"/>
        <v>0</v>
      </c>
      <c r="BD87" s="90">
        <f t="shared" si="38"/>
        <v>0</v>
      </c>
      <c r="BE87" s="90">
        <f t="shared" si="38"/>
        <v>0</v>
      </c>
      <c r="BF87" s="90">
        <f t="shared" si="38"/>
        <v>0</v>
      </c>
      <c r="BG87" s="90">
        <f t="shared" si="38"/>
        <v>0</v>
      </c>
      <c r="BH87" s="90">
        <f t="shared" si="38"/>
        <v>0</v>
      </c>
      <c r="BI87" s="90">
        <f t="shared" si="38"/>
        <v>0</v>
      </c>
      <c r="BJ87" s="90">
        <f t="shared" si="39"/>
        <v>0</v>
      </c>
      <c r="BK87" s="90">
        <f t="shared" si="39"/>
        <v>0</v>
      </c>
      <c r="BL87" s="90">
        <f t="shared" si="39"/>
        <v>0</v>
      </c>
      <c r="BM87" s="90">
        <f t="shared" si="39"/>
        <v>0</v>
      </c>
      <c r="BN87" s="90">
        <f t="shared" si="39"/>
        <v>0</v>
      </c>
      <c r="BO87" s="90">
        <f t="shared" si="39"/>
        <v>0</v>
      </c>
    </row>
    <row r="88" spans="1:67">
      <c r="A88" s="11"/>
      <c r="B88" s="11" t="s">
        <v>307</v>
      </c>
      <c r="C88" s="11"/>
      <c r="D88" s="16">
        <v>1</v>
      </c>
      <c r="E88" s="92">
        <f>'01 Major Assumptions'!$D$208*'01 Major Assumptions'!$D$7</f>
        <v>10500000</v>
      </c>
      <c r="F88" s="90">
        <f>IF($D88*$E88*'01 Major Assumptions'!$D$189*'01 Major Assumptions'!$D$221*$I$224&gt;=1000000,ROUND($D88*$E88*'01 Major Assumptions'!$D$189*'01 Major Assumptions'!$D$221*$I$224,-6),ROUND($D88*$E88*'01 Major Assumptions'!$D$189*'01 Major Assumptions'!$D$221*$I$224,-5))</f>
        <v>8000000</v>
      </c>
      <c r="G88" s="90">
        <f t="shared" si="37"/>
        <v>640000</v>
      </c>
      <c r="H88" s="90">
        <f t="shared" si="38"/>
        <v>640000</v>
      </c>
      <c r="I88" s="90">
        <f t="shared" si="38"/>
        <v>640000</v>
      </c>
      <c r="J88" s="90">
        <f t="shared" si="38"/>
        <v>560000</v>
      </c>
      <c r="K88" s="90">
        <f t="shared" si="38"/>
        <v>560000</v>
      </c>
      <c r="L88" s="90">
        <f t="shared" si="38"/>
        <v>560000</v>
      </c>
      <c r="M88" s="90">
        <f t="shared" si="38"/>
        <v>560000</v>
      </c>
      <c r="N88" s="90">
        <f t="shared" si="38"/>
        <v>560000</v>
      </c>
      <c r="O88" s="90">
        <f t="shared" si="38"/>
        <v>560000</v>
      </c>
      <c r="P88" s="90">
        <f t="shared" si="38"/>
        <v>226666.66666666669</v>
      </c>
      <c r="Q88" s="90">
        <f t="shared" si="38"/>
        <v>226666.66666666669</v>
      </c>
      <c r="R88" s="90">
        <f t="shared" si="38"/>
        <v>226666.66666666669</v>
      </c>
      <c r="S88" s="90">
        <f t="shared" si="38"/>
        <v>226666.66666666669</v>
      </c>
      <c r="T88" s="90">
        <f t="shared" si="38"/>
        <v>226666.66666666669</v>
      </c>
      <c r="U88" s="90">
        <f t="shared" si="38"/>
        <v>226666.66666666669</v>
      </c>
      <c r="V88" s="90">
        <f t="shared" si="38"/>
        <v>226666.66666666669</v>
      </c>
      <c r="W88" s="90">
        <f t="shared" si="38"/>
        <v>226666.66666666669</v>
      </c>
      <c r="X88" s="90">
        <f t="shared" si="38"/>
        <v>226666.66666666669</v>
      </c>
      <c r="Y88" s="90">
        <f t="shared" si="38"/>
        <v>226666.66666666669</v>
      </c>
      <c r="Z88" s="90">
        <f t="shared" si="38"/>
        <v>226666.66666666669</v>
      </c>
      <c r="AA88" s="90">
        <f t="shared" si="38"/>
        <v>226666.66666666669</v>
      </c>
      <c r="AB88" s="90">
        <f t="shared" si="38"/>
        <v>0</v>
      </c>
      <c r="AC88" s="90">
        <f t="shared" si="38"/>
        <v>0</v>
      </c>
      <c r="AD88" s="90">
        <f t="shared" si="38"/>
        <v>0</v>
      </c>
      <c r="AE88" s="90">
        <f t="shared" si="38"/>
        <v>0</v>
      </c>
      <c r="AF88" s="90">
        <f t="shared" si="38"/>
        <v>0</v>
      </c>
      <c r="AG88" s="90">
        <f t="shared" si="38"/>
        <v>0</v>
      </c>
      <c r="AH88" s="90">
        <f t="shared" si="38"/>
        <v>0</v>
      </c>
      <c r="AI88" s="90">
        <f t="shared" si="38"/>
        <v>0</v>
      </c>
      <c r="AJ88" s="90">
        <f t="shared" si="38"/>
        <v>0</v>
      </c>
      <c r="AK88" s="90">
        <f t="shared" si="38"/>
        <v>0</v>
      </c>
      <c r="AL88" s="90">
        <f t="shared" si="38"/>
        <v>0</v>
      </c>
      <c r="AM88" s="90">
        <f t="shared" si="38"/>
        <v>0</v>
      </c>
      <c r="AN88" s="90">
        <f t="shared" si="38"/>
        <v>0</v>
      </c>
      <c r="AO88" s="90">
        <f t="shared" si="38"/>
        <v>0</v>
      </c>
      <c r="AP88" s="90">
        <f t="shared" si="38"/>
        <v>0</v>
      </c>
      <c r="AQ88" s="90">
        <f t="shared" si="38"/>
        <v>0</v>
      </c>
      <c r="AR88" s="90">
        <f t="shared" si="38"/>
        <v>0</v>
      </c>
      <c r="AS88" s="90">
        <f t="shared" si="38"/>
        <v>0</v>
      </c>
      <c r="AT88" s="90">
        <f t="shared" si="38"/>
        <v>0</v>
      </c>
      <c r="AU88" s="90">
        <f t="shared" si="38"/>
        <v>0</v>
      </c>
      <c r="AV88" s="90">
        <f t="shared" si="38"/>
        <v>0</v>
      </c>
      <c r="AW88" s="90">
        <f t="shared" si="38"/>
        <v>0</v>
      </c>
      <c r="AX88" s="90">
        <f t="shared" si="38"/>
        <v>0</v>
      </c>
      <c r="AY88" s="90">
        <f t="shared" si="38"/>
        <v>0</v>
      </c>
      <c r="AZ88" s="90">
        <f t="shared" si="38"/>
        <v>0</v>
      </c>
      <c r="BA88" s="90">
        <f t="shared" si="38"/>
        <v>0</v>
      </c>
      <c r="BB88" s="90">
        <f t="shared" si="38"/>
        <v>0</v>
      </c>
      <c r="BC88" s="90">
        <f t="shared" si="38"/>
        <v>0</v>
      </c>
      <c r="BD88" s="90">
        <f t="shared" si="38"/>
        <v>0</v>
      </c>
      <c r="BE88" s="90">
        <f t="shared" si="38"/>
        <v>0</v>
      </c>
      <c r="BF88" s="90">
        <f t="shared" si="38"/>
        <v>0</v>
      </c>
      <c r="BG88" s="90">
        <f t="shared" si="38"/>
        <v>0</v>
      </c>
      <c r="BH88" s="90">
        <f t="shared" si="38"/>
        <v>0</v>
      </c>
      <c r="BI88" s="90">
        <f t="shared" si="38"/>
        <v>0</v>
      </c>
      <c r="BJ88" s="90">
        <f t="shared" si="39"/>
        <v>0</v>
      </c>
      <c r="BK88" s="90">
        <f t="shared" si="39"/>
        <v>0</v>
      </c>
      <c r="BL88" s="90">
        <f t="shared" si="39"/>
        <v>0</v>
      </c>
      <c r="BM88" s="90">
        <f t="shared" si="39"/>
        <v>0</v>
      </c>
      <c r="BN88" s="90">
        <f t="shared" si="39"/>
        <v>0</v>
      </c>
      <c r="BO88" s="90">
        <f t="shared" si="39"/>
        <v>0</v>
      </c>
    </row>
    <row r="89" spans="1:67">
      <c r="A89" s="11"/>
      <c r="B89" s="11" t="s">
        <v>308</v>
      </c>
      <c r="C89" s="11"/>
      <c r="D89" s="16">
        <v>1</v>
      </c>
      <c r="E89" s="92">
        <f>'01 Major Assumptions'!$D$209*'01 Major Assumptions'!$D$7</f>
        <v>10500000</v>
      </c>
      <c r="F89" s="90">
        <f>IF($D89*$E89*'01 Major Assumptions'!$D$189*'01 Major Assumptions'!$D$221*$I$225&gt;=1000000,ROUND($D89*$E89*'01 Major Assumptions'!$D$189*'01 Major Assumptions'!$D$221*$I$225,-6),ROUND($D89*$E89*'01 Major Assumptions'!$D$189*'01 Major Assumptions'!$D$221*$I$225,-5))</f>
        <v>12000000</v>
      </c>
      <c r="G89" s="90">
        <f t="shared" si="37"/>
        <v>960000</v>
      </c>
      <c r="H89" s="90">
        <f t="shared" si="38"/>
        <v>960000</v>
      </c>
      <c r="I89" s="90">
        <f t="shared" si="38"/>
        <v>960000</v>
      </c>
      <c r="J89" s="90">
        <f t="shared" si="38"/>
        <v>840000.00000000012</v>
      </c>
      <c r="K89" s="90">
        <f t="shared" si="38"/>
        <v>840000.00000000012</v>
      </c>
      <c r="L89" s="90">
        <f t="shared" si="38"/>
        <v>840000.00000000012</v>
      </c>
      <c r="M89" s="90">
        <f t="shared" si="38"/>
        <v>840000.00000000012</v>
      </c>
      <c r="N89" s="90">
        <f t="shared" si="38"/>
        <v>840000.00000000012</v>
      </c>
      <c r="O89" s="90">
        <f t="shared" si="38"/>
        <v>840000.00000000012</v>
      </c>
      <c r="P89" s="90">
        <f t="shared" si="38"/>
        <v>340000</v>
      </c>
      <c r="Q89" s="90">
        <f t="shared" si="38"/>
        <v>340000</v>
      </c>
      <c r="R89" s="90">
        <f t="shared" si="38"/>
        <v>340000</v>
      </c>
      <c r="S89" s="90">
        <f t="shared" si="38"/>
        <v>340000</v>
      </c>
      <c r="T89" s="90">
        <f t="shared" si="38"/>
        <v>340000</v>
      </c>
      <c r="U89" s="90">
        <f t="shared" si="38"/>
        <v>340000</v>
      </c>
      <c r="V89" s="90">
        <f t="shared" si="38"/>
        <v>340000</v>
      </c>
      <c r="W89" s="90">
        <f t="shared" si="38"/>
        <v>340000</v>
      </c>
      <c r="X89" s="90">
        <f t="shared" si="38"/>
        <v>340000</v>
      </c>
      <c r="Y89" s="90">
        <f t="shared" si="38"/>
        <v>340000</v>
      </c>
      <c r="Z89" s="90">
        <f t="shared" si="38"/>
        <v>340000</v>
      </c>
      <c r="AA89" s="90">
        <f t="shared" si="38"/>
        <v>340000</v>
      </c>
      <c r="AB89" s="90">
        <f t="shared" si="38"/>
        <v>0</v>
      </c>
      <c r="AC89" s="90">
        <f t="shared" si="38"/>
        <v>0</v>
      </c>
      <c r="AD89" s="90">
        <f t="shared" si="38"/>
        <v>0</v>
      </c>
      <c r="AE89" s="90">
        <f t="shared" si="38"/>
        <v>0</v>
      </c>
      <c r="AF89" s="90">
        <f t="shared" si="38"/>
        <v>0</v>
      </c>
      <c r="AG89" s="90">
        <f t="shared" si="38"/>
        <v>0</v>
      </c>
      <c r="AH89" s="90">
        <f t="shared" si="38"/>
        <v>0</v>
      </c>
      <c r="AI89" s="90">
        <f t="shared" si="38"/>
        <v>0</v>
      </c>
      <c r="AJ89" s="90">
        <f t="shared" si="38"/>
        <v>0</v>
      </c>
      <c r="AK89" s="90">
        <f t="shared" si="38"/>
        <v>0</v>
      </c>
      <c r="AL89" s="90">
        <f t="shared" si="38"/>
        <v>0</v>
      </c>
      <c r="AM89" s="90">
        <f t="shared" si="38"/>
        <v>0</v>
      </c>
      <c r="AN89" s="90">
        <f t="shared" si="38"/>
        <v>0</v>
      </c>
      <c r="AO89" s="90">
        <f t="shared" si="38"/>
        <v>0</v>
      </c>
      <c r="AP89" s="90">
        <f t="shared" si="38"/>
        <v>0</v>
      </c>
      <c r="AQ89" s="90">
        <f t="shared" si="38"/>
        <v>0</v>
      </c>
      <c r="AR89" s="90">
        <f t="shared" si="38"/>
        <v>0</v>
      </c>
      <c r="AS89" s="90">
        <f t="shared" si="38"/>
        <v>0</v>
      </c>
      <c r="AT89" s="90">
        <f t="shared" si="38"/>
        <v>0</v>
      </c>
      <c r="AU89" s="90">
        <f t="shared" si="38"/>
        <v>0</v>
      </c>
      <c r="AV89" s="90">
        <f t="shared" si="38"/>
        <v>0</v>
      </c>
      <c r="AW89" s="90">
        <f t="shared" si="38"/>
        <v>0</v>
      </c>
      <c r="AX89" s="90">
        <f t="shared" si="38"/>
        <v>0</v>
      </c>
      <c r="AY89" s="90">
        <f t="shared" si="38"/>
        <v>0</v>
      </c>
      <c r="AZ89" s="90">
        <f t="shared" si="38"/>
        <v>0</v>
      </c>
      <c r="BA89" s="90">
        <f t="shared" si="38"/>
        <v>0</v>
      </c>
      <c r="BB89" s="90">
        <f t="shared" si="38"/>
        <v>0</v>
      </c>
      <c r="BC89" s="90">
        <f t="shared" si="38"/>
        <v>0</v>
      </c>
      <c r="BD89" s="90">
        <f t="shared" si="38"/>
        <v>0</v>
      </c>
      <c r="BE89" s="90">
        <f t="shared" si="38"/>
        <v>0</v>
      </c>
      <c r="BF89" s="90">
        <f t="shared" si="38"/>
        <v>0</v>
      </c>
      <c r="BG89" s="90">
        <f t="shared" si="38"/>
        <v>0</v>
      </c>
      <c r="BH89" s="90">
        <f t="shared" si="38"/>
        <v>0</v>
      </c>
      <c r="BI89" s="90">
        <f t="shared" si="38"/>
        <v>0</v>
      </c>
      <c r="BJ89" s="90">
        <f t="shared" si="39"/>
        <v>0</v>
      </c>
      <c r="BK89" s="90">
        <f t="shared" si="39"/>
        <v>0</v>
      </c>
      <c r="BL89" s="90">
        <f t="shared" si="39"/>
        <v>0</v>
      </c>
      <c r="BM89" s="90">
        <f t="shared" si="39"/>
        <v>0</v>
      </c>
      <c r="BN89" s="90">
        <f t="shared" si="39"/>
        <v>0</v>
      </c>
      <c r="BO89" s="90">
        <f t="shared" si="39"/>
        <v>0</v>
      </c>
    </row>
    <row r="90" spans="1:67">
      <c r="A90" s="11"/>
      <c r="B90" s="11" t="s">
        <v>309</v>
      </c>
      <c r="C90" s="11"/>
      <c r="D90" s="16">
        <v>1</v>
      </c>
      <c r="E90" s="92">
        <f>'01 Major Assumptions'!$D$210*'01 Major Assumptions'!$D$7</f>
        <v>10500000</v>
      </c>
      <c r="F90" s="90">
        <f>IF($D90*$E90*'01 Major Assumptions'!$D$189*'01 Major Assumptions'!$D$221*$I$226&gt;=1000000,ROUND($D90*$E90*'01 Major Assumptions'!$D$189*'01 Major Assumptions'!$D$221*$I$226,-6),ROUND($D90*$E90*'01 Major Assumptions'!$D$189*'01 Major Assumptions'!$D$221*$I$226,-5))</f>
        <v>8000000</v>
      </c>
      <c r="G90" s="90">
        <f t="shared" si="37"/>
        <v>640000</v>
      </c>
      <c r="H90" s="90">
        <f t="shared" si="38"/>
        <v>640000</v>
      </c>
      <c r="I90" s="90">
        <f t="shared" si="38"/>
        <v>640000</v>
      </c>
      <c r="J90" s="90">
        <f t="shared" si="38"/>
        <v>560000</v>
      </c>
      <c r="K90" s="90">
        <f t="shared" si="38"/>
        <v>560000</v>
      </c>
      <c r="L90" s="90">
        <f t="shared" si="38"/>
        <v>560000</v>
      </c>
      <c r="M90" s="90">
        <f t="shared" si="38"/>
        <v>560000</v>
      </c>
      <c r="N90" s="90">
        <f t="shared" si="38"/>
        <v>560000</v>
      </c>
      <c r="O90" s="90">
        <f t="shared" si="38"/>
        <v>560000</v>
      </c>
      <c r="P90" s="90">
        <f t="shared" si="38"/>
        <v>226666.66666666669</v>
      </c>
      <c r="Q90" s="90">
        <f t="shared" si="38"/>
        <v>226666.66666666669</v>
      </c>
      <c r="R90" s="90">
        <f t="shared" si="38"/>
        <v>226666.66666666669</v>
      </c>
      <c r="S90" s="90">
        <f t="shared" si="38"/>
        <v>226666.66666666669</v>
      </c>
      <c r="T90" s="90">
        <f t="shared" si="38"/>
        <v>226666.66666666669</v>
      </c>
      <c r="U90" s="90">
        <f t="shared" si="38"/>
        <v>226666.66666666669</v>
      </c>
      <c r="V90" s="90">
        <f t="shared" si="38"/>
        <v>226666.66666666669</v>
      </c>
      <c r="W90" s="90">
        <f t="shared" si="38"/>
        <v>226666.66666666669</v>
      </c>
      <c r="X90" s="90">
        <f t="shared" si="38"/>
        <v>226666.66666666669</v>
      </c>
      <c r="Y90" s="90">
        <f t="shared" si="38"/>
        <v>226666.66666666669</v>
      </c>
      <c r="Z90" s="90">
        <f t="shared" si="38"/>
        <v>226666.66666666669</v>
      </c>
      <c r="AA90" s="90">
        <f t="shared" si="38"/>
        <v>226666.66666666669</v>
      </c>
      <c r="AB90" s="90">
        <f t="shared" si="38"/>
        <v>0</v>
      </c>
      <c r="AC90" s="90">
        <f t="shared" si="38"/>
        <v>0</v>
      </c>
      <c r="AD90" s="90">
        <f t="shared" si="38"/>
        <v>0</v>
      </c>
      <c r="AE90" s="90">
        <f t="shared" si="38"/>
        <v>0</v>
      </c>
      <c r="AF90" s="90">
        <f t="shared" si="38"/>
        <v>0</v>
      </c>
      <c r="AG90" s="90">
        <f t="shared" si="38"/>
        <v>0</v>
      </c>
      <c r="AH90" s="90">
        <f t="shared" si="38"/>
        <v>0</v>
      </c>
      <c r="AI90" s="90">
        <f t="shared" si="38"/>
        <v>0</v>
      </c>
      <c r="AJ90" s="90">
        <f t="shared" si="38"/>
        <v>0</v>
      </c>
      <c r="AK90" s="90">
        <f t="shared" si="38"/>
        <v>0</v>
      </c>
      <c r="AL90" s="90">
        <f t="shared" si="38"/>
        <v>0</v>
      </c>
      <c r="AM90" s="90">
        <f t="shared" si="38"/>
        <v>0</v>
      </c>
      <c r="AN90" s="90">
        <f t="shared" si="38"/>
        <v>0</v>
      </c>
      <c r="AO90" s="90">
        <f t="shared" si="38"/>
        <v>0</v>
      </c>
      <c r="AP90" s="90">
        <f t="shared" si="38"/>
        <v>0</v>
      </c>
      <c r="AQ90" s="90">
        <f t="shared" si="38"/>
        <v>0</v>
      </c>
      <c r="AR90" s="90">
        <f t="shared" si="38"/>
        <v>0</v>
      </c>
      <c r="AS90" s="90">
        <f t="shared" si="38"/>
        <v>0</v>
      </c>
      <c r="AT90" s="90">
        <f t="shared" si="38"/>
        <v>0</v>
      </c>
      <c r="AU90" s="90">
        <f t="shared" ref="AU90:BJ95" si="40">$F90*AU$10</f>
        <v>0</v>
      </c>
      <c r="AV90" s="90">
        <f t="shared" si="40"/>
        <v>0</v>
      </c>
      <c r="AW90" s="90">
        <f t="shared" si="40"/>
        <v>0</v>
      </c>
      <c r="AX90" s="90">
        <f t="shared" si="40"/>
        <v>0</v>
      </c>
      <c r="AY90" s="90">
        <f t="shared" si="40"/>
        <v>0</v>
      </c>
      <c r="AZ90" s="90">
        <f t="shared" si="40"/>
        <v>0</v>
      </c>
      <c r="BA90" s="90">
        <f t="shared" si="40"/>
        <v>0</v>
      </c>
      <c r="BB90" s="90">
        <f t="shared" si="40"/>
        <v>0</v>
      </c>
      <c r="BC90" s="90">
        <f t="shared" si="40"/>
        <v>0</v>
      </c>
      <c r="BD90" s="90">
        <f t="shared" si="40"/>
        <v>0</v>
      </c>
      <c r="BE90" s="90">
        <f t="shared" si="40"/>
        <v>0</v>
      </c>
      <c r="BF90" s="90">
        <f t="shared" si="40"/>
        <v>0</v>
      </c>
      <c r="BG90" s="90">
        <f t="shared" si="40"/>
        <v>0</v>
      </c>
      <c r="BH90" s="90">
        <f t="shared" si="40"/>
        <v>0</v>
      </c>
      <c r="BI90" s="90">
        <f t="shared" si="40"/>
        <v>0</v>
      </c>
      <c r="BJ90" s="90">
        <f t="shared" si="40"/>
        <v>0</v>
      </c>
      <c r="BK90" s="90">
        <f t="shared" si="39"/>
        <v>0</v>
      </c>
      <c r="BL90" s="90">
        <f t="shared" si="39"/>
        <v>0</v>
      </c>
      <c r="BM90" s="90">
        <f t="shared" si="39"/>
        <v>0</v>
      </c>
      <c r="BN90" s="90">
        <f t="shared" si="39"/>
        <v>0</v>
      </c>
      <c r="BO90" s="90">
        <f t="shared" si="39"/>
        <v>0</v>
      </c>
    </row>
    <row r="91" spans="1:67">
      <c r="A91" s="11"/>
      <c r="B91" s="11" t="s">
        <v>1679</v>
      </c>
      <c r="C91" s="11"/>
      <c r="D91" s="16">
        <v>1</v>
      </c>
      <c r="E91" s="92">
        <f>'01 Major Assumptions'!$D$58*'01 Major Assumptions'!$D$59*12*'01 Major Assumptions'!$D$63*'01 Major Assumptions'!$D$62</f>
        <v>16092000</v>
      </c>
      <c r="F91" s="90">
        <f>IF($D91*$E91*'01 Major Assumptions'!$D$189*'01 Major Assumptions'!$D$221&gt;=1000000,ROUND($D91*$E91*'01 Major Assumptions'!$D$189*'01 Major Assumptions'!$D$221,-6),ROUND($D91*$E91*'01 Major Assumptions'!$D$189*'01 Major Assumptions'!$D$221,-5))</f>
        <v>19000000</v>
      </c>
      <c r="G91" s="90">
        <f t="shared" si="37"/>
        <v>1520000</v>
      </c>
      <c r="H91" s="90">
        <f t="shared" ref="H91:AT95" si="41">$F91*H$10</f>
        <v>1520000</v>
      </c>
      <c r="I91" s="90">
        <f t="shared" si="41"/>
        <v>1520000</v>
      </c>
      <c r="J91" s="90">
        <f t="shared" si="41"/>
        <v>1330000.0000000002</v>
      </c>
      <c r="K91" s="90">
        <f t="shared" si="41"/>
        <v>1330000.0000000002</v>
      </c>
      <c r="L91" s="90">
        <f t="shared" si="41"/>
        <v>1330000.0000000002</v>
      </c>
      <c r="M91" s="90">
        <f t="shared" si="41"/>
        <v>1330000.0000000002</v>
      </c>
      <c r="N91" s="90">
        <f t="shared" si="41"/>
        <v>1330000.0000000002</v>
      </c>
      <c r="O91" s="90">
        <f t="shared" si="41"/>
        <v>1330000.0000000002</v>
      </c>
      <c r="P91" s="90">
        <f t="shared" si="41"/>
        <v>538333.33333333337</v>
      </c>
      <c r="Q91" s="90">
        <f t="shared" si="41"/>
        <v>538333.33333333337</v>
      </c>
      <c r="R91" s="90">
        <f t="shared" si="41"/>
        <v>538333.33333333337</v>
      </c>
      <c r="S91" s="90">
        <f t="shared" si="41"/>
        <v>538333.33333333337</v>
      </c>
      <c r="T91" s="90">
        <f t="shared" si="41"/>
        <v>538333.33333333337</v>
      </c>
      <c r="U91" s="90">
        <f t="shared" si="41"/>
        <v>538333.33333333337</v>
      </c>
      <c r="V91" s="90">
        <f t="shared" si="41"/>
        <v>538333.33333333337</v>
      </c>
      <c r="W91" s="90">
        <f t="shared" si="41"/>
        <v>538333.33333333337</v>
      </c>
      <c r="X91" s="90">
        <f t="shared" si="41"/>
        <v>538333.33333333337</v>
      </c>
      <c r="Y91" s="90">
        <f t="shared" si="41"/>
        <v>538333.33333333337</v>
      </c>
      <c r="Z91" s="90">
        <f t="shared" si="41"/>
        <v>538333.33333333337</v>
      </c>
      <c r="AA91" s="90">
        <f t="shared" si="41"/>
        <v>538333.33333333337</v>
      </c>
      <c r="AB91" s="90">
        <f t="shared" si="41"/>
        <v>0</v>
      </c>
      <c r="AC91" s="90">
        <f t="shared" si="41"/>
        <v>0</v>
      </c>
      <c r="AD91" s="90">
        <f t="shared" si="41"/>
        <v>0</v>
      </c>
      <c r="AE91" s="90">
        <f t="shared" si="41"/>
        <v>0</v>
      </c>
      <c r="AF91" s="90">
        <f t="shared" si="41"/>
        <v>0</v>
      </c>
      <c r="AG91" s="90">
        <f t="shared" si="41"/>
        <v>0</v>
      </c>
      <c r="AH91" s="90">
        <f t="shared" si="41"/>
        <v>0</v>
      </c>
      <c r="AI91" s="90">
        <f t="shared" si="41"/>
        <v>0</v>
      </c>
      <c r="AJ91" s="90">
        <f t="shared" si="41"/>
        <v>0</v>
      </c>
      <c r="AK91" s="90">
        <f t="shared" si="41"/>
        <v>0</v>
      </c>
      <c r="AL91" s="90">
        <f t="shared" si="41"/>
        <v>0</v>
      </c>
      <c r="AM91" s="90">
        <f t="shared" si="41"/>
        <v>0</v>
      </c>
      <c r="AN91" s="90">
        <f t="shared" si="41"/>
        <v>0</v>
      </c>
      <c r="AO91" s="90">
        <f t="shared" si="41"/>
        <v>0</v>
      </c>
      <c r="AP91" s="90">
        <f t="shared" si="41"/>
        <v>0</v>
      </c>
      <c r="AQ91" s="90">
        <f t="shared" si="41"/>
        <v>0</v>
      </c>
      <c r="AR91" s="90">
        <f t="shared" si="41"/>
        <v>0</v>
      </c>
      <c r="AS91" s="90">
        <f t="shared" si="41"/>
        <v>0</v>
      </c>
      <c r="AT91" s="90">
        <f t="shared" si="41"/>
        <v>0</v>
      </c>
      <c r="AU91" s="90">
        <f t="shared" si="40"/>
        <v>0</v>
      </c>
      <c r="AV91" s="90">
        <f t="shared" si="40"/>
        <v>0</v>
      </c>
      <c r="AW91" s="90">
        <f t="shared" si="40"/>
        <v>0</v>
      </c>
      <c r="AX91" s="90">
        <f t="shared" si="40"/>
        <v>0</v>
      </c>
      <c r="AY91" s="90">
        <f t="shared" si="40"/>
        <v>0</v>
      </c>
      <c r="AZ91" s="90">
        <f t="shared" si="40"/>
        <v>0</v>
      </c>
      <c r="BA91" s="90">
        <f t="shared" si="40"/>
        <v>0</v>
      </c>
      <c r="BB91" s="90">
        <f t="shared" si="40"/>
        <v>0</v>
      </c>
      <c r="BC91" s="90">
        <f t="shared" si="40"/>
        <v>0</v>
      </c>
      <c r="BD91" s="90">
        <f t="shared" si="40"/>
        <v>0</v>
      </c>
      <c r="BE91" s="90">
        <f t="shared" si="40"/>
        <v>0</v>
      </c>
      <c r="BF91" s="90">
        <f t="shared" si="40"/>
        <v>0</v>
      </c>
      <c r="BG91" s="90">
        <f t="shared" si="40"/>
        <v>0</v>
      </c>
      <c r="BH91" s="90">
        <f t="shared" si="40"/>
        <v>0</v>
      </c>
      <c r="BI91" s="90">
        <f t="shared" si="40"/>
        <v>0</v>
      </c>
      <c r="BJ91" s="90">
        <f t="shared" si="39"/>
        <v>0</v>
      </c>
      <c r="BK91" s="90">
        <f t="shared" si="39"/>
        <v>0</v>
      </c>
      <c r="BL91" s="90">
        <f t="shared" si="39"/>
        <v>0</v>
      </c>
      <c r="BM91" s="90">
        <f t="shared" si="39"/>
        <v>0</v>
      </c>
      <c r="BN91" s="90">
        <f t="shared" si="39"/>
        <v>0</v>
      </c>
      <c r="BO91" s="90">
        <f t="shared" si="39"/>
        <v>0</v>
      </c>
    </row>
    <row r="92" spans="1:67">
      <c r="A92" s="11"/>
      <c r="B92" s="11" t="s">
        <v>1689</v>
      </c>
      <c r="C92" s="11"/>
      <c r="D92" s="16">
        <v>1</v>
      </c>
      <c r="E92" s="92">
        <f>'01 Major Assumptions'!$D$64</f>
        <v>0</v>
      </c>
      <c r="F92" s="90">
        <f>IF($D92*$E92*'01 Major Assumptions'!$D$189*'01 Major Assumptions'!$D$221&gt;=1000000,ROUND($D92*$E92*'01 Major Assumptions'!$D$189*'01 Major Assumptions'!$D$221,-6),ROUND($D92*$E92*'01 Major Assumptions'!$D$189*'01 Major Assumptions'!$D$221,-5))</f>
        <v>0</v>
      </c>
      <c r="G92" s="90">
        <f t="shared" si="37"/>
        <v>0</v>
      </c>
      <c r="H92" s="90">
        <f t="shared" si="41"/>
        <v>0</v>
      </c>
      <c r="I92" s="90">
        <f t="shared" si="41"/>
        <v>0</v>
      </c>
      <c r="J92" s="90">
        <f t="shared" si="41"/>
        <v>0</v>
      </c>
      <c r="K92" s="90">
        <f t="shared" si="41"/>
        <v>0</v>
      </c>
      <c r="L92" s="90">
        <f t="shared" si="41"/>
        <v>0</v>
      </c>
      <c r="M92" s="90">
        <f t="shared" si="41"/>
        <v>0</v>
      </c>
      <c r="N92" s="90">
        <f t="shared" si="41"/>
        <v>0</v>
      </c>
      <c r="O92" s="90">
        <f t="shared" si="41"/>
        <v>0</v>
      </c>
      <c r="P92" s="90">
        <f t="shared" si="41"/>
        <v>0</v>
      </c>
      <c r="Q92" s="90">
        <f t="shared" si="41"/>
        <v>0</v>
      </c>
      <c r="R92" s="90">
        <f t="shared" si="41"/>
        <v>0</v>
      </c>
      <c r="S92" s="90">
        <f t="shared" si="41"/>
        <v>0</v>
      </c>
      <c r="T92" s="90">
        <f t="shared" si="41"/>
        <v>0</v>
      </c>
      <c r="U92" s="90">
        <f t="shared" si="41"/>
        <v>0</v>
      </c>
      <c r="V92" s="90">
        <f t="shared" si="41"/>
        <v>0</v>
      </c>
      <c r="W92" s="90">
        <f t="shared" si="41"/>
        <v>0</v>
      </c>
      <c r="X92" s="90">
        <f t="shared" si="41"/>
        <v>0</v>
      </c>
      <c r="Y92" s="90">
        <f t="shared" si="41"/>
        <v>0</v>
      </c>
      <c r="Z92" s="90">
        <f t="shared" si="41"/>
        <v>0</v>
      </c>
      <c r="AA92" s="90">
        <f t="shared" si="41"/>
        <v>0</v>
      </c>
      <c r="AB92" s="90">
        <f t="shared" si="41"/>
        <v>0</v>
      </c>
      <c r="AC92" s="90">
        <f t="shared" si="41"/>
        <v>0</v>
      </c>
      <c r="AD92" s="90">
        <f t="shared" si="41"/>
        <v>0</v>
      </c>
      <c r="AE92" s="90">
        <f t="shared" si="41"/>
        <v>0</v>
      </c>
      <c r="AF92" s="90">
        <f t="shared" si="41"/>
        <v>0</v>
      </c>
      <c r="AG92" s="90">
        <f t="shared" si="41"/>
        <v>0</v>
      </c>
      <c r="AH92" s="90">
        <f t="shared" si="41"/>
        <v>0</v>
      </c>
      <c r="AI92" s="90">
        <f t="shared" si="41"/>
        <v>0</v>
      </c>
      <c r="AJ92" s="90">
        <f t="shared" si="41"/>
        <v>0</v>
      </c>
      <c r="AK92" s="90">
        <f t="shared" si="41"/>
        <v>0</v>
      </c>
      <c r="AL92" s="90">
        <f t="shared" si="41"/>
        <v>0</v>
      </c>
      <c r="AM92" s="90">
        <f t="shared" si="41"/>
        <v>0</v>
      </c>
      <c r="AN92" s="90">
        <f t="shared" si="41"/>
        <v>0</v>
      </c>
      <c r="AO92" s="90">
        <f t="shared" si="41"/>
        <v>0</v>
      </c>
      <c r="AP92" s="90">
        <f t="shared" si="41"/>
        <v>0</v>
      </c>
      <c r="AQ92" s="90">
        <f t="shared" si="41"/>
        <v>0</v>
      </c>
      <c r="AR92" s="90">
        <f t="shared" si="41"/>
        <v>0</v>
      </c>
      <c r="AS92" s="90">
        <f t="shared" si="41"/>
        <v>0</v>
      </c>
      <c r="AT92" s="90">
        <f t="shared" si="41"/>
        <v>0</v>
      </c>
      <c r="AU92" s="90">
        <f t="shared" si="40"/>
        <v>0</v>
      </c>
      <c r="AV92" s="90">
        <f t="shared" si="40"/>
        <v>0</v>
      </c>
      <c r="AW92" s="90">
        <f t="shared" si="40"/>
        <v>0</v>
      </c>
      <c r="AX92" s="90">
        <f t="shared" si="40"/>
        <v>0</v>
      </c>
      <c r="AY92" s="90">
        <f t="shared" si="40"/>
        <v>0</v>
      </c>
      <c r="AZ92" s="90">
        <f t="shared" si="40"/>
        <v>0</v>
      </c>
      <c r="BA92" s="90">
        <f t="shared" si="40"/>
        <v>0</v>
      </c>
      <c r="BB92" s="90">
        <f t="shared" si="40"/>
        <v>0</v>
      </c>
      <c r="BC92" s="90">
        <f t="shared" si="40"/>
        <v>0</v>
      </c>
      <c r="BD92" s="90">
        <f t="shared" si="40"/>
        <v>0</v>
      </c>
      <c r="BE92" s="90">
        <f t="shared" si="40"/>
        <v>0</v>
      </c>
      <c r="BF92" s="90">
        <f t="shared" si="40"/>
        <v>0</v>
      </c>
      <c r="BG92" s="90">
        <f t="shared" si="40"/>
        <v>0</v>
      </c>
      <c r="BH92" s="90">
        <f t="shared" si="40"/>
        <v>0</v>
      </c>
      <c r="BI92" s="90">
        <f t="shared" si="40"/>
        <v>0</v>
      </c>
      <c r="BJ92" s="90">
        <f t="shared" si="39"/>
        <v>0</v>
      </c>
      <c r="BK92" s="90">
        <f t="shared" si="39"/>
        <v>0</v>
      </c>
      <c r="BL92" s="90">
        <f t="shared" si="39"/>
        <v>0</v>
      </c>
      <c r="BM92" s="90">
        <f t="shared" si="39"/>
        <v>0</v>
      </c>
      <c r="BN92" s="90">
        <f t="shared" si="39"/>
        <v>0</v>
      </c>
      <c r="BO92" s="90">
        <f t="shared" si="39"/>
        <v>0</v>
      </c>
    </row>
    <row r="93" spans="1:67">
      <c r="A93" s="11"/>
      <c r="B93" s="11" t="s">
        <v>1779</v>
      </c>
      <c r="C93" s="11"/>
      <c r="D93" s="16">
        <v>1</v>
      </c>
      <c r="E93" s="92">
        <v>8000000</v>
      </c>
      <c r="F93" s="90">
        <f>IF($D93*$E93*'01 Major Assumptions'!$D$189*'01 Major Assumptions'!$D$221*$I$227&gt;=1000000,ROUND($D93*$E93*'01 Major Assumptions'!$D$189*'01 Major Assumptions'!$D$221*$I$227,-6),ROUND($D93*$E93*'01 Major Assumptions'!$D$189*'01 Major Assumptions'!$D$221*$I$227,-5))</f>
        <v>6000000</v>
      </c>
      <c r="G93" s="90">
        <f>IF(AND(COLUMNS($G93:G93)&gt;='01 Major Assumptions'!$D$211,COLUMNS($G93:G93)&lt;='01 Major Assumptions'!$D$7),$F93/('01 Major Assumptions'!$D$7-'01 Major Assumptions'!$D$211+1),0)</f>
        <v>0</v>
      </c>
      <c r="H93" s="90">
        <f>IF(AND(COLUMNS($G93:H93)&gt;='01 Major Assumptions'!$D$211,COLUMNS($G93:H93)&lt;='01 Major Assumptions'!$D$7),$F93/('01 Major Assumptions'!$D$7-'01 Major Assumptions'!$D$211+1),0)</f>
        <v>0</v>
      </c>
      <c r="I93" s="90">
        <f>IF(AND(COLUMNS($G93:I93)&gt;='01 Major Assumptions'!$D$211,COLUMNS($G93:I93)&lt;='01 Major Assumptions'!$D$7),$F93/('01 Major Assumptions'!$D$7-'01 Major Assumptions'!$D$211+1),0)</f>
        <v>0</v>
      </c>
      <c r="J93" s="90">
        <f>IF(AND(COLUMNS($G93:J93)&gt;='01 Major Assumptions'!$D$211,COLUMNS($G93:J93)&lt;='01 Major Assumptions'!$D$7),$F93/('01 Major Assumptions'!$D$7-'01 Major Assumptions'!$D$211+1),0)</f>
        <v>0</v>
      </c>
      <c r="K93" s="90">
        <f>IF(AND(COLUMNS($G93:K93)&gt;='01 Major Assumptions'!$D$211,COLUMNS($G93:K93)&lt;='01 Major Assumptions'!$D$7),$F93/('01 Major Assumptions'!$D$7-'01 Major Assumptions'!$D$211+1),0)</f>
        <v>0</v>
      </c>
      <c r="L93" s="90">
        <f>IF(AND(COLUMNS($G93:L93)&gt;='01 Major Assumptions'!$D$211,COLUMNS($G93:L93)&lt;='01 Major Assumptions'!$D$7),$F93/('01 Major Assumptions'!$D$7-'01 Major Assumptions'!$D$211+1),0)</f>
        <v>0</v>
      </c>
      <c r="M93" s="90">
        <f>IF(AND(COLUMNS($G93:M93)&gt;='01 Major Assumptions'!$D$211,COLUMNS($G93:M93)&lt;='01 Major Assumptions'!$D$7),$F93/('01 Major Assumptions'!$D$7-'01 Major Assumptions'!$D$211+1),0)</f>
        <v>0</v>
      </c>
      <c r="N93" s="90">
        <f>IF(AND(COLUMNS($G93:N93)&gt;='01 Major Assumptions'!$D$211,COLUMNS($G93:N93)&lt;='01 Major Assumptions'!$D$7),$F93/('01 Major Assumptions'!$D$7-'01 Major Assumptions'!$D$211+1),0)</f>
        <v>0</v>
      </c>
      <c r="O93" s="90">
        <f>IF(AND(COLUMNS($G93:O93)&gt;='01 Major Assumptions'!$D$211,COLUMNS($G93:O93)&lt;='01 Major Assumptions'!$D$7),$F93/('01 Major Assumptions'!$D$7-'01 Major Assumptions'!$D$211+1),0)</f>
        <v>0</v>
      </c>
      <c r="P93" s="90">
        <f>IF(AND(COLUMNS($G93:P93)&gt;='01 Major Assumptions'!$D$211,COLUMNS($G93:P93)&lt;='01 Major Assumptions'!$D$7),$F93/('01 Major Assumptions'!$D$7-'01 Major Assumptions'!$D$211+1),0)</f>
        <v>0</v>
      </c>
      <c r="Q93" s="90">
        <f>IF(AND(COLUMNS($G93:Q93)&gt;='01 Major Assumptions'!$D$211,COLUMNS($G93:Q93)&lt;='01 Major Assumptions'!$D$7),$F93/('01 Major Assumptions'!$D$7-'01 Major Assumptions'!$D$211+1),0)</f>
        <v>0</v>
      </c>
      <c r="R93" s="90">
        <f>IF(AND(COLUMNS($G93:R93)&gt;='01 Major Assumptions'!$D$211,COLUMNS($G93:R93)&lt;='01 Major Assumptions'!$D$7),$F93/('01 Major Assumptions'!$D$7-'01 Major Assumptions'!$D$211+1),0)</f>
        <v>0</v>
      </c>
      <c r="S93" s="90">
        <f>IF(AND(COLUMNS($G93:S93)&gt;='01 Major Assumptions'!$D$211,COLUMNS($G93:S93)&lt;='01 Major Assumptions'!$D$7),$F93/('01 Major Assumptions'!$D$7-'01 Major Assumptions'!$D$211+1),0)</f>
        <v>666666.66666666663</v>
      </c>
      <c r="T93" s="90">
        <f>IF(AND(COLUMNS($G93:T93)&gt;='01 Major Assumptions'!$D$211,COLUMNS($G93:T93)&lt;='01 Major Assumptions'!$D$7),$F93/('01 Major Assumptions'!$D$7-'01 Major Assumptions'!$D$211+1),0)</f>
        <v>666666.66666666663</v>
      </c>
      <c r="U93" s="90">
        <f>IF(AND(COLUMNS($G93:U93)&gt;='01 Major Assumptions'!$D$211,COLUMNS($G93:U93)&lt;='01 Major Assumptions'!$D$7),$F93/('01 Major Assumptions'!$D$7-'01 Major Assumptions'!$D$211+1),0)</f>
        <v>666666.66666666663</v>
      </c>
      <c r="V93" s="90">
        <f>IF(AND(COLUMNS($G93:V93)&gt;='01 Major Assumptions'!$D$211,COLUMNS($G93:V93)&lt;='01 Major Assumptions'!$D$7),$F93/('01 Major Assumptions'!$D$7-'01 Major Assumptions'!$D$211+1),0)</f>
        <v>666666.66666666663</v>
      </c>
      <c r="W93" s="90">
        <f>IF(AND(COLUMNS($G93:W93)&gt;='01 Major Assumptions'!$D$211,COLUMNS($G93:W93)&lt;='01 Major Assumptions'!$D$7),$F93/('01 Major Assumptions'!$D$7-'01 Major Assumptions'!$D$211+1),0)</f>
        <v>666666.66666666663</v>
      </c>
      <c r="X93" s="90">
        <f>IF(AND(COLUMNS($G93:X93)&gt;='01 Major Assumptions'!$D$211,COLUMNS($G93:X93)&lt;='01 Major Assumptions'!$D$7),$F93/('01 Major Assumptions'!$D$7-'01 Major Assumptions'!$D$211+1),0)</f>
        <v>666666.66666666663</v>
      </c>
      <c r="Y93" s="90">
        <f>IF(AND(COLUMNS($G93:Y93)&gt;='01 Major Assumptions'!$D$211,COLUMNS($G93:Y93)&lt;='01 Major Assumptions'!$D$7),$F93/('01 Major Assumptions'!$D$7-'01 Major Assumptions'!$D$211+1),0)</f>
        <v>666666.66666666663</v>
      </c>
      <c r="Z93" s="90">
        <f>IF(AND(COLUMNS($G93:Z93)&gt;='01 Major Assumptions'!$D$211,COLUMNS($G93:Z93)&lt;='01 Major Assumptions'!$D$7),$F93/('01 Major Assumptions'!$D$7-'01 Major Assumptions'!$D$211+1),0)</f>
        <v>666666.66666666663</v>
      </c>
      <c r="AA93" s="90">
        <f>IF(AND(COLUMNS($G93:AA93)&gt;='01 Major Assumptions'!$D$211,COLUMNS($G93:AA93)&lt;='01 Major Assumptions'!$D$7),$F93/('01 Major Assumptions'!$D$7-'01 Major Assumptions'!$D$211+1),0)</f>
        <v>666666.66666666663</v>
      </c>
      <c r="AB93" s="90">
        <f>IF(AND(COLUMNS($G93:AB93)&gt;='01 Major Assumptions'!$D$211,COLUMNS($G93:AB93)&lt;='01 Major Assumptions'!$D$7),$F93/('01 Major Assumptions'!$D$7-'01 Major Assumptions'!$D$211+1),0)</f>
        <v>0</v>
      </c>
      <c r="AC93" s="90">
        <f>IF(AND(COLUMNS($G93:AC93)&gt;='01 Major Assumptions'!$D$211,COLUMNS($G93:AC93)&lt;='01 Major Assumptions'!$D$7),$F93/('01 Major Assumptions'!$D$7-'01 Major Assumptions'!$D$211+1),0)</f>
        <v>0</v>
      </c>
      <c r="AD93" s="90">
        <f>IF(AND(COLUMNS($G93:AD93)&gt;='01 Major Assumptions'!$D$211,COLUMNS($G93:AD93)&lt;='01 Major Assumptions'!$D$7),$F93/('01 Major Assumptions'!$D$7-'01 Major Assumptions'!$D$211+1),0)</f>
        <v>0</v>
      </c>
      <c r="AE93" s="90">
        <f>IF(AND(COLUMNS($G93:AE93)&gt;='01 Major Assumptions'!$D$211,COLUMNS($G93:AE93)&lt;='01 Major Assumptions'!$D$7),$F93/('01 Major Assumptions'!$D$7-'01 Major Assumptions'!$D$211+1),0)</f>
        <v>0</v>
      </c>
      <c r="AF93" s="90">
        <f>IF(AND(COLUMNS($G93:AF93)&gt;='01 Major Assumptions'!$D$211,COLUMNS($G93:AF93)&lt;='01 Major Assumptions'!$D$7),$F93/('01 Major Assumptions'!$D$7-'01 Major Assumptions'!$D$211+1),0)</f>
        <v>0</v>
      </c>
      <c r="AG93" s="90">
        <f>IF(AND(COLUMNS($G93:AG93)&gt;='01 Major Assumptions'!$D$211,COLUMNS($G93:AG93)&lt;='01 Major Assumptions'!$D$7),$F93/('01 Major Assumptions'!$D$7-'01 Major Assumptions'!$D$211+1),0)</f>
        <v>0</v>
      </c>
      <c r="AH93" s="90">
        <f>IF(AND(COLUMNS($G93:AH93)&gt;='01 Major Assumptions'!$D$211,COLUMNS($G93:AH93)&lt;='01 Major Assumptions'!$D$7),$F93/('01 Major Assumptions'!$D$7-'01 Major Assumptions'!$D$211+1),0)</f>
        <v>0</v>
      </c>
      <c r="AI93" s="90">
        <f>IF(AND(COLUMNS($G93:AI93)&gt;='01 Major Assumptions'!$D$211,COLUMNS($G93:AI93)&lt;='01 Major Assumptions'!$D$7),$F93/('01 Major Assumptions'!$D$7-'01 Major Assumptions'!$D$211+1),0)</f>
        <v>0</v>
      </c>
      <c r="AJ93" s="90">
        <f>IF(AND(COLUMNS($G93:AJ93)&gt;='01 Major Assumptions'!$D$211,COLUMNS($G93:AJ93)&lt;='01 Major Assumptions'!$D$7),$F93/('01 Major Assumptions'!$D$7-'01 Major Assumptions'!$D$211+1),0)</f>
        <v>0</v>
      </c>
      <c r="AK93" s="90">
        <f>IF(AND(COLUMNS($G93:AK93)&gt;='01 Major Assumptions'!$D$211,COLUMNS($G93:AK93)&lt;='01 Major Assumptions'!$D$7),$F93/('01 Major Assumptions'!$D$7-'01 Major Assumptions'!$D$211+1),0)</f>
        <v>0</v>
      </c>
      <c r="AL93" s="90">
        <f>IF(AND(COLUMNS($G93:AL93)&gt;='01 Major Assumptions'!$D$211,COLUMNS($G93:AL93)&lt;='01 Major Assumptions'!$D$7),$F93/('01 Major Assumptions'!$D$7-'01 Major Assumptions'!$D$211+1),0)</f>
        <v>0</v>
      </c>
      <c r="AM93" s="90">
        <f>IF(AND(COLUMNS($G93:AM93)&gt;='01 Major Assumptions'!$D$211,COLUMNS($G93:AM93)&lt;='01 Major Assumptions'!$D$7),$F93/('01 Major Assumptions'!$D$7-'01 Major Assumptions'!$D$211+1),0)</f>
        <v>0</v>
      </c>
      <c r="AN93" s="90">
        <f>IF(AND(COLUMNS($G93:AN93)&gt;='01 Major Assumptions'!$D$211,COLUMNS($G93:AN93)&lt;='01 Major Assumptions'!$D$7),$F93/('01 Major Assumptions'!$D$7-'01 Major Assumptions'!$D$211+1),0)</f>
        <v>0</v>
      </c>
      <c r="AO93" s="90">
        <f>IF(AND(COLUMNS($G93:AO93)&gt;='01 Major Assumptions'!$D$211,COLUMNS($G93:AO93)&lt;='01 Major Assumptions'!$D$7),$F93/('01 Major Assumptions'!$D$7-'01 Major Assumptions'!$D$211+1),0)</f>
        <v>0</v>
      </c>
      <c r="AP93" s="90">
        <f>IF(AND(COLUMNS($G93:AP93)&gt;='01 Major Assumptions'!$D$211,COLUMNS($G93:AP93)&lt;='01 Major Assumptions'!$D$7),$F93/('01 Major Assumptions'!$D$7-'01 Major Assumptions'!$D$211+1),0)</f>
        <v>0</v>
      </c>
      <c r="AQ93" s="90">
        <f>IF(AND(COLUMNS($G93:AQ93)&gt;='01 Major Assumptions'!$D$211,COLUMNS($G93:AQ93)&lt;='01 Major Assumptions'!$D$7),$F93/('01 Major Assumptions'!$D$7-'01 Major Assumptions'!$D$211+1),0)</f>
        <v>0</v>
      </c>
      <c r="AR93" s="90">
        <f>IF(AND(COLUMNS($G93:AR93)&gt;='01 Major Assumptions'!$D$211,COLUMNS($G93:AR93)&lt;='01 Major Assumptions'!$D$7),$F93/('01 Major Assumptions'!$D$7-'01 Major Assumptions'!$D$211+1),0)</f>
        <v>0</v>
      </c>
      <c r="AS93" s="90">
        <f>IF(AND(COLUMNS($G93:AS93)&gt;='01 Major Assumptions'!$D$211,COLUMNS($G93:AS93)&lt;='01 Major Assumptions'!$D$7),$F93/('01 Major Assumptions'!$D$7-'01 Major Assumptions'!$D$211+1),0)</f>
        <v>0</v>
      </c>
      <c r="AT93" s="90">
        <f>IF(AND(COLUMNS($G93:AT93)&gt;='01 Major Assumptions'!$D$211,COLUMNS($G93:AT93)&lt;='01 Major Assumptions'!$D$7),$F93/('01 Major Assumptions'!$D$7-'01 Major Assumptions'!$D$211+1),0)</f>
        <v>0</v>
      </c>
      <c r="AU93" s="90">
        <f>IF(AND(COLUMNS($G93:AU93)&gt;='01 Major Assumptions'!$D$211,COLUMNS($G93:AU93)&lt;='01 Major Assumptions'!$D$7),$F93/('01 Major Assumptions'!$D$7-'01 Major Assumptions'!$D$211+1),0)</f>
        <v>0</v>
      </c>
      <c r="AV93" s="90">
        <f>IF(AND(COLUMNS($G93:AV93)&gt;='01 Major Assumptions'!$D$211,COLUMNS($G93:AV93)&lt;='01 Major Assumptions'!$D$7),$F93/('01 Major Assumptions'!$D$7-'01 Major Assumptions'!$D$211+1),0)</f>
        <v>0</v>
      </c>
      <c r="AW93" s="90">
        <f>IF(AND(COLUMNS($G93:AW93)&gt;='01 Major Assumptions'!$D$211,COLUMNS($G93:AW93)&lt;='01 Major Assumptions'!$D$7),$F93/('01 Major Assumptions'!$D$7-'01 Major Assumptions'!$D$211+1),0)</f>
        <v>0</v>
      </c>
      <c r="AX93" s="90">
        <f>IF(AND(COLUMNS($G93:AX93)&gt;='01 Major Assumptions'!$D$211,COLUMNS($G93:AX93)&lt;='01 Major Assumptions'!$D$7),$F93/('01 Major Assumptions'!$D$7-'01 Major Assumptions'!$D$211+1),0)</f>
        <v>0</v>
      </c>
      <c r="AY93" s="90">
        <f>IF(AND(COLUMNS($G93:AY93)&gt;='01 Major Assumptions'!$D$211,COLUMNS($G93:AY93)&lt;='01 Major Assumptions'!$D$7),$F93/('01 Major Assumptions'!$D$7-'01 Major Assumptions'!$D$211+1),0)</f>
        <v>0</v>
      </c>
      <c r="AZ93" s="90">
        <f>IF(AND(COLUMNS($G93:AZ93)&gt;='01 Major Assumptions'!$D$211,COLUMNS($G93:AZ93)&lt;='01 Major Assumptions'!$D$7),$F93/('01 Major Assumptions'!$D$7-'01 Major Assumptions'!$D$211+1),0)</f>
        <v>0</v>
      </c>
      <c r="BA93" s="90">
        <f>IF(AND(COLUMNS($G93:BA93)&gt;='01 Major Assumptions'!$D$211,COLUMNS($G93:BA93)&lt;='01 Major Assumptions'!$D$7),$F93/('01 Major Assumptions'!$D$7-'01 Major Assumptions'!$D$211+1),0)</f>
        <v>0</v>
      </c>
      <c r="BB93" s="90">
        <f>IF(AND(COLUMNS($G93:BB93)&gt;='01 Major Assumptions'!$D$211,COLUMNS($G93:BB93)&lt;='01 Major Assumptions'!$D$7),$F93/('01 Major Assumptions'!$D$7-'01 Major Assumptions'!$D$211+1),0)</f>
        <v>0</v>
      </c>
      <c r="BC93" s="90">
        <f>IF(AND(COLUMNS($G93:BC93)&gt;='01 Major Assumptions'!$D$211,COLUMNS($G93:BC93)&lt;='01 Major Assumptions'!$D$7),$F93/('01 Major Assumptions'!$D$7-'01 Major Assumptions'!$D$211+1),0)</f>
        <v>0</v>
      </c>
      <c r="BD93" s="90">
        <f>IF(AND(COLUMNS($G93:BD93)&gt;='01 Major Assumptions'!$D$211,COLUMNS($G93:BD93)&lt;='01 Major Assumptions'!$D$7),$F93/('01 Major Assumptions'!$D$7-'01 Major Assumptions'!$D$211+1),0)</f>
        <v>0</v>
      </c>
      <c r="BE93" s="90">
        <f>IF(AND(COLUMNS($G93:BE93)&gt;='01 Major Assumptions'!$D$211,COLUMNS($G93:BE93)&lt;='01 Major Assumptions'!$D$7),$F93/('01 Major Assumptions'!$D$7-'01 Major Assumptions'!$D$211+1),0)</f>
        <v>0</v>
      </c>
      <c r="BF93" s="90">
        <f>IF(AND(COLUMNS($G93:BF93)&gt;='01 Major Assumptions'!$D$211,COLUMNS($G93:BF93)&lt;='01 Major Assumptions'!$D$7),$F93/('01 Major Assumptions'!$D$7-'01 Major Assumptions'!$D$211+1),0)</f>
        <v>0</v>
      </c>
      <c r="BG93" s="90">
        <f>IF(AND(COLUMNS($G93:BG93)&gt;='01 Major Assumptions'!$D$211,COLUMNS($G93:BG93)&lt;='01 Major Assumptions'!$D$7),$F93/('01 Major Assumptions'!$D$7-'01 Major Assumptions'!$D$211+1),0)</f>
        <v>0</v>
      </c>
      <c r="BH93" s="90">
        <f>IF(AND(COLUMNS($G93:BH93)&gt;='01 Major Assumptions'!$D$211,COLUMNS($G93:BH93)&lt;='01 Major Assumptions'!$D$7),$F93/('01 Major Assumptions'!$D$7-'01 Major Assumptions'!$D$211+1),0)</f>
        <v>0</v>
      </c>
      <c r="BI93" s="90">
        <f>IF(AND(COLUMNS($G93:BI93)&gt;='01 Major Assumptions'!$D$211,COLUMNS($G93:BI93)&lt;='01 Major Assumptions'!$D$7),$F93/('01 Major Assumptions'!$D$7-'01 Major Assumptions'!$D$211+1),0)</f>
        <v>0</v>
      </c>
      <c r="BJ93" s="90">
        <f>IF(AND(COLUMNS($G93:BJ93)&gt;='01 Major Assumptions'!$D$211,COLUMNS($G93:BJ93)&lt;='01 Major Assumptions'!$D$7),$F93/('01 Major Assumptions'!$D$7-'01 Major Assumptions'!$D$211+1),0)</f>
        <v>0</v>
      </c>
      <c r="BK93" s="90">
        <f>IF(AND(COLUMNS($G93:BK93)&gt;='01 Major Assumptions'!$D$211,COLUMNS($G93:BK93)&lt;='01 Major Assumptions'!$D$7),$F93/('01 Major Assumptions'!$D$7-'01 Major Assumptions'!$D$211+1),0)</f>
        <v>0</v>
      </c>
      <c r="BL93" s="90">
        <f>IF(AND(COLUMNS($G93:BL93)&gt;='01 Major Assumptions'!$D$211,COLUMNS($G93:BL93)&lt;='01 Major Assumptions'!$D$7),$F93/('01 Major Assumptions'!$D$7-'01 Major Assumptions'!$D$211+1),0)</f>
        <v>0</v>
      </c>
      <c r="BM93" s="90">
        <f>IF(AND(COLUMNS($G93:BM93)&gt;='01 Major Assumptions'!$D$211,COLUMNS($G93:BM93)&lt;='01 Major Assumptions'!$D$7),$F93/('01 Major Assumptions'!$D$7-'01 Major Assumptions'!$D$211+1),0)</f>
        <v>0</v>
      </c>
      <c r="BN93" s="90">
        <f>IF(AND(COLUMNS($G93:BN93)&gt;='01 Major Assumptions'!$D$211,COLUMNS($G93:BN93)&lt;='01 Major Assumptions'!$D$7),$F93/('01 Major Assumptions'!$D$7-'01 Major Assumptions'!$D$211+1),0)</f>
        <v>0</v>
      </c>
      <c r="BO93" s="90">
        <f>IF(AND(COLUMNS($G93:BO93)&gt;='01 Major Assumptions'!$D$211,COLUMNS($G93:BO93)&lt;='01 Major Assumptions'!$D$7),$F93/('01 Major Assumptions'!$D$7-'01 Major Assumptions'!$D$211+1),0)</f>
        <v>0</v>
      </c>
    </row>
    <row r="94" spans="1:67">
      <c r="A94" s="35"/>
      <c r="B94" s="35" t="s">
        <v>784</v>
      </c>
      <c r="C94" s="35"/>
      <c r="D94" s="67">
        <v>1</v>
      </c>
      <c r="E94" s="93">
        <f>'01 Major Assumptions'!$D$202*'01 Major Assumptions'!$D$7</f>
        <v>3150000</v>
      </c>
      <c r="F94" s="93">
        <f>IF($D94*$E94*'01 Major Assumptions'!$D$189*'01 Major Assumptions'!$D$221&gt;=1000000,ROUND($D94*$E94*'01 Major Assumptions'!$D$189*'01 Major Assumptions'!$D$221,-6),ROUND($D94*$E94*'01 Major Assumptions'!$D$189*'01 Major Assumptions'!$D$221,-5))</f>
        <v>4000000</v>
      </c>
      <c r="G94" s="93">
        <f t="shared" si="37"/>
        <v>320000</v>
      </c>
      <c r="H94" s="93">
        <f t="shared" si="41"/>
        <v>320000</v>
      </c>
      <c r="I94" s="93">
        <f t="shared" si="41"/>
        <v>320000</v>
      </c>
      <c r="J94" s="93">
        <f t="shared" si="41"/>
        <v>280000</v>
      </c>
      <c r="K94" s="93">
        <f t="shared" si="41"/>
        <v>280000</v>
      </c>
      <c r="L94" s="93">
        <f t="shared" si="41"/>
        <v>280000</v>
      </c>
      <c r="M94" s="93">
        <f t="shared" si="41"/>
        <v>280000</v>
      </c>
      <c r="N94" s="93">
        <f t="shared" si="41"/>
        <v>280000</v>
      </c>
      <c r="O94" s="93">
        <f t="shared" si="41"/>
        <v>280000</v>
      </c>
      <c r="P94" s="93">
        <f t="shared" si="41"/>
        <v>113333.33333333334</v>
      </c>
      <c r="Q94" s="93">
        <f t="shared" si="41"/>
        <v>113333.33333333334</v>
      </c>
      <c r="R94" s="93">
        <f t="shared" si="41"/>
        <v>113333.33333333334</v>
      </c>
      <c r="S94" s="93">
        <f t="shared" si="41"/>
        <v>113333.33333333334</v>
      </c>
      <c r="T94" s="93">
        <f t="shared" si="41"/>
        <v>113333.33333333334</v>
      </c>
      <c r="U94" s="93">
        <f t="shared" si="41"/>
        <v>113333.33333333334</v>
      </c>
      <c r="V94" s="93">
        <f t="shared" si="41"/>
        <v>113333.33333333334</v>
      </c>
      <c r="W94" s="93">
        <f t="shared" si="41"/>
        <v>113333.33333333334</v>
      </c>
      <c r="X94" s="93">
        <f t="shared" si="41"/>
        <v>113333.33333333334</v>
      </c>
      <c r="Y94" s="93">
        <f t="shared" si="41"/>
        <v>113333.33333333334</v>
      </c>
      <c r="Z94" s="93">
        <f t="shared" si="41"/>
        <v>113333.33333333334</v>
      </c>
      <c r="AA94" s="93">
        <f t="shared" si="41"/>
        <v>113333.33333333334</v>
      </c>
      <c r="AB94" s="93">
        <f t="shared" si="41"/>
        <v>0</v>
      </c>
      <c r="AC94" s="93">
        <f t="shared" si="41"/>
        <v>0</v>
      </c>
      <c r="AD94" s="93">
        <f t="shared" si="41"/>
        <v>0</v>
      </c>
      <c r="AE94" s="93">
        <f t="shared" si="41"/>
        <v>0</v>
      </c>
      <c r="AF94" s="93">
        <f t="shared" si="41"/>
        <v>0</v>
      </c>
      <c r="AG94" s="93">
        <f t="shared" si="41"/>
        <v>0</v>
      </c>
      <c r="AH94" s="93">
        <f t="shared" si="41"/>
        <v>0</v>
      </c>
      <c r="AI94" s="93">
        <f t="shared" si="41"/>
        <v>0</v>
      </c>
      <c r="AJ94" s="93">
        <f t="shared" si="41"/>
        <v>0</v>
      </c>
      <c r="AK94" s="93">
        <f t="shared" si="41"/>
        <v>0</v>
      </c>
      <c r="AL94" s="93">
        <f t="shared" si="41"/>
        <v>0</v>
      </c>
      <c r="AM94" s="93">
        <f t="shared" si="41"/>
        <v>0</v>
      </c>
      <c r="AN94" s="93">
        <f t="shared" si="41"/>
        <v>0</v>
      </c>
      <c r="AO94" s="93">
        <f t="shared" si="41"/>
        <v>0</v>
      </c>
      <c r="AP94" s="93">
        <f t="shared" si="41"/>
        <v>0</v>
      </c>
      <c r="AQ94" s="93">
        <f t="shared" si="41"/>
        <v>0</v>
      </c>
      <c r="AR94" s="93">
        <f t="shared" si="41"/>
        <v>0</v>
      </c>
      <c r="AS94" s="93">
        <f t="shared" si="41"/>
        <v>0</v>
      </c>
      <c r="AT94" s="93">
        <f t="shared" si="41"/>
        <v>0</v>
      </c>
      <c r="AU94" s="93">
        <f t="shared" si="40"/>
        <v>0</v>
      </c>
      <c r="AV94" s="93">
        <f t="shared" si="40"/>
        <v>0</v>
      </c>
      <c r="AW94" s="93">
        <f t="shared" si="40"/>
        <v>0</v>
      </c>
      <c r="AX94" s="93">
        <f t="shared" si="40"/>
        <v>0</v>
      </c>
      <c r="AY94" s="93">
        <f t="shared" si="40"/>
        <v>0</v>
      </c>
      <c r="AZ94" s="93">
        <f t="shared" si="40"/>
        <v>0</v>
      </c>
      <c r="BA94" s="93">
        <f t="shared" si="40"/>
        <v>0</v>
      </c>
      <c r="BB94" s="93">
        <f t="shared" si="40"/>
        <v>0</v>
      </c>
      <c r="BC94" s="93">
        <f t="shared" si="40"/>
        <v>0</v>
      </c>
      <c r="BD94" s="93">
        <f t="shared" si="40"/>
        <v>0</v>
      </c>
      <c r="BE94" s="93">
        <f t="shared" si="40"/>
        <v>0</v>
      </c>
      <c r="BF94" s="93">
        <f t="shared" si="40"/>
        <v>0</v>
      </c>
      <c r="BG94" s="93">
        <f t="shared" si="40"/>
        <v>0</v>
      </c>
      <c r="BH94" s="93">
        <f t="shared" si="40"/>
        <v>0</v>
      </c>
      <c r="BI94" s="93">
        <f t="shared" si="40"/>
        <v>0</v>
      </c>
      <c r="BJ94" s="93">
        <f t="shared" si="39"/>
        <v>0</v>
      </c>
      <c r="BK94" s="93">
        <f t="shared" si="39"/>
        <v>0</v>
      </c>
      <c r="BL94" s="93">
        <f t="shared" si="39"/>
        <v>0</v>
      </c>
      <c r="BM94" s="93">
        <f t="shared" si="39"/>
        <v>0</v>
      </c>
      <c r="BN94" s="93">
        <f t="shared" si="39"/>
        <v>0</v>
      </c>
      <c r="BO94" s="93">
        <f t="shared" si="39"/>
        <v>0</v>
      </c>
    </row>
    <row r="95" spans="1:67">
      <c r="A95" s="35"/>
      <c r="B95" s="35" t="s">
        <v>693</v>
      </c>
      <c r="C95" s="35"/>
      <c r="D95" s="67">
        <v>1</v>
      </c>
      <c r="E95" s="93">
        <f>'01 Major Assumptions'!$D$203*'01 Major Assumptions'!$D$7</f>
        <v>6300000</v>
      </c>
      <c r="F95" s="93">
        <f>IF($D95*$E95*'01 Major Assumptions'!$D$189*'01 Major Assumptions'!$D$221&gt;=1000000,ROUND($D95*$E95*'01 Major Assumptions'!$D$189*'01 Major Assumptions'!$D$221,-6),ROUND($D95*$E95*'01 Major Assumptions'!$D$189*'01 Major Assumptions'!$D$221,-5))</f>
        <v>7000000</v>
      </c>
      <c r="G95" s="93">
        <f t="shared" si="37"/>
        <v>560000</v>
      </c>
      <c r="H95" s="93">
        <f t="shared" si="41"/>
        <v>560000</v>
      </c>
      <c r="I95" s="93">
        <f t="shared" si="41"/>
        <v>560000</v>
      </c>
      <c r="J95" s="93">
        <f t="shared" si="41"/>
        <v>490000.00000000006</v>
      </c>
      <c r="K95" s="93">
        <f t="shared" si="41"/>
        <v>490000.00000000006</v>
      </c>
      <c r="L95" s="93">
        <f t="shared" si="41"/>
        <v>490000.00000000006</v>
      </c>
      <c r="M95" s="93">
        <f t="shared" si="41"/>
        <v>490000.00000000006</v>
      </c>
      <c r="N95" s="93">
        <f t="shared" si="41"/>
        <v>490000.00000000006</v>
      </c>
      <c r="O95" s="93">
        <f t="shared" si="41"/>
        <v>490000.00000000006</v>
      </c>
      <c r="P95" s="93">
        <f t="shared" si="41"/>
        <v>198333.33333333334</v>
      </c>
      <c r="Q95" s="93">
        <f t="shared" si="41"/>
        <v>198333.33333333334</v>
      </c>
      <c r="R95" s="93">
        <f t="shared" si="41"/>
        <v>198333.33333333334</v>
      </c>
      <c r="S95" s="93">
        <f t="shared" si="41"/>
        <v>198333.33333333334</v>
      </c>
      <c r="T95" s="93">
        <f t="shared" si="41"/>
        <v>198333.33333333334</v>
      </c>
      <c r="U95" s="93">
        <f t="shared" si="41"/>
        <v>198333.33333333334</v>
      </c>
      <c r="V95" s="93">
        <f t="shared" si="41"/>
        <v>198333.33333333334</v>
      </c>
      <c r="W95" s="93">
        <f t="shared" si="41"/>
        <v>198333.33333333334</v>
      </c>
      <c r="X95" s="93">
        <f t="shared" si="41"/>
        <v>198333.33333333334</v>
      </c>
      <c r="Y95" s="93">
        <f t="shared" si="41"/>
        <v>198333.33333333334</v>
      </c>
      <c r="Z95" s="93">
        <f t="shared" si="41"/>
        <v>198333.33333333334</v>
      </c>
      <c r="AA95" s="93">
        <f t="shared" si="41"/>
        <v>198333.33333333334</v>
      </c>
      <c r="AB95" s="93">
        <f t="shared" si="41"/>
        <v>0</v>
      </c>
      <c r="AC95" s="93">
        <f t="shared" si="41"/>
        <v>0</v>
      </c>
      <c r="AD95" s="93">
        <f t="shared" si="41"/>
        <v>0</v>
      </c>
      <c r="AE95" s="93">
        <f t="shared" si="41"/>
        <v>0</v>
      </c>
      <c r="AF95" s="93">
        <f t="shared" si="41"/>
        <v>0</v>
      </c>
      <c r="AG95" s="93">
        <f t="shared" si="41"/>
        <v>0</v>
      </c>
      <c r="AH95" s="93">
        <f t="shared" si="41"/>
        <v>0</v>
      </c>
      <c r="AI95" s="93">
        <f t="shared" si="41"/>
        <v>0</v>
      </c>
      <c r="AJ95" s="93">
        <f t="shared" si="41"/>
        <v>0</v>
      </c>
      <c r="AK95" s="93">
        <f t="shared" si="41"/>
        <v>0</v>
      </c>
      <c r="AL95" s="93">
        <f t="shared" si="41"/>
        <v>0</v>
      </c>
      <c r="AM95" s="93">
        <f t="shared" si="41"/>
        <v>0</v>
      </c>
      <c r="AN95" s="93">
        <f t="shared" si="41"/>
        <v>0</v>
      </c>
      <c r="AO95" s="93">
        <f t="shared" si="41"/>
        <v>0</v>
      </c>
      <c r="AP95" s="93">
        <f t="shared" si="41"/>
        <v>0</v>
      </c>
      <c r="AQ95" s="93">
        <f t="shared" si="41"/>
        <v>0</v>
      </c>
      <c r="AR95" s="93">
        <f t="shared" si="41"/>
        <v>0</v>
      </c>
      <c r="AS95" s="93">
        <f t="shared" si="41"/>
        <v>0</v>
      </c>
      <c r="AT95" s="93">
        <f t="shared" si="41"/>
        <v>0</v>
      </c>
      <c r="AU95" s="93">
        <f t="shared" si="40"/>
        <v>0</v>
      </c>
      <c r="AV95" s="93">
        <f t="shared" si="40"/>
        <v>0</v>
      </c>
      <c r="AW95" s="93">
        <f t="shared" si="40"/>
        <v>0</v>
      </c>
      <c r="AX95" s="93">
        <f t="shared" si="40"/>
        <v>0</v>
      </c>
      <c r="AY95" s="93">
        <f t="shared" si="40"/>
        <v>0</v>
      </c>
      <c r="AZ95" s="93">
        <f t="shared" si="40"/>
        <v>0</v>
      </c>
      <c r="BA95" s="93">
        <f t="shared" si="40"/>
        <v>0</v>
      </c>
      <c r="BB95" s="93">
        <f t="shared" si="40"/>
        <v>0</v>
      </c>
      <c r="BC95" s="93">
        <f t="shared" si="40"/>
        <v>0</v>
      </c>
      <c r="BD95" s="93">
        <f t="shared" si="40"/>
        <v>0</v>
      </c>
      <c r="BE95" s="93">
        <f t="shared" si="40"/>
        <v>0</v>
      </c>
      <c r="BF95" s="93">
        <f t="shared" si="40"/>
        <v>0</v>
      </c>
      <c r="BG95" s="93">
        <f t="shared" si="40"/>
        <v>0</v>
      </c>
      <c r="BH95" s="93">
        <f t="shared" si="40"/>
        <v>0</v>
      </c>
      <c r="BI95" s="93">
        <f t="shared" si="40"/>
        <v>0</v>
      </c>
      <c r="BJ95" s="93">
        <f t="shared" si="39"/>
        <v>0</v>
      </c>
      <c r="BK95" s="93">
        <f t="shared" si="39"/>
        <v>0</v>
      </c>
      <c r="BL95" s="93">
        <f t="shared" si="39"/>
        <v>0</v>
      </c>
      <c r="BM95" s="93">
        <f t="shared" si="39"/>
        <v>0</v>
      </c>
      <c r="BN95" s="93">
        <f t="shared" si="39"/>
        <v>0</v>
      </c>
      <c r="BO95" s="93">
        <f t="shared" si="39"/>
        <v>0</v>
      </c>
    </row>
    <row r="96" spans="1:67">
      <c r="A96" s="35"/>
      <c r="B96" s="35" t="s">
        <v>785</v>
      </c>
      <c r="C96" s="35"/>
      <c r="D96" s="67">
        <v>1</v>
      </c>
      <c r="E96" s="93">
        <f>'01 Major Assumptions'!$D$204*('01 Major Assumptions'!$D$7-'01 Major Assumptions'!$D$205+1)</f>
        <v>150000</v>
      </c>
      <c r="F96" s="93">
        <f>SUM(G96:BO96)</f>
        <v>150000</v>
      </c>
      <c r="G96" s="93">
        <f>IF(AND(COLUMNS($G96:G96)&gt;='01 Major Assumptions'!$D$205,COLUMNS($G96:G96)&lt;='01 Major Assumptions'!$D$7),'01 Major Assumptions'!$D$204*'01 Major Assumptions'!$D$189,0)</f>
        <v>0</v>
      </c>
      <c r="H96" s="93">
        <f>IF(AND(COLUMNS($G96:H96)&gt;='01 Major Assumptions'!$D$205,COLUMNS($G96:H96)&lt;='01 Major Assumptions'!$D$7),'01 Major Assumptions'!$D$204*'01 Major Assumptions'!$D$189,0)</f>
        <v>0</v>
      </c>
      <c r="I96" s="93">
        <f>IF(AND(COLUMNS($G96:I96)&gt;='01 Major Assumptions'!$D$205,COLUMNS($G96:I96)&lt;='01 Major Assumptions'!$D$7),'01 Major Assumptions'!$D$204*'01 Major Assumptions'!$D$189,0)</f>
        <v>0</v>
      </c>
      <c r="J96" s="93">
        <f>IF(AND(COLUMNS($G96:J96)&gt;='01 Major Assumptions'!$D$205,COLUMNS($G96:J96)&lt;='01 Major Assumptions'!$D$7),'01 Major Assumptions'!$D$204*'01 Major Assumptions'!$D$189,0)</f>
        <v>0</v>
      </c>
      <c r="K96" s="93">
        <f>IF(AND(COLUMNS($G96:K96)&gt;='01 Major Assumptions'!$D$205,COLUMNS($G96:K96)&lt;='01 Major Assumptions'!$D$7),'01 Major Assumptions'!$D$204*'01 Major Assumptions'!$D$189,0)</f>
        <v>0</v>
      </c>
      <c r="L96" s="93">
        <f>IF(AND(COLUMNS($G96:L96)&gt;='01 Major Assumptions'!$D$205,COLUMNS($G96:L96)&lt;='01 Major Assumptions'!$D$7),'01 Major Assumptions'!$D$204*'01 Major Assumptions'!$D$189,0)</f>
        <v>0</v>
      </c>
      <c r="M96" s="93">
        <f>IF(AND(COLUMNS($G96:M96)&gt;='01 Major Assumptions'!$D$205,COLUMNS($G96:M96)&lt;='01 Major Assumptions'!$D$7),'01 Major Assumptions'!$D$204*'01 Major Assumptions'!$D$189,0)</f>
        <v>10000</v>
      </c>
      <c r="N96" s="93">
        <f>IF(AND(COLUMNS($G96:N96)&gt;='01 Major Assumptions'!$D$205,COLUMNS($G96:N96)&lt;='01 Major Assumptions'!$D$7),'01 Major Assumptions'!$D$204*'01 Major Assumptions'!$D$189,0)</f>
        <v>10000</v>
      </c>
      <c r="O96" s="93">
        <f>IF(AND(COLUMNS($G96:O96)&gt;='01 Major Assumptions'!$D$205,COLUMNS($G96:O96)&lt;='01 Major Assumptions'!$D$7),'01 Major Assumptions'!$D$204*'01 Major Assumptions'!$D$189,0)</f>
        <v>10000</v>
      </c>
      <c r="P96" s="93">
        <f>IF(AND(COLUMNS($G96:P96)&gt;='01 Major Assumptions'!$D$205,COLUMNS($G96:P96)&lt;='01 Major Assumptions'!$D$7),'01 Major Assumptions'!$D$204*'01 Major Assumptions'!$D$189,0)</f>
        <v>10000</v>
      </c>
      <c r="Q96" s="93">
        <f>IF(AND(COLUMNS($G96:Q96)&gt;='01 Major Assumptions'!$D$205,COLUMNS($G96:Q96)&lt;='01 Major Assumptions'!$D$7),'01 Major Assumptions'!$D$204*'01 Major Assumptions'!$D$189,0)</f>
        <v>10000</v>
      </c>
      <c r="R96" s="93">
        <f>IF(AND(COLUMNS($G96:R96)&gt;='01 Major Assumptions'!$D$205,COLUMNS($G96:R96)&lt;='01 Major Assumptions'!$D$7),'01 Major Assumptions'!$D$204*'01 Major Assumptions'!$D$189,0)</f>
        <v>10000</v>
      </c>
      <c r="S96" s="93">
        <f>IF(AND(COLUMNS($G96:S96)&gt;='01 Major Assumptions'!$D$205,COLUMNS($G96:S96)&lt;='01 Major Assumptions'!$D$7),'01 Major Assumptions'!$D$204*'01 Major Assumptions'!$D$189,0)</f>
        <v>10000</v>
      </c>
      <c r="T96" s="93">
        <f>IF(AND(COLUMNS($G96:T96)&gt;='01 Major Assumptions'!$D$205,COLUMNS($G96:T96)&lt;='01 Major Assumptions'!$D$7),'01 Major Assumptions'!$D$204*'01 Major Assumptions'!$D$189,0)</f>
        <v>10000</v>
      </c>
      <c r="U96" s="93">
        <f>IF(AND(COLUMNS($G96:U96)&gt;='01 Major Assumptions'!$D$205,COLUMNS($G96:U96)&lt;='01 Major Assumptions'!$D$7),'01 Major Assumptions'!$D$204*'01 Major Assumptions'!$D$189,0)</f>
        <v>10000</v>
      </c>
      <c r="V96" s="93">
        <f>IF(AND(COLUMNS($G96:V96)&gt;='01 Major Assumptions'!$D$205,COLUMNS($G96:V96)&lt;='01 Major Assumptions'!$D$7),'01 Major Assumptions'!$D$204*'01 Major Assumptions'!$D$189,0)</f>
        <v>10000</v>
      </c>
      <c r="W96" s="93">
        <f>IF(AND(COLUMNS($G96:W96)&gt;='01 Major Assumptions'!$D$205,COLUMNS($G96:W96)&lt;='01 Major Assumptions'!$D$7),'01 Major Assumptions'!$D$204*'01 Major Assumptions'!$D$189,0)</f>
        <v>10000</v>
      </c>
      <c r="X96" s="93">
        <f>IF(AND(COLUMNS($G96:X96)&gt;='01 Major Assumptions'!$D$205,COLUMNS($G96:X96)&lt;='01 Major Assumptions'!$D$7),'01 Major Assumptions'!$D$204*'01 Major Assumptions'!$D$189,0)</f>
        <v>10000</v>
      </c>
      <c r="Y96" s="93">
        <f>IF(AND(COLUMNS($G96:Y96)&gt;='01 Major Assumptions'!$D$205,COLUMNS($G96:Y96)&lt;='01 Major Assumptions'!$D$7),'01 Major Assumptions'!$D$204*'01 Major Assumptions'!$D$189,0)</f>
        <v>10000</v>
      </c>
      <c r="Z96" s="93">
        <f>IF(AND(COLUMNS($G96:Z96)&gt;='01 Major Assumptions'!$D$205,COLUMNS($G96:Z96)&lt;='01 Major Assumptions'!$D$7),'01 Major Assumptions'!$D$204*'01 Major Assumptions'!$D$189,0)</f>
        <v>10000</v>
      </c>
      <c r="AA96" s="93">
        <f>IF(AND(COLUMNS($G96:AA96)&gt;='01 Major Assumptions'!$D$205,COLUMNS($G96:AA96)&lt;='01 Major Assumptions'!$D$7),'01 Major Assumptions'!$D$204*'01 Major Assumptions'!$D$189,0)</f>
        <v>10000</v>
      </c>
      <c r="AB96" s="93">
        <f>IF(AND(COLUMNS($G96:AB96)&gt;='01 Major Assumptions'!$D$205,COLUMNS($G96:AB96)&lt;='01 Major Assumptions'!$D$7),'01 Major Assumptions'!$D$204*'01 Major Assumptions'!$D$189,0)</f>
        <v>0</v>
      </c>
      <c r="AC96" s="93">
        <f>IF(AND(COLUMNS($G96:AC96)&gt;='01 Major Assumptions'!$D$205,COLUMNS($G96:AC96)&lt;='01 Major Assumptions'!$D$7),'01 Major Assumptions'!$D$204*'01 Major Assumptions'!$D$189,0)</f>
        <v>0</v>
      </c>
      <c r="AD96" s="93">
        <f>IF(AND(COLUMNS($G96:AD96)&gt;='01 Major Assumptions'!$D$205,COLUMNS($G96:AD96)&lt;='01 Major Assumptions'!$D$7),'01 Major Assumptions'!$D$204*'01 Major Assumptions'!$D$189,0)</f>
        <v>0</v>
      </c>
      <c r="AE96" s="93">
        <f>IF(AND(COLUMNS($G96:AE96)&gt;='01 Major Assumptions'!$D$205,COLUMNS($G96:AE96)&lt;='01 Major Assumptions'!$D$7),'01 Major Assumptions'!$D$204*'01 Major Assumptions'!$D$189,0)</f>
        <v>0</v>
      </c>
      <c r="AF96" s="93">
        <f>IF(AND(COLUMNS($G96:AF96)&gt;='01 Major Assumptions'!$D$205,COLUMNS($G96:AF96)&lt;='01 Major Assumptions'!$D$7),'01 Major Assumptions'!$D$204*'01 Major Assumptions'!$D$189,0)</f>
        <v>0</v>
      </c>
      <c r="AG96" s="93">
        <f>IF(AND(COLUMNS($G96:AG96)&gt;='01 Major Assumptions'!$D$205,COLUMNS($G96:AG96)&lt;='01 Major Assumptions'!$D$7),'01 Major Assumptions'!$D$204*'01 Major Assumptions'!$D$189,0)</f>
        <v>0</v>
      </c>
      <c r="AH96" s="93">
        <f>IF(AND(COLUMNS($G96:AH96)&gt;='01 Major Assumptions'!$D$205,COLUMNS($G96:AH96)&lt;='01 Major Assumptions'!$D$7),'01 Major Assumptions'!$D$204*'01 Major Assumptions'!$D$189,0)</f>
        <v>0</v>
      </c>
      <c r="AI96" s="93">
        <f>IF(AND(COLUMNS($G96:AI96)&gt;='01 Major Assumptions'!$D$205,COLUMNS($G96:AI96)&lt;='01 Major Assumptions'!$D$7),'01 Major Assumptions'!$D$204*'01 Major Assumptions'!$D$189,0)</f>
        <v>0</v>
      </c>
      <c r="AJ96" s="93">
        <f>IF(AND(COLUMNS($G96:AJ96)&gt;='01 Major Assumptions'!$D$205,COLUMNS($G96:AJ96)&lt;='01 Major Assumptions'!$D$7),'01 Major Assumptions'!$D$204*'01 Major Assumptions'!$D$189,0)</f>
        <v>0</v>
      </c>
      <c r="AK96" s="93">
        <f>IF(AND(COLUMNS($G96:AK96)&gt;='01 Major Assumptions'!$D$205,COLUMNS($G96:AK96)&lt;='01 Major Assumptions'!$D$7),'01 Major Assumptions'!$D$204*'01 Major Assumptions'!$D$189,0)</f>
        <v>0</v>
      </c>
      <c r="AL96" s="93">
        <f>IF(AND(COLUMNS($G96:AL96)&gt;='01 Major Assumptions'!$D$205,COLUMNS($G96:AL96)&lt;='01 Major Assumptions'!$D$7),'01 Major Assumptions'!$D$204*'01 Major Assumptions'!$D$189,0)</f>
        <v>0</v>
      </c>
      <c r="AM96" s="93">
        <f>IF(AND(COLUMNS($G96:AM96)&gt;='01 Major Assumptions'!$D$205,COLUMNS($G96:AM96)&lt;='01 Major Assumptions'!$D$7),'01 Major Assumptions'!$D$204*'01 Major Assumptions'!$D$189,0)</f>
        <v>0</v>
      </c>
      <c r="AN96" s="93">
        <f>IF(AND(COLUMNS($G96:AN96)&gt;='01 Major Assumptions'!$D$205,COLUMNS($G96:AN96)&lt;='01 Major Assumptions'!$D$7),'01 Major Assumptions'!$D$204*'01 Major Assumptions'!$D$189,0)</f>
        <v>0</v>
      </c>
      <c r="AO96" s="93">
        <f>IF(AND(COLUMNS($G96:AO96)&gt;='01 Major Assumptions'!$D$205,COLUMNS($G96:AO96)&lt;='01 Major Assumptions'!$D$7),'01 Major Assumptions'!$D$204*'01 Major Assumptions'!$D$189,0)</f>
        <v>0</v>
      </c>
      <c r="AP96" s="93">
        <f>IF(AND(COLUMNS($G96:AP96)&gt;='01 Major Assumptions'!$D$205,COLUMNS($G96:AP96)&lt;='01 Major Assumptions'!$D$7),'01 Major Assumptions'!$D$204*'01 Major Assumptions'!$D$189,0)</f>
        <v>0</v>
      </c>
      <c r="AQ96" s="93">
        <f>IF(AND(COLUMNS($G96:AQ96)&gt;='01 Major Assumptions'!$D$205,COLUMNS($G96:AQ96)&lt;='01 Major Assumptions'!$D$7),'01 Major Assumptions'!$D$204*'01 Major Assumptions'!$D$189,0)</f>
        <v>0</v>
      </c>
      <c r="AR96" s="93">
        <f>IF(AND(COLUMNS($G96:AR96)&gt;='01 Major Assumptions'!$D$205,COLUMNS($G96:AR96)&lt;='01 Major Assumptions'!$D$7),'01 Major Assumptions'!$D$204*'01 Major Assumptions'!$D$189,0)</f>
        <v>0</v>
      </c>
      <c r="AS96" s="93">
        <f>IF(AND(COLUMNS($G96:AS96)&gt;='01 Major Assumptions'!$D$205,COLUMNS($G96:AS96)&lt;='01 Major Assumptions'!$D$7),'01 Major Assumptions'!$D$204*'01 Major Assumptions'!$D$189,0)</f>
        <v>0</v>
      </c>
      <c r="AT96" s="93">
        <f>IF(AND(COLUMNS($G96:AT96)&gt;='01 Major Assumptions'!$D$205,COLUMNS($G96:AT96)&lt;='01 Major Assumptions'!$D$7),'01 Major Assumptions'!$D$204*'01 Major Assumptions'!$D$189,0)</f>
        <v>0</v>
      </c>
      <c r="AU96" s="93">
        <f>IF(AND(COLUMNS($G96:AU96)&gt;='01 Major Assumptions'!$D$205,COLUMNS($G96:AU96)&lt;='01 Major Assumptions'!$D$7),'01 Major Assumptions'!$D$204*'01 Major Assumptions'!$D$189,0)</f>
        <v>0</v>
      </c>
      <c r="AV96" s="93">
        <f>IF(AND(COLUMNS($G96:AV96)&gt;='01 Major Assumptions'!$D$205,COLUMNS($G96:AV96)&lt;='01 Major Assumptions'!$D$7),'01 Major Assumptions'!$D$204*'01 Major Assumptions'!$D$189,0)</f>
        <v>0</v>
      </c>
      <c r="AW96" s="93">
        <f>IF(AND(COLUMNS($G96:AW96)&gt;='01 Major Assumptions'!$D$205,COLUMNS($G96:AW96)&lt;='01 Major Assumptions'!$D$7),'01 Major Assumptions'!$D$204*'01 Major Assumptions'!$D$189,0)</f>
        <v>0</v>
      </c>
      <c r="AX96" s="93">
        <f>IF(AND(COLUMNS($G96:AX96)&gt;='01 Major Assumptions'!$D$205,COLUMNS($G96:AX96)&lt;='01 Major Assumptions'!$D$7),'01 Major Assumptions'!$D$204*'01 Major Assumptions'!$D$189,0)</f>
        <v>0</v>
      </c>
      <c r="AY96" s="93">
        <f>IF(AND(COLUMNS($G96:AY96)&gt;='01 Major Assumptions'!$D$205,COLUMNS($G96:AY96)&lt;='01 Major Assumptions'!$D$7),'01 Major Assumptions'!$D$204*'01 Major Assumptions'!$D$189,0)</f>
        <v>0</v>
      </c>
      <c r="AZ96" s="93">
        <f>IF(AND(COLUMNS($G96:AZ96)&gt;='01 Major Assumptions'!$D$205,COLUMNS($G96:AZ96)&lt;='01 Major Assumptions'!$D$7),'01 Major Assumptions'!$D$204*'01 Major Assumptions'!$D$189,0)</f>
        <v>0</v>
      </c>
      <c r="BA96" s="93">
        <f>IF(AND(COLUMNS($G96:BA96)&gt;='01 Major Assumptions'!$D$205,COLUMNS($G96:BA96)&lt;='01 Major Assumptions'!$D$7),'01 Major Assumptions'!$D$204*'01 Major Assumptions'!$D$189,0)</f>
        <v>0</v>
      </c>
      <c r="BB96" s="93">
        <f>IF(AND(COLUMNS($G96:BB96)&gt;='01 Major Assumptions'!$D$205,COLUMNS($G96:BB96)&lt;='01 Major Assumptions'!$D$7),'01 Major Assumptions'!$D$204*'01 Major Assumptions'!$D$189,0)</f>
        <v>0</v>
      </c>
      <c r="BC96" s="93">
        <f>IF(AND(COLUMNS($G96:BC96)&gt;='01 Major Assumptions'!$D$205,COLUMNS($G96:BC96)&lt;='01 Major Assumptions'!$D$7),'01 Major Assumptions'!$D$204*'01 Major Assumptions'!$D$189,0)</f>
        <v>0</v>
      </c>
      <c r="BD96" s="93">
        <f>IF(AND(COLUMNS($G96:BD96)&gt;='01 Major Assumptions'!$D$205,COLUMNS($G96:BD96)&lt;='01 Major Assumptions'!$D$7),'01 Major Assumptions'!$D$204*'01 Major Assumptions'!$D$189,0)</f>
        <v>0</v>
      </c>
      <c r="BE96" s="93">
        <f>IF(AND(COLUMNS($G96:BE96)&gt;='01 Major Assumptions'!$D$205,COLUMNS($G96:BE96)&lt;='01 Major Assumptions'!$D$7),'01 Major Assumptions'!$D$204*'01 Major Assumptions'!$D$189,0)</f>
        <v>0</v>
      </c>
      <c r="BF96" s="93">
        <f>IF(AND(COLUMNS($G96:BF96)&gt;='01 Major Assumptions'!$D$205,COLUMNS($G96:BF96)&lt;='01 Major Assumptions'!$D$7),'01 Major Assumptions'!$D$204*'01 Major Assumptions'!$D$189,0)</f>
        <v>0</v>
      </c>
      <c r="BG96" s="93">
        <f>IF(AND(COLUMNS($G96:BG96)&gt;='01 Major Assumptions'!$D$205,COLUMNS($G96:BG96)&lt;='01 Major Assumptions'!$D$7),'01 Major Assumptions'!$D$204*'01 Major Assumptions'!$D$189,0)</f>
        <v>0</v>
      </c>
      <c r="BH96" s="93">
        <f>IF(AND(COLUMNS($G96:BH96)&gt;='01 Major Assumptions'!$D$205,COLUMNS($G96:BH96)&lt;='01 Major Assumptions'!$D$7),'01 Major Assumptions'!$D$204*'01 Major Assumptions'!$D$189,0)</f>
        <v>0</v>
      </c>
      <c r="BI96" s="93">
        <f>IF(AND(COLUMNS($G96:BI96)&gt;='01 Major Assumptions'!$D$205,COLUMNS($G96:BI96)&lt;='01 Major Assumptions'!$D$7),'01 Major Assumptions'!$D$204*'01 Major Assumptions'!$D$189,0)</f>
        <v>0</v>
      </c>
      <c r="BJ96" s="93">
        <f>IF(AND(COLUMNS($G96:BJ96)&gt;='01 Major Assumptions'!$D$205,COLUMNS($G96:BJ96)&lt;='01 Major Assumptions'!$D$7),'01 Major Assumptions'!$D$204*'01 Major Assumptions'!$D$189,0)</f>
        <v>0</v>
      </c>
      <c r="BK96" s="93">
        <f>IF(AND(COLUMNS($G96:BK96)&gt;='01 Major Assumptions'!$D$205,COLUMNS($G96:BK96)&lt;='01 Major Assumptions'!$D$7),'01 Major Assumptions'!$D$204*'01 Major Assumptions'!$D$189,0)</f>
        <v>0</v>
      </c>
      <c r="BL96" s="93">
        <f>IF(AND(COLUMNS($G96:BL96)&gt;='01 Major Assumptions'!$D$205,COLUMNS($G96:BL96)&lt;='01 Major Assumptions'!$D$7),'01 Major Assumptions'!$D$204*'01 Major Assumptions'!$D$189,0)</f>
        <v>0</v>
      </c>
      <c r="BM96" s="93">
        <f>IF(AND(COLUMNS($G96:BM96)&gt;='01 Major Assumptions'!$D$205,COLUMNS($G96:BM96)&lt;='01 Major Assumptions'!$D$7),'01 Major Assumptions'!$D$204*'01 Major Assumptions'!$D$189,0)</f>
        <v>0</v>
      </c>
      <c r="BN96" s="93">
        <f>IF(AND(COLUMNS($G96:BN96)&gt;='01 Major Assumptions'!$D$205,COLUMNS($G96:BN96)&lt;='01 Major Assumptions'!$D$7),'01 Major Assumptions'!$D$204*'01 Major Assumptions'!$D$189,0)</f>
        <v>0</v>
      </c>
      <c r="BO96" s="93">
        <f>IF(AND(COLUMNS($G96:BO96)&gt;='01 Major Assumptions'!$D$205,COLUMNS($G96:BO96)&lt;='01 Major Assumptions'!$D$7),'01 Major Assumptions'!$D$204*'01 Major Assumptions'!$D$189,0)</f>
        <v>0</v>
      </c>
    </row>
    <row r="97" spans="1:67">
      <c r="A97" s="35"/>
      <c r="B97" s="35" t="s">
        <v>697</v>
      </c>
      <c r="C97" s="35"/>
      <c r="D97" s="67">
        <v>1</v>
      </c>
      <c r="E97" s="93">
        <f>'01 Major Assumptions'!$D$206*'01 Major Assumptions'!$D$7</f>
        <v>9450000</v>
      </c>
      <c r="F97" s="93">
        <f>IF($D97*$E97*'01 Major Assumptions'!$D$189*'01 Major Assumptions'!$D$221&gt;=1000000,ROUND($D97*$E97*'01 Major Assumptions'!$D$189*'01 Major Assumptions'!$D$221,-6),ROUND($D97*$E97*'01 Major Assumptions'!$D$189*'01 Major Assumptions'!$D$221,-5))</f>
        <v>11000000</v>
      </c>
      <c r="G97" s="93">
        <f>$F97*G$10</f>
        <v>880000</v>
      </c>
      <c r="H97" s="93">
        <f t="shared" ref="H97:BO97" si="42">$F97*H$10</f>
        <v>880000</v>
      </c>
      <c r="I97" s="93">
        <f t="shared" si="42"/>
        <v>880000</v>
      </c>
      <c r="J97" s="93">
        <f t="shared" si="42"/>
        <v>770000.00000000012</v>
      </c>
      <c r="K97" s="93">
        <f t="shared" si="42"/>
        <v>770000.00000000012</v>
      </c>
      <c r="L97" s="93">
        <f t="shared" si="42"/>
        <v>770000.00000000012</v>
      </c>
      <c r="M97" s="93">
        <f t="shared" si="42"/>
        <v>770000.00000000012</v>
      </c>
      <c r="N97" s="93">
        <f t="shared" si="42"/>
        <v>770000.00000000012</v>
      </c>
      <c r="O97" s="93">
        <f t="shared" si="42"/>
        <v>770000.00000000012</v>
      </c>
      <c r="P97" s="93">
        <f t="shared" si="42"/>
        <v>311666.66666666669</v>
      </c>
      <c r="Q97" s="93">
        <f t="shared" si="42"/>
        <v>311666.66666666669</v>
      </c>
      <c r="R97" s="93">
        <f t="shared" si="42"/>
        <v>311666.66666666669</v>
      </c>
      <c r="S97" s="93">
        <f t="shared" si="42"/>
        <v>311666.66666666669</v>
      </c>
      <c r="T97" s="93">
        <f t="shared" si="42"/>
        <v>311666.66666666669</v>
      </c>
      <c r="U97" s="93">
        <f t="shared" si="42"/>
        <v>311666.66666666669</v>
      </c>
      <c r="V97" s="93">
        <f t="shared" si="42"/>
        <v>311666.66666666669</v>
      </c>
      <c r="W97" s="93">
        <f t="shared" si="42"/>
        <v>311666.66666666669</v>
      </c>
      <c r="X97" s="93">
        <f t="shared" si="42"/>
        <v>311666.66666666669</v>
      </c>
      <c r="Y97" s="93">
        <f t="shared" si="42"/>
        <v>311666.66666666669</v>
      </c>
      <c r="Z97" s="93">
        <f t="shared" si="42"/>
        <v>311666.66666666669</v>
      </c>
      <c r="AA97" s="93">
        <f t="shared" si="42"/>
        <v>311666.66666666669</v>
      </c>
      <c r="AB97" s="93">
        <f t="shared" si="42"/>
        <v>0</v>
      </c>
      <c r="AC97" s="93">
        <f t="shared" si="42"/>
        <v>0</v>
      </c>
      <c r="AD97" s="93">
        <f t="shared" si="42"/>
        <v>0</v>
      </c>
      <c r="AE97" s="93">
        <f t="shared" si="42"/>
        <v>0</v>
      </c>
      <c r="AF97" s="93">
        <f t="shared" si="42"/>
        <v>0</v>
      </c>
      <c r="AG97" s="93">
        <f t="shared" si="42"/>
        <v>0</v>
      </c>
      <c r="AH97" s="93">
        <f t="shared" si="42"/>
        <v>0</v>
      </c>
      <c r="AI97" s="93">
        <f t="shared" si="42"/>
        <v>0</v>
      </c>
      <c r="AJ97" s="93">
        <f t="shared" si="42"/>
        <v>0</v>
      </c>
      <c r="AK97" s="93">
        <f t="shared" si="42"/>
        <v>0</v>
      </c>
      <c r="AL97" s="93">
        <f t="shared" si="42"/>
        <v>0</v>
      </c>
      <c r="AM97" s="93">
        <f t="shared" si="42"/>
        <v>0</v>
      </c>
      <c r="AN97" s="93">
        <f t="shared" si="42"/>
        <v>0</v>
      </c>
      <c r="AO97" s="93">
        <f t="shared" si="42"/>
        <v>0</v>
      </c>
      <c r="AP97" s="93">
        <f t="shared" si="42"/>
        <v>0</v>
      </c>
      <c r="AQ97" s="93">
        <f t="shared" si="42"/>
        <v>0</v>
      </c>
      <c r="AR97" s="93">
        <f t="shared" si="42"/>
        <v>0</v>
      </c>
      <c r="AS97" s="93">
        <f t="shared" si="42"/>
        <v>0</v>
      </c>
      <c r="AT97" s="93">
        <f t="shared" si="42"/>
        <v>0</v>
      </c>
      <c r="AU97" s="93">
        <f t="shared" si="42"/>
        <v>0</v>
      </c>
      <c r="AV97" s="93">
        <f t="shared" si="42"/>
        <v>0</v>
      </c>
      <c r="AW97" s="93">
        <f t="shared" si="42"/>
        <v>0</v>
      </c>
      <c r="AX97" s="93">
        <f t="shared" si="42"/>
        <v>0</v>
      </c>
      <c r="AY97" s="93">
        <f t="shared" si="42"/>
        <v>0</v>
      </c>
      <c r="AZ97" s="93">
        <f t="shared" si="42"/>
        <v>0</v>
      </c>
      <c r="BA97" s="93">
        <f t="shared" si="42"/>
        <v>0</v>
      </c>
      <c r="BB97" s="93">
        <f t="shared" si="42"/>
        <v>0</v>
      </c>
      <c r="BC97" s="93">
        <f t="shared" si="42"/>
        <v>0</v>
      </c>
      <c r="BD97" s="93">
        <f t="shared" si="42"/>
        <v>0</v>
      </c>
      <c r="BE97" s="93">
        <f t="shared" si="42"/>
        <v>0</v>
      </c>
      <c r="BF97" s="93">
        <f t="shared" si="42"/>
        <v>0</v>
      </c>
      <c r="BG97" s="93">
        <f t="shared" si="42"/>
        <v>0</v>
      </c>
      <c r="BH97" s="93">
        <f t="shared" si="42"/>
        <v>0</v>
      </c>
      <c r="BI97" s="93">
        <f t="shared" si="42"/>
        <v>0</v>
      </c>
      <c r="BJ97" s="93">
        <f t="shared" si="42"/>
        <v>0</v>
      </c>
      <c r="BK97" s="93">
        <f t="shared" si="42"/>
        <v>0</v>
      </c>
      <c r="BL97" s="93">
        <f t="shared" si="42"/>
        <v>0</v>
      </c>
      <c r="BM97" s="93">
        <f t="shared" si="42"/>
        <v>0</v>
      </c>
      <c r="BN97" s="93">
        <f t="shared" si="42"/>
        <v>0</v>
      </c>
      <c r="BO97" s="93">
        <f t="shared" si="42"/>
        <v>0</v>
      </c>
    </row>
    <row r="98" spans="1:67">
      <c r="A98" s="35"/>
      <c r="B98" s="35" t="s">
        <v>698</v>
      </c>
      <c r="C98" s="35"/>
      <c r="D98" s="67">
        <v>1</v>
      </c>
      <c r="E98" s="93">
        <f>'01 Major Assumptions'!$D$207*(F27+F45+F58)</f>
        <v>31131000</v>
      </c>
      <c r="F98" s="93">
        <f>IF($D98*$E98*'01 Major Assumptions'!$D$189*'01 Major Assumptions'!$D$221&gt;=1000000,ROUND($D98*$E98*'01 Major Assumptions'!$D$189*'01 Major Assumptions'!$D$221,-6),ROUND($D98*$E98*'01 Major Assumptions'!$D$189*'01 Major Assumptions'!$D$221,-5))</f>
        <v>37000000</v>
      </c>
      <c r="G98" s="93">
        <f>$F98*G$9</f>
        <v>0</v>
      </c>
      <c r="H98" s="93">
        <f t="shared" ref="H98:BO98" si="43">$F98*H$9</f>
        <v>0</v>
      </c>
      <c r="I98" s="93">
        <f t="shared" si="43"/>
        <v>0</v>
      </c>
      <c r="J98" s="93">
        <f t="shared" si="43"/>
        <v>11100000</v>
      </c>
      <c r="K98" s="93">
        <f t="shared" si="43"/>
        <v>1523529.4117647058</v>
      </c>
      <c r="L98" s="93">
        <f t="shared" si="43"/>
        <v>1523529.4117647058</v>
      </c>
      <c r="M98" s="93">
        <f t="shared" si="43"/>
        <v>1523529.4117647058</v>
      </c>
      <c r="N98" s="93">
        <f t="shared" si="43"/>
        <v>1523529.4117647058</v>
      </c>
      <c r="O98" s="93">
        <f t="shared" si="43"/>
        <v>1523529.4117647058</v>
      </c>
      <c r="P98" s="93">
        <f t="shared" si="43"/>
        <v>1523529.4117647058</v>
      </c>
      <c r="Q98" s="93">
        <f t="shared" si="43"/>
        <v>1523529.4117647058</v>
      </c>
      <c r="R98" s="93">
        <f t="shared" si="43"/>
        <v>1523529.4117647058</v>
      </c>
      <c r="S98" s="93">
        <f t="shared" si="43"/>
        <v>1523529.4117647058</v>
      </c>
      <c r="T98" s="93">
        <f t="shared" si="43"/>
        <v>1523529.4117647058</v>
      </c>
      <c r="U98" s="93">
        <f t="shared" si="43"/>
        <v>1523529.4117647058</v>
      </c>
      <c r="V98" s="93">
        <f t="shared" si="43"/>
        <v>1523529.4117647058</v>
      </c>
      <c r="W98" s="93">
        <f t="shared" si="43"/>
        <v>1523529.4117647058</v>
      </c>
      <c r="X98" s="93">
        <f t="shared" si="43"/>
        <v>1523529.4117647058</v>
      </c>
      <c r="Y98" s="93">
        <f t="shared" si="43"/>
        <v>1523529.4117647058</v>
      </c>
      <c r="Z98" s="93">
        <f t="shared" si="43"/>
        <v>1523529.4117647058</v>
      </c>
      <c r="AA98" s="93">
        <f t="shared" si="43"/>
        <v>1523529.4117647058</v>
      </c>
      <c r="AB98" s="93">
        <f t="shared" si="43"/>
        <v>0</v>
      </c>
      <c r="AC98" s="93">
        <f t="shared" si="43"/>
        <v>0</v>
      </c>
      <c r="AD98" s="93">
        <f t="shared" si="43"/>
        <v>0</v>
      </c>
      <c r="AE98" s="93">
        <f t="shared" si="43"/>
        <v>0</v>
      </c>
      <c r="AF98" s="93">
        <f t="shared" si="43"/>
        <v>0</v>
      </c>
      <c r="AG98" s="93">
        <f t="shared" si="43"/>
        <v>0</v>
      </c>
      <c r="AH98" s="93">
        <f t="shared" si="43"/>
        <v>0</v>
      </c>
      <c r="AI98" s="93">
        <f t="shared" si="43"/>
        <v>0</v>
      </c>
      <c r="AJ98" s="93">
        <f t="shared" si="43"/>
        <v>0</v>
      </c>
      <c r="AK98" s="93">
        <f t="shared" si="43"/>
        <v>0</v>
      </c>
      <c r="AL98" s="93">
        <f t="shared" si="43"/>
        <v>0</v>
      </c>
      <c r="AM98" s="93">
        <f t="shared" si="43"/>
        <v>0</v>
      </c>
      <c r="AN98" s="93">
        <f t="shared" si="43"/>
        <v>0</v>
      </c>
      <c r="AO98" s="93">
        <f t="shared" si="43"/>
        <v>0</v>
      </c>
      <c r="AP98" s="93">
        <f t="shared" si="43"/>
        <v>0</v>
      </c>
      <c r="AQ98" s="93">
        <f t="shared" si="43"/>
        <v>0</v>
      </c>
      <c r="AR98" s="93">
        <f t="shared" si="43"/>
        <v>0</v>
      </c>
      <c r="AS98" s="93">
        <f t="shared" si="43"/>
        <v>0</v>
      </c>
      <c r="AT98" s="93">
        <f t="shared" si="43"/>
        <v>0</v>
      </c>
      <c r="AU98" s="93">
        <f t="shared" si="43"/>
        <v>0</v>
      </c>
      <c r="AV98" s="93">
        <f t="shared" si="43"/>
        <v>0</v>
      </c>
      <c r="AW98" s="93">
        <f t="shared" si="43"/>
        <v>0</v>
      </c>
      <c r="AX98" s="93">
        <f t="shared" si="43"/>
        <v>0</v>
      </c>
      <c r="AY98" s="93">
        <f t="shared" si="43"/>
        <v>0</v>
      </c>
      <c r="AZ98" s="93">
        <f t="shared" si="43"/>
        <v>0</v>
      </c>
      <c r="BA98" s="93">
        <f t="shared" si="43"/>
        <v>0</v>
      </c>
      <c r="BB98" s="93">
        <f t="shared" si="43"/>
        <v>0</v>
      </c>
      <c r="BC98" s="93">
        <f t="shared" si="43"/>
        <v>0</v>
      </c>
      <c r="BD98" s="93">
        <f t="shared" si="43"/>
        <v>0</v>
      </c>
      <c r="BE98" s="93">
        <f t="shared" si="43"/>
        <v>0</v>
      </c>
      <c r="BF98" s="93">
        <f t="shared" si="43"/>
        <v>0</v>
      </c>
      <c r="BG98" s="93">
        <f t="shared" si="43"/>
        <v>0</v>
      </c>
      <c r="BH98" s="93">
        <f t="shared" si="43"/>
        <v>0</v>
      </c>
      <c r="BI98" s="93">
        <f t="shared" si="43"/>
        <v>0</v>
      </c>
      <c r="BJ98" s="93">
        <f t="shared" si="43"/>
        <v>0</v>
      </c>
      <c r="BK98" s="93">
        <f t="shared" si="43"/>
        <v>0</v>
      </c>
      <c r="BL98" s="93">
        <f t="shared" si="43"/>
        <v>0</v>
      </c>
      <c r="BM98" s="93">
        <f t="shared" si="43"/>
        <v>0</v>
      </c>
      <c r="BN98" s="93">
        <f t="shared" si="43"/>
        <v>0</v>
      </c>
      <c r="BO98" s="93">
        <f t="shared" si="43"/>
        <v>0</v>
      </c>
    </row>
    <row r="99" spans="1:67">
      <c r="A99" s="11"/>
      <c r="B99" s="11" t="s">
        <v>1780</v>
      </c>
      <c r="C99" s="11"/>
      <c r="D99" s="16"/>
      <c r="E99" s="92">
        <f>'01 Major Assumptions'!$D$215*(SUM(E86:E98)+E100)</f>
        <v>13877300</v>
      </c>
      <c r="F99" s="90">
        <f>ROUND('01 Major Assumptions'!$D$215*(SUM(F86:F98)+F100),-6)</f>
        <v>15000000</v>
      </c>
      <c r="G99" s="90">
        <f>$F99*G$10</f>
        <v>1200000</v>
      </c>
      <c r="H99" s="90">
        <f t="shared" ref="H99:BO99" si="44">$F99*H$10</f>
        <v>1200000</v>
      </c>
      <c r="I99" s="90">
        <f t="shared" si="44"/>
        <v>1200000</v>
      </c>
      <c r="J99" s="90">
        <f t="shared" si="44"/>
        <v>1050000</v>
      </c>
      <c r="K99" s="90">
        <f t="shared" si="44"/>
        <v>1050000</v>
      </c>
      <c r="L99" s="90">
        <f t="shared" si="44"/>
        <v>1050000</v>
      </c>
      <c r="M99" s="90">
        <f t="shared" si="44"/>
        <v>1050000</v>
      </c>
      <c r="N99" s="90">
        <f t="shared" si="44"/>
        <v>1050000</v>
      </c>
      <c r="O99" s="90">
        <f t="shared" si="44"/>
        <v>1050000</v>
      </c>
      <c r="P99" s="90">
        <f t="shared" si="44"/>
        <v>425000.00000000006</v>
      </c>
      <c r="Q99" s="90">
        <f t="shared" si="44"/>
        <v>425000.00000000006</v>
      </c>
      <c r="R99" s="90">
        <f t="shared" si="44"/>
        <v>425000.00000000006</v>
      </c>
      <c r="S99" s="90">
        <f t="shared" si="44"/>
        <v>425000.00000000006</v>
      </c>
      <c r="T99" s="90">
        <f t="shared" si="44"/>
        <v>425000.00000000006</v>
      </c>
      <c r="U99" s="90">
        <f t="shared" si="44"/>
        <v>425000.00000000006</v>
      </c>
      <c r="V99" s="90">
        <f t="shared" si="44"/>
        <v>425000.00000000006</v>
      </c>
      <c r="W99" s="90">
        <f t="shared" si="44"/>
        <v>425000.00000000006</v>
      </c>
      <c r="X99" s="90">
        <f t="shared" si="44"/>
        <v>425000.00000000006</v>
      </c>
      <c r="Y99" s="90">
        <f t="shared" si="44"/>
        <v>425000.00000000006</v>
      </c>
      <c r="Z99" s="90">
        <f t="shared" si="44"/>
        <v>425000.00000000006</v>
      </c>
      <c r="AA99" s="90">
        <f t="shared" si="44"/>
        <v>425000.00000000006</v>
      </c>
      <c r="AB99" s="90">
        <f t="shared" si="44"/>
        <v>0</v>
      </c>
      <c r="AC99" s="90">
        <f t="shared" si="44"/>
        <v>0</v>
      </c>
      <c r="AD99" s="90">
        <f t="shared" si="44"/>
        <v>0</v>
      </c>
      <c r="AE99" s="90">
        <f t="shared" si="44"/>
        <v>0</v>
      </c>
      <c r="AF99" s="90">
        <f t="shared" si="44"/>
        <v>0</v>
      </c>
      <c r="AG99" s="90">
        <f t="shared" si="44"/>
        <v>0</v>
      </c>
      <c r="AH99" s="90">
        <f t="shared" si="44"/>
        <v>0</v>
      </c>
      <c r="AI99" s="90">
        <f t="shared" si="44"/>
        <v>0</v>
      </c>
      <c r="AJ99" s="90">
        <f t="shared" si="44"/>
        <v>0</v>
      </c>
      <c r="AK99" s="90">
        <f t="shared" si="44"/>
        <v>0</v>
      </c>
      <c r="AL99" s="90">
        <f t="shared" si="44"/>
        <v>0</v>
      </c>
      <c r="AM99" s="90">
        <f t="shared" si="44"/>
        <v>0</v>
      </c>
      <c r="AN99" s="90">
        <f t="shared" si="44"/>
        <v>0</v>
      </c>
      <c r="AO99" s="90">
        <f t="shared" si="44"/>
        <v>0</v>
      </c>
      <c r="AP99" s="90">
        <f t="shared" si="44"/>
        <v>0</v>
      </c>
      <c r="AQ99" s="90">
        <f t="shared" si="44"/>
        <v>0</v>
      </c>
      <c r="AR99" s="90">
        <f t="shared" si="44"/>
        <v>0</v>
      </c>
      <c r="AS99" s="90">
        <f t="shared" si="44"/>
        <v>0</v>
      </c>
      <c r="AT99" s="90">
        <f t="shared" si="44"/>
        <v>0</v>
      </c>
      <c r="AU99" s="90">
        <f t="shared" si="44"/>
        <v>0</v>
      </c>
      <c r="AV99" s="90">
        <f t="shared" si="44"/>
        <v>0</v>
      </c>
      <c r="AW99" s="90">
        <f t="shared" si="44"/>
        <v>0</v>
      </c>
      <c r="AX99" s="90">
        <f t="shared" si="44"/>
        <v>0</v>
      </c>
      <c r="AY99" s="90">
        <f t="shared" si="44"/>
        <v>0</v>
      </c>
      <c r="AZ99" s="90">
        <f t="shared" si="44"/>
        <v>0</v>
      </c>
      <c r="BA99" s="90">
        <f t="shared" si="44"/>
        <v>0</v>
      </c>
      <c r="BB99" s="90">
        <f t="shared" si="44"/>
        <v>0</v>
      </c>
      <c r="BC99" s="90">
        <f t="shared" si="44"/>
        <v>0</v>
      </c>
      <c r="BD99" s="90">
        <f t="shared" si="44"/>
        <v>0</v>
      </c>
      <c r="BE99" s="90">
        <f t="shared" si="44"/>
        <v>0</v>
      </c>
      <c r="BF99" s="90">
        <f t="shared" si="44"/>
        <v>0</v>
      </c>
      <c r="BG99" s="90">
        <f t="shared" si="44"/>
        <v>0</v>
      </c>
      <c r="BH99" s="90">
        <f t="shared" si="44"/>
        <v>0</v>
      </c>
      <c r="BI99" s="90">
        <f t="shared" si="44"/>
        <v>0</v>
      </c>
      <c r="BJ99" s="90">
        <f t="shared" si="44"/>
        <v>0</v>
      </c>
      <c r="BK99" s="90">
        <f t="shared" si="44"/>
        <v>0</v>
      </c>
      <c r="BL99" s="90">
        <f t="shared" si="44"/>
        <v>0</v>
      </c>
      <c r="BM99" s="90">
        <f t="shared" si="44"/>
        <v>0</v>
      </c>
      <c r="BN99" s="90">
        <f t="shared" si="44"/>
        <v>0</v>
      </c>
      <c r="BO99" s="90">
        <f t="shared" si="44"/>
        <v>0</v>
      </c>
    </row>
    <row r="100" spans="1:67">
      <c r="A100" s="17"/>
      <c r="B100" s="35" t="s">
        <v>1680</v>
      </c>
      <c r="C100" s="35"/>
      <c r="D100" s="17"/>
      <c r="E100" s="17"/>
      <c r="F100" s="92">
        <f>SUM(G100:BO100)</f>
        <v>9387000</v>
      </c>
      <c r="G100" s="92">
        <f>IF('01 Major Assumptions'!G$15=1,0,('01 Major Assumptions'!$D$58*'01 Major Assumptions'!$D$59*'01 Major Assumptions'!G$14+'01 Major Assumptions'!$D$64/('01 Major Assumptions'!$D$61*12)*'01 Major Assumptions'!G$14)*'05 Opex'!G$62)</f>
        <v>447000</v>
      </c>
      <c r="H100" s="92">
        <f>IF('01 Major Assumptions'!H$15=1,0,('01 Major Assumptions'!$D$58*'01 Major Assumptions'!$D$59*'01 Major Assumptions'!H$14+'01 Major Assumptions'!$D$64/('01 Major Assumptions'!$D$61*12)*'01 Major Assumptions'!H$14)*'05 Opex'!H$62)</f>
        <v>447000</v>
      </c>
      <c r="I100" s="92">
        <f>IF('01 Major Assumptions'!I$15=1,0,('01 Major Assumptions'!$D$58*'01 Major Assumptions'!$D$59*'01 Major Assumptions'!I$14+'01 Major Assumptions'!$D$64/('01 Major Assumptions'!$D$61*12)*'01 Major Assumptions'!I$14)*'05 Opex'!I$62)</f>
        <v>447000</v>
      </c>
      <c r="J100" s="92">
        <f>IF('01 Major Assumptions'!J$15=1,0,('01 Major Assumptions'!$D$58*'01 Major Assumptions'!$D$59*'01 Major Assumptions'!J$14+'01 Major Assumptions'!$D$64/('01 Major Assumptions'!$D$61*12)*'01 Major Assumptions'!J$14)*'05 Opex'!J$62)</f>
        <v>447000</v>
      </c>
      <c r="K100" s="92">
        <f>IF('01 Major Assumptions'!K$15=1,0,('01 Major Assumptions'!$D$58*'01 Major Assumptions'!$D$59*'01 Major Assumptions'!K$14+'01 Major Assumptions'!$D$64/('01 Major Assumptions'!$D$61*12)*'01 Major Assumptions'!K$14)*'05 Opex'!K$62)</f>
        <v>447000</v>
      </c>
      <c r="L100" s="92">
        <f>IF('01 Major Assumptions'!L$15=1,0,('01 Major Assumptions'!$D$58*'01 Major Assumptions'!$D$59*'01 Major Assumptions'!L$14+'01 Major Assumptions'!$D$64/('01 Major Assumptions'!$D$61*12)*'01 Major Assumptions'!L$14)*'05 Opex'!L$62)</f>
        <v>447000</v>
      </c>
      <c r="M100" s="92">
        <f>IF('01 Major Assumptions'!M$15=1,0,('01 Major Assumptions'!$D$58*'01 Major Assumptions'!$D$59*'01 Major Assumptions'!M$14+'01 Major Assumptions'!$D$64/('01 Major Assumptions'!$D$61*12)*'01 Major Assumptions'!M$14)*'05 Opex'!M$62)</f>
        <v>447000</v>
      </c>
      <c r="N100" s="92">
        <f>IF('01 Major Assumptions'!N$15=1,0,('01 Major Assumptions'!$D$58*'01 Major Assumptions'!$D$59*'01 Major Assumptions'!N$14+'01 Major Assumptions'!$D$64/('01 Major Assumptions'!$D$61*12)*'01 Major Assumptions'!N$14)*'05 Opex'!N$62)</f>
        <v>447000</v>
      </c>
      <c r="O100" s="92">
        <f>IF('01 Major Assumptions'!O$15=1,0,('01 Major Assumptions'!$D$58*'01 Major Assumptions'!$D$59*'01 Major Assumptions'!O$14+'01 Major Assumptions'!$D$64/('01 Major Assumptions'!$D$61*12)*'01 Major Assumptions'!O$14)*'05 Opex'!O$62)</f>
        <v>447000</v>
      </c>
      <c r="P100" s="92">
        <f>IF('01 Major Assumptions'!P$15=1,0,('01 Major Assumptions'!$D$58*'01 Major Assumptions'!$D$59*'01 Major Assumptions'!P$14+'01 Major Assumptions'!$D$64/('01 Major Assumptions'!$D$61*12)*'01 Major Assumptions'!P$14)*'05 Opex'!P$62)</f>
        <v>447000</v>
      </c>
      <c r="Q100" s="92">
        <f>IF('01 Major Assumptions'!Q$15=1,0,('01 Major Assumptions'!$D$58*'01 Major Assumptions'!$D$59*'01 Major Assumptions'!Q$14+'01 Major Assumptions'!$D$64/('01 Major Assumptions'!$D$61*12)*'01 Major Assumptions'!Q$14)*'05 Opex'!Q$62)</f>
        <v>447000</v>
      </c>
      <c r="R100" s="92">
        <f>IF('01 Major Assumptions'!R$15=1,0,('01 Major Assumptions'!$D$58*'01 Major Assumptions'!$D$59*'01 Major Assumptions'!R$14+'01 Major Assumptions'!$D$64/('01 Major Assumptions'!$D$61*12)*'01 Major Assumptions'!R$14)*'05 Opex'!R$62)</f>
        <v>447000</v>
      </c>
      <c r="S100" s="92">
        <f>IF('01 Major Assumptions'!S$15=1,0,('01 Major Assumptions'!$D$58*'01 Major Assumptions'!$D$59*'01 Major Assumptions'!S$14+'01 Major Assumptions'!$D$64/('01 Major Assumptions'!$D$61*12)*'01 Major Assumptions'!S$14)*'05 Opex'!S$62)</f>
        <v>447000</v>
      </c>
      <c r="T100" s="92">
        <f>IF('01 Major Assumptions'!T$15=1,0,('01 Major Assumptions'!$D$58*'01 Major Assumptions'!$D$59*'01 Major Assumptions'!T$14+'01 Major Assumptions'!$D$64/('01 Major Assumptions'!$D$61*12)*'01 Major Assumptions'!T$14)*'05 Opex'!T$62)</f>
        <v>447000</v>
      </c>
      <c r="U100" s="92">
        <f>IF('01 Major Assumptions'!U$15=1,0,('01 Major Assumptions'!$D$58*'01 Major Assumptions'!$D$59*'01 Major Assumptions'!U$14+'01 Major Assumptions'!$D$64/('01 Major Assumptions'!$D$61*12)*'01 Major Assumptions'!U$14)*'05 Opex'!U$62)</f>
        <v>447000</v>
      </c>
      <c r="V100" s="92">
        <f>IF('01 Major Assumptions'!V$15=1,0,('01 Major Assumptions'!$D$58*'01 Major Assumptions'!$D$59*'01 Major Assumptions'!V$14+'01 Major Assumptions'!$D$64/('01 Major Assumptions'!$D$61*12)*'01 Major Assumptions'!V$14)*'05 Opex'!V$62)</f>
        <v>447000</v>
      </c>
      <c r="W100" s="92">
        <f>IF('01 Major Assumptions'!W$15=1,0,('01 Major Assumptions'!$D$58*'01 Major Assumptions'!$D$59*'01 Major Assumptions'!W$14+'01 Major Assumptions'!$D$64/('01 Major Assumptions'!$D$61*12)*'01 Major Assumptions'!W$14)*'05 Opex'!W$62)</f>
        <v>447000</v>
      </c>
      <c r="X100" s="92">
        <f>IF('01 Major Assumptions'!X$15=1,0,('01 Major Assumptions'!$D$58*'01 Major Assumptions'!$D$59*'01 Major Assumptions'!X$14+'01 Major Assumptions'!$D$64/('01 Major Assumptions'!$D$61*12)*'01 Major Assumptions'!X$14)*'05 Opex'!X$62)</f>
        <v>447000</v>
      </c>
      <c r="Y100" s="92">
        <f>IF('01 Major Assumptions'!Y$15=1,0,('01 Major Assumptions'!$D$58*'01 Major Assumptions'!$D$59*'01 Major Assumptions'!Y$14+'01 Major Assumptions'!$D$64/('01 Major Assumptions'!$D$61*12)*'01 Major Assumptions'!Y$14)*'05 Opex'!Y$62)</f>
        <v>447000</v>
      </c>
      <c r="Z100" s="92">
        <f>IF('01 Major Assumptions'!Z$15=1,0,('01 Major Assumptions'!$D$58*'01 Major Assumptions'!$D$59*'01 Major Assumptions'!Z$14+'01 Major Assumptions'!$D$64/('01 Major Assumptions'!$D$61*12)*'01 Major Assumptions'!Z$14)*'05 Opex'!Z$62)</f>
        <v>447000</v>
      </c>
      <c r="AA100" s="92">
        <f>IF('01 Major Assumptions'!AA$15=1,0,('01 Major Assumptions'!$D$58*'01 Major Assumptions'!$D$59*'01 Major Assumptions'!AA$14+'01 Major Assumptions'!$D$64/('01 Major Assumptions'!$D$61*12)*'01 Major Assumptions'!AA$14)*'05 Opex'!AA$62)</f>
        <v>447000</v>
      </c>
      <c r="AB100" s="92">
        <f>IF('01 Major Assumptions'!AB$15=1,0,('01 Major Assumptions'!$D$58*'01 Major Assumptions'!$D$59*'01 Major Assumptions'!AB$14+'01 Major Assumptions'!$D$64/('01 Major Assumptions'!$D$61*12)*'01 Major Assumptions'!AB$14)*'05 Opex'!AB$62)</f>
        <v>0</v>
      </c>
      <c r="AC100" s="92">
        <f>IF('01 Major Assumptions'!AC$15=1,0,('01 Major Assumptions'!$D$58*'01 Major Assumptions'!$D$59*'01 Major Assumptions'!AC$14+'01 Major Assumptions'!$D$64/('01 Major Assumptions'!$D$61*12)*'01 Major Assumptions'!AC$14)*'05 Opex'!AC$62)</f>
        <v>0</v>
      </c>
      <c r="AD100" s="92">
        <f>IF('01 Major Assumptions'!AD$15=1,0,('01 Major Assumptions'!$D$58*'01 Major Assumptions'!$D$59*'01 Major Assumptions'!AD$14+'01 Major Assumptions'!$D$64/('01 Major Assumptions'!$D$61*12)*'01 Major Assumptions'!AD$14)*'05 Opex'!AD$62)</f>
        <v>0</v>
      </c>
      <c r="AE100" s="92">
        <f>IF('01 Major Assumptions'!AE$15=1,0,('01 Major Assumptions'!$D$58*'01 Major Assumptions'!$D$59*'01 Major Assumptions'!AE$14+'01 Major Assumptions'!$D$64/('01 Major Assumptions'!$D$61*12)*'01 Major Assumptions'!AE$14)*'05 Opex'!AE$62)</f>
        <v>0</v>
      </c>
      <c r="AF100" s="92">
        <f>IF('01 Major Assumptions'!AF$15=1,0,('01 Major Assumptions'!$D$58*'01 Major Assumptions'!$D$59*'01 Major Assumptions'!AF$14+'01 Major Assumptions'!$D$64/('01 Major Assumptions'!$D$61*12)*'01 Major Assumptions'!AF$14)*'05 Opex'!AF$62)</f>
        <v>0</v>
      </c>
      <c r="AG100" s="92">
        <f>IF('01 Major Assumptions'!AG$15=1,0,('01 Major Assumptions'!$D$58*'01 Major Assumptions'!$D$59*'01 Major Assumptions'!AG$14+'01 Major Assumptions'!$D$64/('01 Major Assumptions'!$D$61*12)*'01 Major Assumptions'!AG$14)*'05 Opex'!AG$62)</f>
        <v>0</v>
      </c>
      <c r="AH100" s="92">
        <f>IF('01 Major Assumptions'!AH$15=1,0,('01 Major Assumptions'!$D$58*'01 Major Assumptions'!$D$59*'01 Major Assumptions'!AH$14+'01 Major Assumptions'!$D$64/('01 Major Assumptions'!$D$61*12)*'01 Major Assumptions'!AH$14)*'05 Opex'!AH$62)</f>
        <v>0</v>
      </c>
      <c r="AI100" s="92">
        <f>IF('01 Major Assumptions'!AI$15=1,0,('01 Major Assumptions'!$D$58*'01 Major Assumptions'!$D$59*'01 Major Assumptions'!AI$14+'01 Major Assumptions'!$D$64/('01 Major Assumptions'!$D$61*12)*'01 Major Assumptions'!AI$14)*'05 Opex'!AI$62)</f>
        <v>0</v>
      </c>
      <c r="AJ100" s="92">
        <f>IF('01 Major Assumptions'!AJ$15=1,0,('01 Major Assumptions'!$D$58*'01 Major Assumptions'!$D$59*'01 Major Assumptions'!AJ$14+'01 Major Assumptions'!$D$64/('01 Major Assumptions'!$D$61*12)*'01 Major Assumptions'!AJ$14)*'05 Opex'!AJ$62)</f>
        <v>0</v>
      </c>
      <c r="AK100" s="92">
        <f>IF('01 Major Assumptions'!AK$15=1,0,('01 Major Assumptions'!$D$58*'01 Major Assumptions'!$D$59*'01 Major Assumptions'!AK$14+'01 Major Assumptions'!$D$64/('01 Major Assumptions'!$D$61*12)*'01 Major Assumptions'!AK$14)*'05 Opex'!AK$62)</f>
        <v>0</v>
      </c>
      <c r="AL100" s="92">
        <f>IF('01 Major Assumptions'!AL$15=1,0,('01 Major Assumptions'!$D$58*'01 Major Assumptions'!$D$59*'01 Major Assumptions'!AL$14+'01 Major Assumptions'!$D$64/('01 Major Assumptions'!$D$61*12)*'01 Major Assumptions'!AL$14)*'05 Opex'!AL$62)</f>
        <v>0</v>
      </c>
      <c r="AM100" s="92">
        <f>IF('01 Major Assumptions'!AM$15=1,0,('01 Major Assumptions'!$D$58*'01 Major Assumptions'!$D$59*'01 Major Assumptions'!AM$14+'01 Major Assumptions'!$D$64/('01 Major Assumptions'!$D$61*12)*'01 Major Assumptions'!AM$14)*'05 Opex'!AM$62)</f>
        <v>0</v>
      </c>
      <c r="AN100" s="92">
        <f>IF('01 Major Assumptions'!AN$15=1,0,('01 Major Assumptions'!$D$58*'01 Major Assumptions'!$D$59*'01 Major Assumptions'!AN$14+'01 Major Assumptions'!$D$64/('01 Major Assumptions'!$D$61*12)*'01 Major Assumptions'!AN$14)*'05 Opex'!AN$62)</f>
        <v>0</v>
      </c>
      <c r="AO100" s="92">
        <f>IF('01 Major Assumptions'!AO$15=1,0,('01 Major Assumptions'!$D$58*'01 Major Assumptions'!$D$59*'01 Major Assumptions'!AO$14+'01 Major Assumptions'!$D$64/('01 Major Assumptions'!$D$61*12)*'01 Major Assumptions'!AO$14)*'05 Opex'!AO$62)</f>
        <v>0</v>
      </c>
      <c r="AP100" s="92">
        <f>IF('01 Major Assumptions'!AP$15=1,0,('01 Major Assumptions'!$D$58*'01 Major Assumptions'!$D$59*'01 Major Assumptions'!AP$14+'01 Major Assumptions'!$D$64/('01 Major Assumptions'!$D$61*12)*'01 Major Assumptions'!AP$14)*'05 Opex'!AP$62)</f>
        <v>0</v>
      </c>
      <c r="AQ100" s="92">
        <f>IF('01 Major Assumptions'!AQ$15=1,0,('01 Major Assumptions'!$D$58*'01 Major Assumptions'!$D$59*'01 Major Assumptions'!AQ$14+'01 Major Assumptions'!$D$64/('01 Major Assumptions'!$D$61*12)*'01 Major Assumptions'!AQ$14)*'05 Opex'!AQ$62)</f>
        <v>0</v>
      </c>
      <c r="AR100" s="92">
        <f>IF('01 Major Assumptions'!AR$15=1,0,('01 Major Assumptions'!$D$58*'01 Major Assumptions'!$D$59*'01 Major Assumptions'!AR$14+'01 Major Assumptions'!$D$64/('01 Major Assumptions'!$D$61*12)*'01 Major Assumptions'!AR$14)*'05 Opex'!AR$62)</f>
        <v>0</v>
      </c>
      <c r="AS100" s="92">
        <f>IF('01 Major Assumptions'!AS$15=1,0,('01 Major Assumptions'!$D$58*'01 Major Assumptions'!$D$59*'01 Major Assumptions'!AS$14+'01 Major Assumptions'!$D$64/('01 Major Assumptions'!$D$61*12)*'01 Major Assumptions'!AS$14)*'05 Opex'!AS$62)</f>
        <v>0</v>
      </c>
      <c r="AT100" s="92">
        <f>IF('01 Major Assumptions'!AT$15=1,0,('01 Major Assumptions'!$D$58*'01 Major Assumptions'!$D$59*'01 Major Assumptions'!AT$14+'01 Major Assumptions'!$D$64/('01 Major Assumptions'!$D$61*12)*'01 Major Assumptions'!AT$14)*'05 Opex'!AT$62)</f>
        <v>0</v>
      </c>
      <c r="AU100" s="92">
        <f>IF('01 Major Assumptions'!AU$15=1,0,('01 Major Assumptions'!$D$58*'01 Major Assumptions'!$D$59*'01 Major Assumptions'!AU$14+'01 Major Assumptions'!$D$64/('01 Major Assumptions'!$D$61*12)*'01 Major Assumptions'!AU$14)*'05 Opex'!AU$62)</f>
        <v>0</v>
      </c>
      <c r="AV100" s="92">
        <f>IF('01 Major Assumptions'!AV$15=1,0,('01 Major Assumptions'!$D$58*'01 Major Assumptions'!$D$59*'01 Major Assumptions'!AV$14+'01 Major Assumptions'!$D$64/('01 Major Assumptions'!$D$61*12)*'01 Major Assumptions'!AV$14)*'05 Opex'!AV$62)</f>
        <v>0</v>
      </c>
      <c r="AW100" s="92">
        <f>IF('01 Major Assumptions'!AW$15=1,0,('01 Major Assumptions'!$D$58*'01 Major Assumptions'!$D$59*'01 Major Assumptions'!AW$14+'01 Major Assumptions'!$D$64/('01 Major Assumptions'!$D$61*12)*'01 Major Assumptions'!AW$14)*'05 Opex'!AW$62)</f>
        <v>0</v>
      </c>
      <c r="AX100" s="92">
        <f>IF('01 Major Assumptions'!AX$15=1,0,('01 Major Assumptions'!$D$58*'01 Major Assumptions'!$D$59*'01 Major Assumptions'!AX$14+'01 Major Assumptions'!$D$64/('01 Major Assumptions'!$D$61*12)*'01 Major Assumptions'!AX$14)*'05 Opex'!AX$62)</f>
        <v>0</v>
      </c>
      <c r="AY100" s="92">
        <f>IF('01 Major Assumptions'!AY$15=1,0,('01 Major Assumptions'!$D$58*'01 Major Assumptions'!$D$59*'01 Major Assumptions'!AY$14+'01 Major Assumptions'!$D$64/('01 Major Assumptions'!$D$61*12)*'01 Major Assumptions'!AY$14)*'05 Opex'!AY$62)</f>
        <v>0</v>
      </c>
      <c r="AZ100" s="92">
        <f>IF('01 Major Assumptions'!AZ$15=1,0,('01 Major Assumptions'!$D$58*'01 Major Assumptions'!$D$59*'01 Major Assumptions'!AZ$14+'01 Major Assumptions'!$D$64/('01 Major Assumptions'!$D$61*12)*'01 Major Assumptions'!AZ$14)*'05 Opex'!AZ$62)</f>
        <v>0</v>
      </c>
      <c r="BA100" s="92">
        <f>IF('01 Major Assumptions'!BA$15=1,0,('01 Major Assumptions'!$D$58*'01 Major Assumptions'!$D$59*'01 Major Assumptions'!BA$14+'01 Major Assumptions'!$D$64/('01 Major Assumptions'!$D$61*12)*'01 Major Assumptions'!BA$14)*'05 Opex'!BA$62)</f>
        <v>0</v>
      </c>
      <c r="BB100" s="92">
        <f>IF('01 Major Assumptions'!BB$15=1,0,('01 Major Assumptions'!$D$58*'01 Major Assumptions'!$D$59*'01 Major Assumptions'!BB$14+'01 Major Assumptions'!$D$64/('01 Major Assumptions'!$D$61*12)*'01 Major Assumptions'!BB$14)*'05 Opex'!BB$62)</f>
        <v>0</v>
      </c>
      <c r="BC100" s="92">
        <f>IF('01 Major Assumptions'!BC$15=1,0,('01 Major Assumptions'!$D$58*'01 Major Assumptions'!$D$59*'01 Major Assumptions'!BC$14+'01 Major Assumptions'!$D$64/('01 Major Assumptions'!$D$61*12)*'01 Major Assumptions'!BC$14)*'05 Opex'!BC$62)</f>
        <v>0</v>
      </c>
      <c r="BD100" s="92">
        <f>IF('01 Major Assumptions'!BD$15=1,0,('01 Major Assumptions'!$D$58*'01 Major Assumptions'!$D$59*'01 Major Assumptions'!BD$14+'01 Major Assumptions'!$D$64/('01 Major Assumptions'!$D$61*12)*'01 Major Assumptions'!BD$14)*'05 Opex'!BD$62)</f>
        <v>0</v>
      </c>
      <c r="BE100" s="92">
        <f>IF('01 Major Assumptions'!BE$15=1,0,('01 Major Assumptions'!$D$58*'01 Major Assumptions'!$D$59*'01 Major Assumptions'!BE$14+'01 Major Assumptions'!$D$64/('01 Major Assumptions'!$D$61*12)*'01 Major Assumptions'!BE$14)*'05 Opex'!BE$62)</f>
        <v>0</v>
      </c>
      <c r="BF100" s="92">
        <f>IF('01 Major Assumptions'!BF$15=1,0,('01 Major Assumptions'!$D$58*'01 Major Assumptions'!$D$59*'01 Major Assumptions'!BF$14+'01 Major Assumptions'!$D$64/('01 Major Assumptions'!$D$61*12)*'01 Major Assumptions'!BF$14)*'05 Opex'!BF$62)</f>
        <v>0</v>
      </c>
      <c r="BG100" s="92">
        <f>IF('01 Major Assumptions'!BG$15=1,0,('01 Major Assumptions'!$D$58*'01 Major Assumptions'!$D$59*'01 Major Assumptions'!BG$14+'01 Major Assumptions'!$D$64/('01 Major Assumptions'!$D$61*12)*'01 Major Assumptions'!BG$14)*'05 Opex'!BG$62)</f>
        <v>0</v>
      </c>
      <c r="BH100" s="92">
        <f>IF('01 Major Assumptions'!BH$15=1,0,('01 Major Assumptions'!$D$58*'01 Major Assumptions'!$D$59*'01 Major Assumptions'!BH$14+'01 Major Assumptions'!$D$64/('01 Major Assumptions'!$D$61*12)*'01 Major Assumptions'!BH$14)*'05 Opex'!BH$62)</f>
        <v>0</v>
      </c>
      <c r="BI100" s="92">
        <f>IF('01 Major Assumptions'!BI$15=1,0,('01 Major Assumptions'!$D$58*'01 Major Assumptions'!$D$59*'01 Major Assumptions'!BI$14+'01 Major Assumptions'!$D$64/('01 Major Assumptions'!$D$61*12)*'01 Major Assumptions'!BI$14)*'05 Opex'!BI$62)</f>
        <v>0</v>
      </c>
      <c r="BJ100" s="92">
        <f>IF('01 Major Assumptions'!BJ$15=1,0,('01 Major Assumptions'!$D$58*'01 Major Assumptions'!$D$59*'01 Major Assumptions'!BJ$14+'01 Major Assumptions'!$D$64/('01 Major Assumptions'!$D$61*12)*'01 Major Assumptions'!BJ$14)*'05 Opex'!BJ$62)</f>
        <v>0</v>
      </c>
      <c r="BK100" s="92">
        <f>IF('01 Major Assumptions'!BK$15=1,0,('01 Major Assumptions'!$D$58*'01 Major Assumptions'!$D$59*'01 Major Assumptions'!BK$14+'01 Major Assumptions'!$D$64/('01 Major Assumptions'!$D$61*12)*'01 Major Assumptions'!BK$14)*'05 Opex'!BK$62)</f>
        <v>0</v>
      </c>
      <c r="BL100" s="92">
        <f>IF('01 Major Assumptions'!BL$15=1,0,('01 Major Assumptions'!$D$58*'01 Major Assumptions'!$D$59*'01 Major Assumptions'!BL$14+'01 Major Assumptions'!$D$64/('01 Major Assumptions'!$D$61*12)*'01 Major Assumptions'!BL$14)*'05 Opex'!BL$62)</f>
        <v>0</v>
      </c>
      <c r="BM100" s="92">
        <f>IF('01 Major Assumptions'!BM$15=1,0,('01 Major Assumptions'!$D$58*'01 Major Assumptions'!$D$59*'01 Major Assumptions'!BM$14+'01 Major Assumptions'!$D$64/('01 Major Assumptions'!$D$61*12)*'01 Major Assumptions'!BM$14)*'05 Opex'!BM$62)</f>
        <v>0</v>
      </c>
      <c r="BN100" s="92">
        <f>IF('01 Major Assumptions'!BN$15=1,0,('01 Major Assumptions'!$D$58*'01 Major Assumptions'!$D$59*'01 Major Assumptions'!BN$14+'01 Major Assumptions'!$D$64/('01 Major Assumptions'!$D$61*12)*'01 Major Assumptions'!BN$14)*'05 Opex'!BN$62)</f>
        <v>0</v>
      </c>
      <c r="BO100" s="92">
        <f>IF('01 Major Assumptions'!BO$15=1,0,('01 Major Assumptions'!$D$58*'01 Major Assumptions'!$D$59*'01 Major Assumptions'!BO$14+'01 Major Assumptions'!$D$64/('01 Major Assumptions'!$D$61*12)*'01 Major Assumptions'!BO$14)*'05 Opex'!BO$62)</f>
        <v>0</v>
      </c>
    </row>
    <row r="101" spans="1:67">
      <c r="A101" s="32"/>
      <c r="B101" s="35" t="s">
        <v>1781</v>
      </c>
      <c r="C101" s="35"/>
      <c r="D101" s="32"/>
      <c r="E101" s="17"/>
      <c r="F101" s="111">
        <f>ROUND(SUM(F86:F100),-6)-SUM(F86:F100)</f>
        <v>463000</v>
      </c>
      <c r="G101" s="111">
        <f>IF(COLUMNS($G101:G101)='01 Major Assumptions'!$D$7,$F101,0)</f>
        <v>0</v>
      </c>
      <c r="H101" s="111">
        <f>IF(COLUMNS($G101:H101)='01 Major Assumptions'!$D$7,$F101,0)</f>
        <v>0</v>
      </c>
      <c r="I101" s="111">
        <f>IF(COLUMNS($G101:I101)='01 Major Assumptions'!$D$7,$F101,0)</f>
        <v>0</v>
      </c>
      <c r="J101" s="111">
        <f>IF(COLUMNS($G101:J101)='01 Major Assumptions'!$D$7,$F101,0)</f>
        <v>0</v>
      </c>
      <c r="K101" s="111">
        <f>IF(COLUMNS($G101:K101)='01 Major Assumptions'!$D$7,$F101,0)</f>
        <v>0</v>
      </c>
      <c r="L101" s="111">
        <f>IF(COLUMNS($G101:L101)='01 Major Assumptions'!$D$7,$F101,0)</f>
        <v>0</v>
      </c>
      <c r="M101" s="111">
        <f>IF(COLUMNS($G101:M101)='01 Major Assumptions'!$D$7,$F101,0)</f>
        <v>0</v>
      </c>
      <c r="N101" s="111">
        <f>IF(COLUMNS($G101:N101)='01 Major Assumptions'!$D$7,$F101,0)</f>
        <v>0</v>
      </c>
      <c r="O101" s="111">
        <f>IF(COLUMNS($G101:O101)='01 Major Assumptions'!$D$7,$F101,0)</f>
        <v>0</v>
      </c>
      <c r="P101" s="111">
        <f>IF(COLUMNS($G101:P101)='01 Major Assumptions'!$D$7,$F101,0)</f>
        <v>0</v>
      </c>
      <c r="Q101" s="111">
        <f>IF(COLUMNS($G101:Q101)='01 Major Assumptions'!$D$7,$F101,0)</f>
        <v>0</v>
      </c>
      <c r="R101" s="111">
        <f>IF(COLUMNS($G101:R101)='01 Major Assumptions'!$D$7,$F101,0)</f>
        <v>0</v>
      </c>
      <c r="S101" s="111">
        <f>IF(COLUMNS($G101:S101)='01 Major Assumptions'!$D$7,$F101,0)</f>
        <v>0</v>
      </c>
      <c r="T101" s="111">
        <f>IF(COLUMNS($G101:T101)='01 Major Assumptions'!$D$7,$F101,0)</f>
        <v>0</v>
      </c>
      <c r="U101" s="111">
        <f>IF(COLUMNS($G101:U101)='01 Major Assumptions'!$D$7,$F101,0)</f>
        <v>0</v>
      </c>
      <c r="V101" s="111">
        <f>IF(COLUMNS($G101:V101)='01 Major Assumptions'!$D$7,$F101,0)</f>
        <v>0</v>
      </c>
      <c r="W101" s="111">
        <f>IF(COLUMNS($G101:W101)='01 Major Assumptions'!$D$7,$F101,0)</f>
        <v>0</v>
      </c>
      <c r="X101" s="111">
        <f>IF(COLUMNS($G101:X101)='01 Major Assumptions'!$D$7,$F101,0)</f>
        <v>0</v>
      </c>
      <c r="Y101" s="111">
        <f>IF(COLUMNS($G101:Y101)='01 Major Assumptions'!$D$7,$F101,0)</f>
        <v>0</v>
      </c>
      <c r="Z101" s="111">
        <f>IF(COLUMNS($G101:Z101)='01 Major Assumptions'!$D$7,$F101,0)</f>
        <v>0</v>
      </c>
      <c r="AA101" s="111">
        <f>IF(COLUMNS($G101:AA101)='01 Major Assumptions'!$D$7,$F101,0)</f>
        <v>463000</v>
      </c>
      <c r="AB101" s="111">
        <f>IF(COLUMNS($G101:AB101)='01 Major Assumptions'!$D$7,$F101,0)</f>
        <v>0</v>
      </c>
      <c r="AC101" s="111">
        <f>IF(COLUMNS($G101:AC101)='01 Major Assumptions'!$D$7,$F101,0)</f>
        <v>0</v>
      </c>
      <c r="AD101" s="111">
        <f>IF(COLUMNS($G101:AD101)='01 Major Assumptions'!$D$7,$F101,0)</f>
        <v>0</v>
      </c>
      <c r="AE101" s="111">
        <f>IF(COLUMNS($G101:AE101)='01 Major Assumptions'!$D$7,$F101,0)</f>
        <v>0</v>
      </c>
      <c r="AF101" s="111">
        <f>IF(COLUMNS($G101:AF101)='01 Major Assumptions'!$D$7,$F101,0)</f>
        <v>0</v>
      </c>
      <c r="AG101" s="111">
        <f>IF(COLUMNS($G101:AG101)='01 Major Assumptions'!$D$7,$F101,0)</f>
        <v>0</v>
      </c>
      <c r="AH101" s="111">
        <f>IF(COLUMNS($G101:AH101)='01 Major Assumptions'!$D$7,$F101,0)</f>
        <v>0</v>
      </c>
      <c r="AI101" s="111">
        <f>IF(COLUMNS($G101:AI101)='01 Major Assumptions'!$D$7,$F101,0)</f>
        <v>0</v>
      </c>
      <c r="AJ101" s="111">
        <f>IF(COLUMNS($G101:AJ101)='01 Major Assumptions'!$D$7,$F101,0)</f>
        <v>0</v>
      </c>
      <c r="AK101" s="111">
        <f>IF(COLUMNS($G101:AK101)='01 Major Assumptions'!$D$7,$F101,0)</f>
        <v>0</v>
      </c>
      <c r="AL101" s="111">
        <f>IF(COLUMNS($G101:AL101)='01 Major Assumptions'!$D$7,$F101,0)</f>
        <v>0</v>
      </c>
      <c r="AM101" s="111">
        <f>IF(COLUMNS($G101:AM101)='01 Major Assumptions'!$D$7,$F101,0)</f>
        <v>0</v>
      </c>
      <c r="AN101" s="111">
        <f>IF(COLUMNS($G101:AN101)='01 Major Assumptions'!$D$7,$F101,0)</f>
        <v>0</v>
      </c>
      <c r="AO101" s="111">
        <f>IF(COLUMNS($G101:AO101)='01 Major Assumptions'!$D$7,$F101,0)</f>
        <v>0</v>
      </c>
      <c r="AP101" s="111">
        <f>IF(COLUMNS($G101:AP101)='01 Major Assumptions'!$D$7,$F101,0)</f>
        <v>0</v>
      </c>
      <c r="AQ101" s="111">
        <f>IF(COLUMNS($G101:AQ101)='01 Major Assumptions'!$D$7,$F101,0)</f>
        <v>0</v>
      </c>
      <c r="AR101" s="111">
        <f>IF(COLUMNS($G101:AR101)='01 Major Assumptions'!$D$7,$F101,0)</f>
        <v>0</v>
      </c>
      <c r="AS101" s="111">
        <f>IF(COLUMNS($G101:AS101)='01 Major Assumptions'!$D$7,$F101,0)</f>
        <v>0</v>
      </c>
      <c r="AT101" s="111">
        <f>IF(COLUMNS($G101:AT101)='01 Major Assumptions'!$D$7,$F101,0)</f>
        <v>0</v>
      </c>
      <c r="AU101" s="111">
        <f>IF(COLUMNS($G101:AU101)='01 Major Assumptions'!$D$7,$F101,0)</f>
        <v>0</v>
      </c>
      <c r="AV101" s="111">
        <f>IF(COLUMNS($G101:AV101)='01 Major Assumptions'!$D$7,$F101,0)</f>
        <v>0</v>
      </c>
      <c r="AW101" s="111">
        <f>IF(COLUMNS($G101:AW101)='01 Major Assumptions'!$D$7,$F101,0)</f>
        <v>0</v>
      </c>
      <c r="AX101" s="111">
        <f>IF(COLUMNS($G101:AX101)='01 Major Assumptions'!$D$7,$F101,0)</f>
        <v>0</v>
      </c>
      <c r="AY101" s="111">
        <f>IF(COLUMNS($G101:AY101)='01 Major Assumptions'!$D$7,$F101,0)</f>
        <v>0</v>
      </c>
      <c r="AZ101" s="111">
        <f>IF(COLUMNS($G101:AZ101)='01 Major Assumptions'!$D$7,$F101,0)</f>
        <v>0</v>
      </c>
      <c r="BA101" s="111">
        <f>IF(COLUMNS($G101:BA101)='01 Major Assumptions'!$D$7,$F101,0)</f>
        <v>0</v>
      </c>
      <c r="BB101" s="111">
        <f>IF(COLUMNS($G101:BB101)='01 Major Assumptions'!$D$7,$F101,0)</f>
        <v>0</v>
      </c>
      <c r="BC101" s="111">
        <f>IF(COLUMNS($G101:BC101)='01 Major Assumptions'!$D$7,$F101,0)</f>
        <v>0</v>
      </c>
      <c r="BD101" s="111">
        <f>IF(COLUMNS($G101:BD101)='01 Major Assumptions'!$D$7,$F101,0)</f>
        <v>0</v>
      </c>
      <c r="BE101" s="111">
        <f>IF(COLUMNS($G101:BE101)='01 Major Assumptions'!$D$7,$F101,0)</f>
        <v>0</v>
      </c>
      <c r="BF101" s="111">
        <f>IF(COLUMNS($G101:BF101)='01 Major Assumptions'!$D$7,$F101,0)</f>
        <v>0</v>
      </c>
      <c r="BG101" s="111">
        <f>IF(COLUMNS($G101:BG101)='01 Major Assumptions'!$D$7,$F101,0)</f>
        <v>0</v>
      </c>
      <c r="BH101" s="111">
        <f>IF(COLUMNS($G101:BH101)='01 Major Assumptions'!$D$7,$F101,0)</f>
        <v>0</v>
      </c>
      <c r="BI101" s="111">
        <f>IF(COLUMNS($G101:BI101)='01 Major Assumptions'!$D$7,$F101,0)</f>
        <v>0</v>
      </c>
      <c r="BJ101" s="111">
        <f>IF(COLUMNS($G101:BJ101)='01 Major Assumptions'!$D$7,$F101,0)</f>
        <v>0</v>
      </c>
      <c r="BK101" s="111">
        <f>IF(COLUMNS($G101:BK101)='01 Major Assumptions'!$D$7,$F101,0)</f>
        <v>0</v>
      </c>
      <c r="BL101" s="111">
        <f>IF(COLUMNS($G101:BL101)='01 Major Assumptions'!$D$7,$F101,0)</f>
        <v>0</v>
      </c>
      <c r="BM101" s="111">
        <f>IF(COLUMNS($G101:BM101)='01 Major Assumptions'!$D$7,$F101,0)</f>
        <v>0</v>
      </c>
      <c r="BN101" s="111">
        <f>IF(COLUMNS($G101:BN101)='01 Major Assumptions'!$D$7,$F101,0)</f>
        <v>0</v>
      </c>
      <c r="BO101" s="111">
        <f>IF(COLUMNS($G101:BO101)='01 Major Assumptions'!$D$7,$F101,0)</f>
        <v>0</v>
      </c>
    </row>
    <row r="102" spans="1:67">
      <c r="A102" s="11"/>
      <c r="B102" s="22" t="s">
        <v>311</v>
      </c>
      <c r="C102" s="22"/>
      <c r="D102" s="11"/>
      <c r="E102" s="89">
        <f>SUM(E86:E101)</f>
        <v>152650300</v>
      </c>
      <c r="F102" s="89">
        <f>SUM(F86:F101)</f>
        <v>170000000</v>
      </c>
      <c r="G102" s="89">
        <f>SUM(G86:G101)</f>
        <v>9807000</v>
      </c>
      <c r="H102" s="89">
        <f t="shared" ref="H102:BO102" si="45">SUM(H86:H101)</f>
        <v>9807000</v>
      </c>
      <c r="I102" s="89">
        <f t="shared" si="45"/>
        <v>9807000</v>
      </c>
      <c r="J102" s="89">
        <f t="shared" si="45"/>
        <v>19737000</v>
      </c>
      <c r="K102" s="89">
        <f t="shared" si="45"/>
        <v>10160529.411764706</v>
      </c>
      <c r="L102" s="89">
        <f t="shared" si="45"/>
        <v>10160529.411764706</v>
      </c>
      <c r="M102" s="89">
        <f t="shared" si="45"/>
        <v>10170529.411764706</v>
      </c>
      <c r="N102" s="89">
        <f t="shared" si="45"/>
        <v>10170529.411764706</v>
      </c>
      <c r="O102" s="89">
        <f t="shared" si="45"/>
        <v>10170529.411764706</v>
      </c>
      <c r="P102" s="89">
        <f t="shared" si="45"/>
        <v>5295529.4117647065</v>
      </c>
      <c r="Q102" s="89">
        <f t="shared" si="45"/>
        <v>5295529.4117647065</v>
      </c>
      <c r="R102" s="89">
        <f t="shared" si="45"/>
        <v>5295529.4117647065</v>
      </c>
      <c r="S102" s="89">
        <f t="shared" si="45"/>
        <v>5962196.0784313725</v>
      </c>
      <c r="T102" s="89">
        <f t="shared" si="45"/>
        <v>5962196.0784313725</v>
      </c>
      <c r="U102" s="89">
        <f t="shared" si="45"/>
        <v>5962196.0784313725</v>
      </c>
      <c r="V102" s="89">
        <f t="shared" si="45"/>
        <v>5962196.0784313725</v>
      </c>
      <c r="W102" s="89">
        <f t="shared" si="45"/>
        <v>5962196.0784313725</v>
      </c>
      <c r="X102" s="89">
        <f t="shared" si="45"/>
        <v>5962196.0784313725</v>
      </c>
      <c r="Y102" s="89">
        <f t="shared" si="45"/>
        <v>5962196.0784313725</v>
      </c>
      <c r="Z102" s="89">
        <f t="shared" si="45"/>
        <v>5962196.0784313725</v>
      </c>
      <c r="AA102" s="89">
        <f t="shared" si="45"/>
        <v>6425196.0784313725</v>
      </c>
      <c r="AB102" s="89">
        <f t="shared" si="45"/>
        <v>0</v>
      </c>
      <c r="AC102" s="89">
        <f t="shared" si="45"/>
        <v>0</v>
      </c>
      <c r="AD102" s="89">
        <f t="shared" si="45"/>
        <v>0</v>
      </c>
      <c r="AE102" s="89">
        <f t="shared" si="45"/>
        <v>0</v>
      </c>
      <c r="AF102" s="89">
        <f t="shared" si="45"/>
        <v>0</v>
      </c>
      <c r="AG102" s="89">
        <f t="shared" si="45"/>
        <v>0</v>
      </c>
      <c r="AH102" s="89">
        <f t="shared" si="45"/>
        <v>0</v>
      </c>
      <c r="AI102" s="89">
        <f t="shared" si="45"/>
        <v>0</v>
      </c>
      <c r="AJ102" s="89">
        <f t="shared" si="45"/>
        <v>0</v>
      </c>
      <c r="AK102" s="89">
        <f t="shared" si="45"/>
        <v>0</v>
      </c>
      <c r="AL102" s="89">
        <f t="shared" si="45"/>
        <v>0</v>
      </c>
      <c r="AM102" s="89">
        <f t="shared" si="45"/>
        <v>0</v>
      </c>
      <c r="AN102" s="89">
        <f t="shared" si="45"/>
        <v>0</v>
      </c>
      <c r="AO102" s="89">
        <f t="shared" si="45"/>
        <v>0</v>
      </c>
      <c r="AP102" s="89">
        <f t="shared" si="45"/>
        <v>0</v>
      </c>
      <c r="AQ102" s="89">
        <f t="shared" si="45"/>
        <v>0</v>
      </c>
      <c r="AR102" s="89">
        <f t="shared" si="45"/>
        <v>0</v>
      </c>
      <c r="AS102" s="89">
        <f t="shared" si="45"/>
        <v>0</v>
      </c>
      <c r="AT102" s="89">
        <f t="shared" si="45"/>
        <v>0</v>
      </c>
      <c r="AU102" s="89">
        <f t="shared" si="45"/>
        <v>0</v>
      </c>
      <c r="AV102" s="89">
        <f t="shared" si="45"/>
        <v>0</v>
      </c>
      <c r="AW102" s="89">
        <f t="shared" si="45"/>
        <v>0</v>
      </c>
      <c r="AX102" s="89">
        <f t="shared" si="45"/>
        <v>0</v>
      </c>
      <c r="AY102" s="89">
        <f t="shared" si="45"/>
        <v>0</v>
      </c>
      <c r="AZ102" s="89">
        <f t="shared" si="45"/>
        <v>0</v>
      </c>
      <c r="BA102" s="89">
        <f t="shared" si="45"/>
        <v>0</v>
      </c>
      <c r="BB102" s="89">
        <f t="shared" si="45"/>
        <v>0</v>
      </c>
      <c r="BC102" s="89">
        <f t="shared" si="45"/>
        <v>0</v>
      </c>
      <c r="BD102" s="89">
        <f t="shared" si="45"/>
        <v>0</v>
      </c>
      <c r="BE102" s="89">
        <f t="shared" si="45"/>
        <v>0</v>
      </c>
      <c r="BF102" s="89">
        <f t="shared" si="45"/>
        <v>0</v>
      </c>
      <c r="BG102" s="89">
        <f t="shared" si="45"/>
        <v>0</v>
      </c>
      <c r="BH102" s="89">
        <f t="shared" si="45"/>
        <v>0</v>
      </c>
      <c r="BI102" s="89">
        <f t="shared" si="45"/>
        <v>0</v>
      </c>
      <c r="BJ102" s="89">
        <f t="shared" si="45"/>
        <v>0</v>
      </c>
      <c r="BK102" s="89">
        <f t="shared" si="45"/>
        <v>0</v>
      </c>
      <c r="BL102" s="89">
        <f t="shared" si="45"/>
        <v>0</v>
      </c>
      <c r="BM102" s="89">
        <f t="shared" si="45"/>
        <v>0</v>
      </c>
      <c r="BN102" s="89">
        <f t="shared" si="45"/>
        <v>0</v>
      </c>
      <c r="BO102" s="89">
        <f t="shared" si="45"/>
        <v>0</v>
      </c>
    </row>
    <row r="103" spans="1:67">
      <c r="A103" s="11"/>
      <c r="B103" s="11"/>
      <c r="C103" s="11"/>
      <c r="D103" s="11"/>
      <c r="E103" s="33"/>
      <c r="F103" s="33"/>
      <c r="G103" s="33"/>
      <c r="H103" s="33"/>
      <c r="I103" s="33"/>
      <c r="J103" s="33"/>
      <c r="K103" s="33"/>
      <c r="L103" s="33"/>
      <c r="M103" s="33"/>
      <c r="N103" s="33"/>
      <c r="O103" s="33"/>
      <c r="P103" s="33"/>
      <c r="Q103" s="33"/>
      <c r="R103" s="33"/>
      <c r="S103" s="33"/>
      <c r="T103" s="33"/>
      <c r="U103" s="33"/>
      <c r="V103" s="33"/>
      <c r="W103" s="33"/>
      <c r="X103" s="33"/>
      <c r="Y103" s="33"/>
      <c r="Z103" s="33"/>
      <c r="AA103" s="33"/>
      <c r="AB103" s="33"/>
      <c r="AC103" s="33"/>
      <c r="AD103" s="33"/>
      <c r="AE103" s="33"/>
      <c r="AF103" s="33"/>
      <c r="AG103" s="33"/>
      <c r="AH103" s="33"/>
      <c r="AI103" s="33"/>
      <c r="AJ103" s="33"/>
      <c r="AK103" s="33"/>
      <c r="AL103" s="33"/>
      <c r="AM103" s="33"/>
      <c r="AN103" s="33"/>
      <c r="AO103" s="33"/>
      <c r="AP103" s="33"/>
      <c r="AQ103" s="33"/>
      <c r="AR103" s="33"/>
      <c r="AS103" s="33"/>
      <c r="AT103" s="33"/>
      <c r="AU103" s="33"/>
      <c r="AV103" s="33"/>
      <c r="AW103" s="33"/>
      <c r="AX103" s="33"/>
      <c r="AY103" s="33"/>
      <c r="AZ103" s="33"/>
      <c r="BA103" s="33"/>
      <c r="BB103" s="33"/>
      <c r="BC103" s="33"/>
      <c r="BD103" s="33"/>
      <c r="BE103" s="33"/>
      <c r="BF103" s="33"/>
      <c r="BG103" s="33"/>
      <c r="BH103" s="33"/>
      <c r="BI103" s="33"/>
      <c r="BJ103" s="33"/>
      <c r="BK103" s="33"/>
      <c r="BL103" s="33"/>
      <c r="BM103" s="33"/>
      <c r="BN103" s="33"/>
      <c r="BO103" s="33"/>
    </row>
    <row r="104" spans="1:67">
      <c r="A104" s="18" t="s">
        <v>1754</v>
      </c>
      <c r="B104" s="18"/>
      <c r="C104" s="18"/>
      <c r="D104" s="18"/>
      <c r="E104" s="39"/>
      <c r="F104" s="39"/>
      <c r="G104" s="39"/>
      <c r="H104" s="39"/>
      <c r="I104" s="39"/>
      <c r="J104" s="39"/>
      <c r="K104" s="39"/>
      <c r="L104" s="39"/>
      <c r="M104" s="39"/>
      <c r="N104" s="39"/>
      <c r="O104" s="39"/>
      <c r="P104" s="39"/>
      <c r="Q104" s="39"/>
      <c r="R104" s="39"/>
      <c r="S104" s="39"/>
      <c r="T104" s="39"/>
      <c r="U104" s="39"/>
      <c r="V104" s="39"/>
      <c r="W104" s="39"/>
      <c r="X104" s="39"/>
      <c r="Y104" s="39"/>
      <c r="Z104" s="39"/>
      <c r="AA104" s="39"/>
      <c r="AB104" s="39"/>
      <c r="AC104" s="39"/>
      <c r="AD104" s="39"/>
      <c r="AE104" s="39"/>
      <c r="AF104" s="39"/>
      <c r="AG104" s="39"/>
      <c r="AH104" s="39"/>
      <c r="AI104" s="39"/>
      <c r="AJ104" s="39"/>
      <c r="AK104" s="39"/>
      <c r="AL104" s="39"/>
      <c r="AM104" s="39"/>
      <c r="AN104" s="39"/>
      <c r="AO104" s="39"/>
      <c r="AP104" s="39"/>
      <c r="AQ104" s="39"/>
      <c r="AR104" s="39"/>
      <c r="AS104" s="39"/>
      <c r="AT104" s="39"/>
      <c r="AU104" s="39"/>
      <c r="AV104" s="39"/>
      <c r="AW104" s="39"/>
      <c r="AX104" s="39"/>
      <c r="AY104" s="39"/>
      <c r="AZ104" s="39"/>
      <c r="BA104" s="39"/>
      <c r="BB104" s="39"/>
      <c r="BC104" s="39"/>
      <c r="BD104" s="39"/>
      <c r="BE104" s="39"/>
      <c r="BF104" s="39"/>
      <c r="BG104" s="39"/>
      <c r="BH104" s="39"/>
      <c r="BI104" s="39"/>
      <c r="BJ104" s="39"/>
      <c r="BK104" s="39"/>
      <c r="BL104" s="39"/>
      <c r="BM104" s="39"/>
      <c r="BN104" s="39"/>
      <c r="BO104" s="39"/>
    </row>
    <row r="105" spans="1:67">
      <c r="A105" s="11"/>
      <c r="B105" s="11" t="s">
        <v>312</v>
      </c>
      <c r="C105" s="11"/>
      <c r="D105" s="11"/>
      <c r="E105" s="33"/>
      <c r="F105" s="90">
        <f>SUM(G105:BO105)</f>
        <v>21419379.872500498</v>
      </c>
      <c r="G105" s="90">
        <f>'06 Debt &amp; WC'!G23</f>
        <v>0</v>
      </c>
      <c r="H105" s="90">
        <f>'06 Debt &amp; WC'!H23</f>
        <v>0</v>
      </c>
      <c r="I105" s="90">
        <f>'06 Debt &amp; WC'!I23</f>
        <v>0</v>
      </c>
      <c r="J105" s="90">
        <f>'06 Debt &amp; WC'!J23</f>
        <v>0</v>
      </c>
      <c r="K105" s="90">
        <f>'06 Debt &amp; WC'!K23</f>
        <v>0</v>
      </c>
      <c r="L105" s="90">
        <f>'06 Debt &amp; WC'!L23</f>
        <v>0</v>
      </c>
      <c r="M105" s="90">
        <f>'06 Debt &amp; WC'!M23</f>
        <v>0</v>
      </c>
      <c r="N105" s="90">
        <f>'06 Debt &amp; WC'!N23</f>
        <v>0</v>
      </c>
      <c r="O105" s="90">
        <f>'06 Debt &amp; WC'!O23</f>
        <v>0</v>
      </c>
      <c r="P105" s="90">
        <f>'06 Debt &amp; WC'!P23</f>
        <v>0</v>
      </c>
      <c r="Q105" s="90">
        <f>'06 Debt &amp; WC'!Q23</f>
        <v>0</v>
      </c>
      <c r="R105" s="90">
        <f>'06 Debt &amp; WC'!R23</f>
        <v>366706.55943627382</v>
      </c>
      <c r="S105" s="90">
        <f>'06 Debt &amp; WC'!S23</f>
        <v>752427.00325903727</v>
      </c>
      <c r="T105" s="90">
        <f>'06 Debt &amp; WC'!T23</f>
        <v>1144125.6550413964</v>
      </c>
      <c r="U105" s="90">
        <f>'06 Debt &amp; WC'!U23</f>
        <v>1537946.0078542435</v>
      </c>
      <c r="V105" s="90">
        <f>'06 Debt &amp; WC'!V23</f>
        <v>1933899.5542448263</v>
      </c>
      <c r="W105" s="90">
        <f>'06 Debt &amp; WC'!W23</f>
        <v>2331997.8490116918</v>
      </c>
      <c r="X105" s="90">
        <f>'06 Debt &amp; WC'!X23</f>
        <v>2732252.509541878</v>
      </c>
      <c r="Y105" s="90">
        <f>'06 Debt &amp; WC'!Y23</f>
        <v>3134675.2161499355</v>
      </c>
      <c r="Z105" s="90">
        <f>'06 Debt &amp; WC'!Z23</f>
        <v>3539277.7124187872</v>
      </c>
      <c r="AA105" s="90">
        <f>'06 Debt &amp; WC'!AA23</f>
        <v>3946071.805542428</v>
      </c>
      <c r="AB105" s="90">
        <f>'06 Debt &amp; WC'!AB23</f>
        <v>0</v>
      </c>
      <c r="AC105" s="90">
        <f>'06 Debt &amp; WC'!AC23</f>
        <v>0</v>
      </c>
      <c r="AD105" s="90">
        <f>'06 Debt &amp; WC'!AD23</f>
        <v>0</v>
      </c>
      <c r="AE105" s="90">
        <f>'06 Debt &amp; WC'!AE23</f>
        <v>0</v>
      </c>
      <c r="AF105" s="90">
        <f>'06 Debt &amp; WC'!AF23</f>
        <v>0</v>
      </c>
      <c r="AG105" s="90">
        <f>'06 Debt &amp; WC'!AG23</f>
        <v>0</v>
      </c>
      <c r="AH105" s="90">
        <f>'06 Debt &amp; WC'!AH23</f>
        <v>0</v>
      </c>
      <c r="AI105" s="90">
        <f>'06 Debt &amp; WC'!AI23</f>
        <v>0</v>
      </c>
      <c r="AJ105" s="90">
        <f>'06 Debt &amp; WC'!AJ23</f>
        <v>0</v>
      </c>
      <c r="AK105" s="90">
        <f>'06 Debt &amp; WC'!AK23</f>
        <v>0</v>
      </c>
      <c r="AL105" s="90">
        <f>'06 Debt &amp; WC'!AL23</f>
        <v>0</v>
      </c>
      <c r="AM105" s="90">
        <f>'06 Debt &amp; WC'!AM23</f>
        <v>0</v>
      </c>
      <c r="AN105" s="90">
        <f>'06 Debt &amp; WC'!AN23</f>
        <v>0</v>
      </c>
      <c r="AO105" s="90">
        <f>'06 Debt &amp; WC'!AO23</f>
        <v>0</v>
      </c>
      <c r="AP105" s="90">
        <f>'06 Debt &amp; WC'!AP23</f>
        <v>0</v>
      </c>
      <c r="AQ105" s="90">
        <f>'06 Debt &amp; WC'!AQ23</f>
        <v>0</v>
      </c>
      <c r="AR105" s="90">
        <f>'06 Debt &amp; WC'!AR23</f>
        <v>0</v>
      </c>
      <c r="AS105" s="90">
        <f>'06 Debt &amp; WC'!AS23</f>
        <v>0</v>
      </c>
      <c r="AT105" s="90">
        <f>'06 Debt &amp; WC'!AT23</f>
        <v>0</v>
      </c>
      <c r="AU105" s="90">
        <f>'06 Debt &amp; WC'!AU23</f>
        <v>0</v>
      </c>
      <c r="AV105" s="90">
        <f>'06 Debt &amp; WC'!AV23</f>
        <v>0</v>
      </c>
      <c r="AW105" s="90">
        <f>'06 Debt &amp; WC'!AW23</f>
        <v>0</v>
      </c>
      <c r="AX105" s="90">
        <f>'06 Debt &amp; WC'!AX23</f>
        <v>0</v>
      </c>
      <c r="AY105" s="90">
        <f>'06 Debt &amp; WC'!AY23</f>
        <v>0</v>
      </c>
      <c r="AZ105" s="90">
        <f>'06 Debt &amp; WC'!AZ23</f>
        <v>0</v>
      </c>
      <c r="BA105" s="90">
        <f>'06 Debt &amp; WC'!BA23</f>
        <v>0</v>
      </c>
      <c r="BB105" s="90">
        <f>'06 Debt &amp; WC'!BB23</f>
        <v>0</v>
      </c>
      <c r="BC105" s="90">
        <f>'06 Debt &amp; WC'!BC23</f>
        <v>0</v>
      </c>
      <c r="BD105" s="90">
        <f>'06 Debt &amp; WC'!BD23</f>
        <v>0</v>
      </c>
      <c r="BE105" s="90">
        <f>'06 Debt &amp; WC'!BE23</f>
        <v>0</v>
      </c>
      <c r="BF105" s="90">
        <f>'06 Debt &amp; WC'!BF23</f>
        <v>0</v>
      </c>
      <c r="BG105" s="90">
        <f>'06 Debt &amp; WC'!BG23</f>
        <v>0</v>
      </c>
      <c r="BH105" s="90">
        <f>'06 Debt &amp; WC'!BH23</f>
        <v>0</v>
      </c>
      <c r="BI105" s="90">
        <f>'06 Debt &amp; WC'!BI23</f>
        <v>0</v>
      </c>
      <c r="BJ105" s="90">
        <f>'06 Debt &amp; WC'!BJ23</f>
        <v>0</v>
      </c>
      <c r="BK105" s="90">
        <f>'06 Debt &amp; WC'!BK23</f>
        <v>0</v>
      </c>
      <c r="BL105" s="90">
        <f>'06 Debt &amp; WC'!BL23</f>
        <v>0</v>
      </c>
      <c r="BM105" s="90">
        <f>'06 Debt &amp; WC'!BM23</f>
        <v>0</v>
      </c>
      <c r="BN105" s="90">
        <f>'06 Debt &amp; WC'!BN23</f>
        <v>0</v>
      </c>
      <c r="BO105" s="90">
        <f>'06 Debt &amp; WC'!BO23</f>
        <v>0</v>
      </c>
    </row>
    <row r="106" spans="1:67">
      <c r="A106" s="11"/>
      <c r="B106" s="11" t="s">
        <v>313</v>
      </c>
      <c r="C106" s="11"/>
      <c r="D106" s="11"/>
      <c r="E106" s="33"/>
      <c r="F106" s="90">
        <f>SUM(G106:BO106)</f>
        <v>22776940.128154729</v>
      </c>
      <c r="G106" s="90">
        <f>'06 Debt &amp; WC'!G25+'06 Debt &amp; WC'!G26</f>
        <v>0</v>
      </c>
      <c r="H106" s="90">
        <f>'06 Debt &amp; WC'!H25+'06 Debt &amp; WC'!H26</f>
        <v>0</v>
      </c>
      <c r="I106" s="90">
        <f>'06 Debt &amp; WC'!I25+'06 Debt &amp; WC'!I26</f>
        <v>0</v>
      </c>
      <c r="J106" s="90">
        <f>'06 Debt &amp; WC'!J25+'06 Debt &amp; WC'!J26</f>
        <v>0</v>
      </c>
      <c r="K106" s="90">
        <f>'06 Debt &amp; WC'!K25+'06 Debt &amp; WC'!K26</f>
        <v>0</v>
      </c>
      <c r="L106" s="90">
        <f>'06 Debt &amp; WC'!L25+'06 Debt &amp; WC'!L26</f>
        <v>0</v>
      </c>
      <c r="M106" s="90">
        <f>'06 Debt &amp; WC'!M25+'06 Debt &amp; WC'!M26</f>
        <v>0</v>
      </c>
      <c r="N106" s="90">
        <f>'06 Debt &amp; WC'!N25+'06 Debt &amp; WC'!N26</f>
        <v>0</v>
      </c>
      <c r="O106" s="90">
        <f>'06 Debt &amp; WC'!O25+'06 Debt &amp; WC'!O26</f>
        <v>0</v>
      </c>
      <c r="P106" s="90">
        <f>'06 Debt &amp; WC'!P25+'06 Debt &amp; WC'!P26</f>
        <v>0</v>
      </c>
      <c r="Q106" s="90">
        <f>'06 Debt &amp; WC'!Q25+'06 Debt &amp; WC'!Q26</f>
        <v>21378354.166666668</v>
      </c>
      <c r="R106" s="90">
        <f>'06 Debt &amp; WC'!R25+'06 Debt &amp; WC'!R26</f>
        <v>266660.84099264711</v>
      </c>
      <c r="S106" s="90">
        <f>'06 Debt &amp; WC'!S25+'06 Debt &amp; WC'!S26</f>
        <v>239109.38071959256</v>
      </c>
      <c r="T106" s="90">
        <f>'06 Debt &amp; WC'!T25+'06 Debt &amp; WC'!T26</f>
        <v>211130.90559228123</v>
      </c>
      <c r="U106" s="90">
        <f>'06 Debt &amp; WC'!U25+'06 Debt &amp; WC'!U26</f>
        <v>183000.88039136361</v>
      </c>
      <c r="V106" s="90">
        <f>'06 Debt &amp; WC'!V25+'06 Debt &amp; WC'!V26</f>
        <v>154718.48422060764</v>
      </c>
      <c r="W106" s="90">
        <f>'06 Debt &amp; WC'!W25+'06 Debt &amp; WC'!W26</f>
        <v>126282.89173726011</v>
      </c>
      <c r="X106" s="90">
        <f>'06 Debt &amp; WC'!X25+'06 Debt &amp; WC'!X26</f>
        <v>97693.273127961133</v>
      </c>
      <c r="Y106" s="90">
        <f>'06 Debt &amp; WC'!Y25+'06 Debt &amp; WC'!Y26</f>
        <v>68948.794084528447</v>
      </c>
      <c r="Z106" s="90">
        <f>'06 Debt &amp; WC'!Z25+'06 Debt &amp; WC'!Z26</f>
        <v>40048.615779610474</v>
      </c>
      <c r="AA106" s="90">
        <f>'06 Debt &amp; WC'!AA25+'06 Debt &amp; WC'!AA26</f>
        <v>10991.894842207532</v>
      </c>
      <c r="AB106" s="90">
        <f>'06 Debt &amp; WC'!AB25+'06 Debt &amp; WC'!AB26</f>
        <v>0</v>
      </c>
      <c r="AC106" s="90">
        <f>'06 Debt &amp; WC'!AC25+'06 Debt &amp; WC'!AC26</f>
        <v>0</v>
      </c>
      <c r="AD106" s="90">
        <f>'06 Debt &amp; WC'!AD25+'06 Debt &amp; WC'!AD26</f>
        <v>0</v>
      </c>
      <c r="AE106" s="90">
        <f>'06 Debt &amp; WC'!AE25+'06 Debt &amp; WC'!AE26</f>
        <v>0</v>
      </c>
      <c r="AF106" s="90">
        <f>'06 Debt &amp; WC'!AF25+'06 Debt &amp; WC'!AF26</f>
        <v>0</v>
      </c>
      <c r="AG106" s="90">
        <f>'06 Debt &amp; WC'!AG25+'06 Debt &amp; WC'!AG26</f>
        <v>0</v>
      </c>
      <c r="AH106" s="90">
        <f>'06 Debt &amp; WC'!AH25+'06 Debt &amp; WC'!AH26</f>
        <v>0</v>
      </c>
      <c r="AI106" s="90">
        <f>'06 Debt &amp; WC'!AI25+'06 Debt &amp; WC'!AI26</f>
        <v>0</v>
      </c>
      <c r="AJ106" s="90">
        <f>'06 Debt &amp; WC'!AJ25+'06 Debt &amp; WC'!AJ26</f>
        <v>0</v>
      </c>
      <c r="AK106" s="90">
        <f>'06 Debt &amp; WC'!AK25+'06 Debt &amp; WC'!AK26</f>
        <v>0</v>
      </c>
      <c r="AL106" s="90">
        <f>'06 Debt &amp; WC'!AL25+'06 Debt &amp; WC'!AL26</f>
        <v>0</v>
      </c>
      <c r="AM106" s="90">
        <f>'06 Debt &amp; WC'!AM25+'06 Debt &amp; WC'!AM26</f>
        <v>0</v>
      </c>
      <c r="AN106" s="90">
        <f>'06 Debt &amp; WC'!AN25+'06 Debt &amp; WC'!AN26</f>
        <v>0</v>
      </c>
      <c r="AO106" s="90">
        <f>'06 Debt &amp; WC'!AO25+'06 Debt &amp; WC'!AO26</f>
        <v>0</v>
      </c>
      <c r="AP106" s="90">
        <f>'06 Debt &amp; WC'!AP25+'06 Debt &amp; WC'!AP26</f>
        <v>0</v>
      </c>
      <c r="AQ106" s="90">
        <f>'06 Debt &amp; WC'!AQ25+'06 Debt &amp; WC'!AQ26</f>
        <v>0</v>
      </c>
      <c r="AR106" s="90">
        <f>'06 Debt &amp; WC'!AR25+'06 Debt &amp; WC'!AR26</f>
        <v>0</v>
      </c>
      <c r="AS106" s="90">
        <f>'06 Debt &amp; WC'!AS25+'06 Debt &amp; WC'!AS26</f>
        <v>0</v>
      </c>
      <c r="AT106" s="90">
        <f>'06 Debt &amp; WC'!AT25+'06 Debt &amp; WC'!AT26</f>
        <v>0</v>
      </c>
      <c r="AU106" s="90">
        <f>'06 Debt &amp; WC'!AU25+'06 Debt &amp; WC'!AU26</f>
        <v>0</v>
      </c>
      <c r="AV106" s="90">
        <f>'06 Debt &amp; WC'!AV25+'06 Debt &amp; WC'!AV26</f>
        <v>0</v>
      </c>
      <c r="AW106" s="90">
        <f>'06 Debt &amp; WC'!AW25+'06 Debt &amp; WC'!AW26</f>
        <v>0</v>
      </c>
      <c r="AX106" s="90">
        <f>'06 Debt &amp; WC'!AX25+'06 Debt &amp; WC'!AX26</f>
        <v>0</v>
      </c>
      <c r="AY106" s="90">
        <f>'06 Debt &amp; WC'!AY25+'06 Debt &amp; WC'!AY26</f>
        <v>0</v>
      </c>
      <c r="AZ106" s="90">
        <f>'06 Debt &amp; WC'!AZ25+'06 Debt &amp; WC'!AZ26</f>
        <v>0</v>
      </c>
      <c r="BA106" s="90">
        <f>'06 Debt &amp; WC'!BA25+'06 Debt &amp; WC'!BA26</f>
        <v>0</v>
      </c>
      <c r="BB106" s="90">
        <f>'06 Debt &amp; WC'!BB25+'06 Debt &amp; WC'!BB26</f>
        <v>0</v>
      </c>
      <c r="BC106" s="90">
        <f>'06 Debt &amp; WC'!BC25+'06 Debt &amp; WC'!BC26</f>
        <v>0</v>
      </c>
      <c r="BD106" s="90">
        <f>'06 Debt &amp; WC'!BD25+'06 Debt &amp; WC'!BD26</f>
        <v>0</v>
      </c>
      <c r="BE106" s="90">
        <f>'06 Debt &amp; WC'!BE25+'06 Debt &amp; WC'!BE26</f>
        <v>0</v>
      </c>
      <c r="BF106" s="90">
        <f>'06 Debt &amp; WC'!BF25+'06 Debt &amp; WC'!BF26</f>
        <v>0</v>
      </c>
      <c r="BG106" s="90">
        <f>'06 Debt &amp; WC'!BG25+'06 Debt &amp; WC'!BG26</f>
        <v>0</v>
      </c>
      <c r="BH106" s="90">
        <f>'06 Debt &amp; WC'!BH25+'06 Debt &amp; WC'!BH26</f>
        <v>0</v>
      </c>
      <c r="BI106" s="90">
        <f>'06 Debt &amp; WC'!BI25+'06 Debt &amp; WC'!BI26</f>
        <v>0</v>
      </c>
      <c r="BJ106" s="90">
        <f>'06 Debt &amp; WC'!BJ25+'06 Debt &amp; WC'!BJ26</f>
        <v>0</v>
      </c>
      <c r="BK106" s="90">
        <f>'06 Debt &amp; WC'!BK25+'06 Debt &amp; WC'!BK26</f>
        <v>0</v>
      </c>
      <c r="BL106" s="90">
        <f>'06 Debt &amp; WC'!BL25+'06 Debt &amp; WC'!BL26</f>
        <v>0</v>
      </c>
      <c r="BM106" s="90">
        <f>'06 Debt &amp; WC'!BM25+'06 Debt &amp; WC'!BM26</f>
        <v>0</v>
      </c>
      <c r="BN106" s="90">
        <f>'06 Debt &amp; WC'!BN25+'06 Debt &amp; WC'!BN26</f>
        <v>0</v>
      </c>
      <c r="BO106" s="90">
        <f>'06 Debt &amp; WC'!BO25+'06 Debt &amp; WC'!BO26</f>
        <v>0</v>
      </c>
    </row>
    <row r="107" spans="1:67">
      <c r="A107" s="32"/>
      <c r="B107" s="32" t="s">
        <v>1781</v>
      </c>
      <c r="C107" s="32"/>
      <c r="D107" s="32"/>
      <c r="E107" s="14"/>
      <c r="F107" s="92">
        <f>ROUND(F105+F106,-6)-(F105+F106)</f>
        <v>-196320.00065522641</v>
      </c>
      <c r="G107" s="92">
        <f>IF(COLUMNS($G107:G107)='01 Major Assumptions'!$D$7,$F107,0)</f>
        <v>0</v>
      </c>
      <c r="H107" s="92">
        <f>IF(COLUMNS($G107:H107)='01 Major Assumptions'!$D$7,$F107,0)</f>
        <v>0</v>
      </c>
      <c r="I107" s="92">
        <f>IF(COLUMNS($G107:I107)='01 Major Assumptions'!$D$7,$F107,0)</f>
        <v>0</v>
      </c>
      <c r="J107" s="92">
        <f>IF(COLUMNS($G107:J107)='01 Major Assumptions'!$D$7,$F107,0)</f>
        <v>0</v>
      </c>
      <c r="K107" s="92">
        <f>IF(COLUMNS($G107:K107)='01 Major Assumptions'!$D$7,$F107,0)</f>
        <v>0</v>
      </c>
      <c r="L107" s="92">
        <f>IF(COLUMNS($G107:L107)='01 Major Assumptions'!$D$7,$F107,0)</f>
        <v>0</v>
      </c>
      <c r="M107" s="92">
        <f>IF(COLUMNS($G107:M107)='01 Major Assumptions'!$D$7,$F107,0)</f>
        <v>0</v>
      </c>
      <c r="N107" s="92">
        <f>IF(COLUMNS($G107:N107)='01 Major Assumptions'!$D$7,$F107,0)</f>
        <v>0</v>
      </c>
      <c r="O107" s="92">
        <f>IF(COLUMNS($G107:O107)='01 Major Assumptions'!$D$7,$F107,0)</f>
        <v>0</v>
      </c>
      <c r="P107" s="92">
        <f>IF(COLUMNS($G107:P107)='01 Major Assumptions'!$D$7,$F107,0)</f>
        <v>0</v>
      </c>
      <c r="Q107" s="92">
        <f>IF(COLUMNS($G107:Q107)='01 Major Assumptions'!$D$7,$F107,0)</f>
        <v>0</v>
      </c>
      <c r="R107" s="92">
        <f>IF(COLUMNS($G107:R107)='01 Major Assumptions'!$D$7,$F107,0)</f>
        <v>0</v>
      </c>
      <c r="S107" s="92">
        <f>IF(COLUMNS($G107:S107)='01 Major Assumptions'!$D$7,$F107,0)</f>
        <v>0</v>
      </c>
      <c r="T107" s="92">
        <f>IF(COLUMNS($G107:T107)='01 Major Assumptions'!$D$7,$F107,0)</f>
        <v>0</v>
      </c>
      <c r="U107" s="92">
        <f>IF(COLUMNS($G107:U107)='01 Major Assumptions'!$D$7,$F107,0)</f>
        <v>0</v>
      </c>
      <c r="V107" s="92">
        <f>IF(COLUMNS($G107:V107)='01 Major Assumptions'!$D$7,$F107,0)</f>
        <v>0</v>
      </c>
      <c r="W107" s="92">
        <f>IF(COLUMNS($G107:W107)='01 Major Assumptions'!$D$7,$F107,0)</f>
        <v>0</v>
      </c>
      <c r="X107" s="92">
        <f>IF(COLUMNS($G107:X107)='01 Major Assumptions'!$D$7,$F107,0)</f>
        <v>0</v>
      </c>
      <c r="Y107" s="92">
        <f>IF(COLUMNS($G107:Y107)='01 Major Assumptions'!$D$7,$F107,0)</f>
        <v>0</v>
      </c>
      <c r="Z107" s="92">
        <f>IF(COLUMNS($G107:Z107)='01 Major Assumptions'!$D$7,$F107,0)</f>
        <v>0</v>
      </c>
      <c r="AA107" s="92">
        <f>IF(COLUMNS($G107:AA107)='01 Major Assumptions'!$D$7,$F107,0)</f>
        <v>-196320.00065522641</v>
      </c>
      <c r="AB107" s="92">
        <f>IF(COLUMNS($G107:AB107)='01 Major Assumptions'!$D$7,$F107,0)</f>
        <v>0</v>
      </c>
      <c r="AC107" s="92">
        <f>IF(COLUMNS($G107:AC107)='01 Major Assumptions'!$D$7,$F107,0)</f>
        <v>0</v>
      </c>
      <c r="AD107" s="92">
        <f>IF(COLUMNS($G107:AD107)='01 Major Assumptions'!$D$7,$F107,0)</f>
        <v>0</v>
      </c>
      <c r="AE107" s="92">
        <f>IF(COLUMNS($G107:AE107)='01 Major Assumptions'!$D$7,$F107,0)</f>
        <v>0</v>
      </c>
      <c r="AF107" s="92">
        <f>IF(COLUMNS($G107:AF107)='01 Major Assumptions'!$D$7,$F107,0)</f>
        <v>0</v>
      </c>
      <c r="AG107" s="92">
        <f>IF(COLUMNS($G107:AG107)='01 Major Assumptions'!$D$7,$F107,0)</f>
        <v>0</v>
      </c>
      <c r="AH107" s="92">
        <f>IF(COLUMNS($G107:AH107)='01 Major Assumptions'!$D$7,$F107,0)</f>
        <v>0</v>
      </c>
      <c r="AI107" s="92">
        <f>IF(COLUMNS($G107:AI107)='01 Major Assumptions'!$D$7,$F107,0)</f>
        <v>0</v>
      </c>
      <c r="AJ107" s="92">
        <f>IF(COLUMNS($G107:AJ107)='01 Major Assumptions'!$D$7,$F107,0)</f>
        <v>0</v>
      </c>
      <c r="AK107" s="92">
        <f>IF(COLUMNS($G107:AK107)='01 Major Assumptions'!$D$7,$F107,0)</f>
        <v>0</v>
      </c>
      <c r="AL107" s="92">
        <f>IF(COLUMNS($G107:AL107)='01 Major Assumptions'!$D$7,$F107,0)</f>
        <v>0</v>
      </c>
      <c r="AM107" s="92">
        <f>IF(COLUMNS($G107:AM107)='01 Major Assumptions'!$D$7,$F107,0)</f>
        <v>0</v>
      </c>
      <c r="AN107" s="92">
        <f>IF(COLUMNS($G107:AN107)='01 Major Assumptions'!$D$7,$F107,0)</f>
        <v>0</v>
      </c>
      <c r="AO107" s="92">
        <f>IF(COLUMNS($G107:AO107)='01 Major Assumptions'!$D$7,$F107,0)</f>
        <v>0</v>
      </c>
      <c r="AP107" s="92">
        <f>IF(COLUMNS($G107:AP107)='01 Major Assumptions'!$D$7,$F107,0)</f>
        <v>0</v>
      </c>
      <c r="AQ107" s="92">
        <f>IF(COLUMNS($G107:AQ107)='01 Major Assumptions'!$D$7,$F107,0)</f>
        <v>0</v>
      </c>
      <c r="AR107" s="92">
        <f>IF(COLUMNS($G107:AR107)='01 Major Assumptions'!$D$7,$F107,0)</f>
        <v>0</v>
      </c>
      <c r="AS107" s="92">
        <f>IF(COLUMNS($G107:AS107)='01 Major Assumptions'!$D$7,$F107,0)</f>
        <v>0</v>
      </c>
      <c r="AT107" s="92">
        <f>IF(COLUMNS($G107:AT107)='01 Major Assumptions'!$D$7,$F107,0)</f>
        <v>0</v>
      </c>
      <c r="AU107" s="92">
        <f>IF(COLUMNS($G107:AU107)='01 Major Assumptions'!$D$7,$F107,0)</f>
        <v>0</v>
      </c>
      <c r="AV107" s="92">
        <f>IF(COLUMNS($G107:AV107)='01 Major Assumptions'!$D$7,$F107,0)</f>
        <v>0</v>
      </c>
      <c r="AW107" s="92">
        <f>IF(COLUMNS($G107:AW107)='01 Major Assumptions'!$D$7,$F107,0)</f>
        <v>0</v>
      </c>
      <c r="AX107" s="92">
        <f>IF(COLUMNS($G107:AX107)='01 Major Assumptions'!$D$7,$F107,0)</f>
        <v>0</v>
      </c>
      <c r="AY107" s="92">
        <f>IF(COLUMNS($G107:AY107)='01 Major Assumptions'!$D$7,$F107,0)</f>
        <v>0</v>
      </c>
      <c r="AZ107" s="92">
        <f>IF(COLUMNS($G107:AZ107)='01 Major Assumptions'!$D$7,$F107,0)</f>
        <v>0</v>
      </c>
      <c r="BA107" s="92">
        <f>IF(COLUMNS($G107:BA107)='01 Major Assumptions'!$D$7,$F107,0)</f>
        <v>0</v>
      </c>
      <c r="BB107" s="92">
        <f>IF(COLUMNS($G107:BB107)='01 Major Assumptions'!$D$7,$F107,0)</f>
        <v>0</v>
      </c>
      <c r="BC107" s="92">
        <f>IF(COLUMNS($G107:BC107)='01 Major Assumptions'!$D$7,$F107,0)</f>
        <v>0</v>
      </c>
      <c r="BD107" s="92">
        <f>IF(COLUMNS($G107:BD107)='01 Major Assumptions'!$D$7,$F107,0)</f>
        <v>0</v>
      </c>
      <c r="BE107" s="92">
        <f>IF(COLUMNS($G107:BE107)='01 Major Assumptions'!$D$7,$F107,0)</f>
        <v>0</v>
      </c>
      <c r="BF107" s="92">
        <f>IF(COLUMNS($G107:BF107)='01 Major Assumptions'!$D$7,$F107,0)</f>
        <v>0</v>
      </c>
      <c r="BG107" s="92">
        <f>IF(COLUMNS($G107:BG107)='01 Major Assumptions'!$D$7,$F107,0)</f>
        <v>0</v>
      </c>
      <c r="BH107" s="92">
        <f>IF(COLUMNS($G107:BH107)='01 Major Assumptions'!$D$7,$F107,0)</f>
        <v>0</v>
      </c>
      <c r="BI107" s="92">
        <f>IF(COLUMNS($G107:BI107)='01 Major Assumptions'!$D$7,$F107,0)</f>
        <v>0</v>
      </c>
      <c r="BJ107" s="92">
        <f>IF(COLUMNS($G107:BJ107)='01 Major Assumptions'!$D$7,$F107,0)</f>
        <v>0</v>
      </c>
      <c r="BK107" s="92">
        <f>IF(COLUMNS($G107:BK107)='01 Major Assumptions'!$D$7,$F107,0)</f>
        <v>0</v>
      </c>
      <c r="BL107" s="92">
        <f>IF(COLUMNS($G107:BL107)='01 Major Assumptions'!$D$7,$F107,0)</f>
        <v>0</v>
      </c>
      <c r="BM107" s="92">
        <f>IF(COLUMNS($G107:BM107)='01 Major Assumptions'!$D$7,$F107,0)</f>
        <v>0</v>
      </c>
      <c r="BN107" s="92">
        <f>IF(COLUMNS($G107:BN107)='01 Major Assumptions'!$D$7,$F107,0)</f>
        <v>0</v>
      </c>
      <c r="BO107" s="92">
        <f>IF(COLUMNS($G107:BO107)='01 Major Assumptions'!$D$7,$F107,0)</f>
        <v>0</v>
      </c>
    </row>
    <row r="108" spans="1:67">
      <c r="A108" s="20"/>
      <c r="B108" s="20"/>
      <c r="C108" s="20"/>
      <c r="D108" s="20"/>
      <c r="E108" s="20"/>
      <c r="F108" s="20"/>
      <c r="G108" s="20"/>
      <c r="H108" s="20"/>
      <c r="I108" s="20"/>
      <c r="J108" s="20"/>
      <c r="K108" s="20"/>
      <c r="L108" s="20"/>
      <c r="M108" s="20"/>
      <c r="N108" s="20"/>
      <c r="O108" s="20"/>
      <c r="P108" s="20"/>
      <c r="Q108" s="20"/>
      <c r="R108" s="20"/>
      <c r="S108" s="20"/>
      <c r="T108" s="20"/>
      <c r="U108" s="20"/>
      <c r="V108" s="20"/>
      <c r="W108" s="20"/>
      <c r="X108" s="20"/>
      <c r="Y108" s="20"/>
      <c r="Z108" s="20"/>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c r="AZ108" s="20"/>
      <c r="BA108" s="20"/>
      <c r="BB108" s="20"/>
      <c r="BC108" s="20"/>
      <c r="BD108" s="20"/>
      <c r="BE108" s="20"/>
      <c r="BF108" s="20"/>
      <c r="BG108" s="20"/>
      <c r="BH108" s="20"/>
      <c r="BI108" s="20"/>
      <c r="BJ108" s="20"/>
      <c r="BK108" s="20"/>
      <c r="BL108" s="20"/>
      <c r="BM108" s="20"/>
      <c r="BN108" s="20"/>
      <c r="BO108" s="20"/>
    </row>
    <row r="109" spans="1:67">
      <c r="A109" s="18" t="s">
        <v>1755</v>
      </c>
      <c r="B109" s="18"/>
      <c r="C109" s="18"/>
      <c r="D109" s="18"/>
      <c r="E109" s="39"/>
      <c r="F109" s="39"/>
      <c r="G109" s="39"/>
      <c r="H109" s="39"/>
      <c r="I109" s="39"/>
      <c r="J109" s="39"/>
      <c r="K109" s="39"/>
      <c r="L109" s="39"/>
      <c r="M109" s="39"/>
      <c r="N109" s="39"/>
      <c r="O109" s="39"/>
      <c r="P109" s="39"/>
      <c r="Q109" s="39"/>
      <c r="R109" s="39"/>
      <c r="S109" s="39"/>
      <c r="T109" s="39"/>
      <c r="U109" s="39"/>
      <c r="V109" s="39"/>
      <c r="W109" s="39"/>
      <c r="X109" s="39"/>
      <c r="Y109" s="39"/>
      <c r="Z109" s="39"/>
      <c r="AA109" s="39"/>
      <c r="AB109" s="39"/>
      <c r="AC109" s="39"/>
      <c r="AD109" s="39"/>
      <c r="AE109" s="39"/>
      <c r="AF109" s="39"/>
      <c r="AG109" s="39"/>
      <c r="AH109" s="39"/>
      <c r="AI109" s="39"/>
      <c r="AJ109" s="39"/>
      <c r="AK109" s="39"/>
      <c r="AL109" s="39"/>
      <c r="AM109" s="39"/>
      <c r="AN109" s="39"/>
      <c r="AO109" s="39"/>
      <c r="AP109" s="39"/>
      <c r="AQ109" s="39"/>
      <c r="AR109" s="39"/>
      <c r="AS109" s="39"/>
      <c r="AT109" s="39"/>
      <c r="AU109" s="39"/>
      <c r="AV109" s="39"/>
      <c r="AW109" s="39"/>
      <c r="AX109" s="39"/>
      <c r="AY109" s="39"/>
      <c r="AZ109" s="39"/>
      <c r="BA109" s="39"/>
      <c r="BB109" s="39"/>
      <c r="BC109" s="39"/>
      <c r="BD109" s="39"/>
      <c r="BE109" s="39"/>
      <c r="BF109" s="39"/>
      <c r="BG109" s="39"/>
      <c r="BH109" s="39"/>
      <c r="BI109" s="39"/>
      <c r="BJ109" s="39"/>
      <c r="BK109" s="39"/>
      <c r="BL109" s="39"/>
      <c r="BM109" s="39"/>
      <c r="BN109" s="39"/>
      <c r="BO109" s="39"/>
    </row>
    <row r="110" spans="1:67">
      <c r="A110" s="11"/>
      <c r="B110" s="11" t="s">
        <v>314</v>
      </c>
      <c r="C110" s="11"/>
      <c r="D110" s="11"/>
      <c r="E110" s="33"/>
      <c r="F110" s="90">
        <f t="shared" ref="F110:AK110" si="46">F27</f>
        <v>527000000</v>
      </c>
      <c r="G110" s="90">
        <f t="shared" si="46"/>
        <v>0</v>
      </c>
      <c r="H110" s="90">
        <f t="shared" si="46"/>
        <v>0</v>
      </c>
      <c r="I110" s="90">
        <f t="shared" si="46"/>
        <v>0</v>
      </c>
      <c r="J110" s="90">
        <f t="shared" si="46"/>
        <v>158100000</v>
      </c>
      <c r="K110" s="90">
        <f t="shared" si="46"/>
        <v>21700000</v>
      </c>
      <c r="L110" s="90">
        <f t="shared" si="46"/>
        <v>21700000</v>
      </c>
      <c r="M110" s="90">
        <f t="shared" si="46"/>
        <v>21700000</v>
      </c>
      <c r="N110" s="90">
        <f t="shared" si="46"/>
        <v>21700000</v>
      </c>
      <c r="O110" s="90">
        <f t="shared" si="46"/>
        <v>21700000</v>
      </c>
      <c r="P110" s="90">
        <f t="shared" si="46"/>
        <v>21700000</v>
      </c>
      <c r="Q110" s="90">
        <f t="shared" si="46"/>
        <v>21700000</v>
      </c>
      <c r="R110" s="90">
        <f t="shared" si="46"/>
        <v>21700000</v>
      </c>
      <c r="S110" s="90">
        <f t="shared" si="46"/>
        <v>21700000</v>
      </c>
      <c r="T110" s="90">
        <f t="shared" si="46"/>
        <v>21700000</v>
      </c>
      <c r="U110" s="90">
        <f t="shared" si="46"/>
        <v>21700000</v>
      </c>
      <c r="V110" s="90">
        <f t="shared" si="46"/>
        <v>21700000</v>
      </c>
      <c r="W110" s="90">
        <f t="shared" si="46"/>
        <v>21700000</v>
      </c>
      <c r="X110" s="90">
        <f t="shared" si="46"/>
        <v>21700000</v>
      </c>
      <c r="Y110" s="90">
        <f t="shared" si="46"/>
        <v>21700000</v>
      </c>
      <c r="Z110" s="90">
        <f t="shared" si="46"/>
        <v>21700000</v>
      </c>
      <c r="AA110" s="90">
        <f t="shared" si="46"/>
        <v>21700000</v>
      </c>
      <c r="AB110" s="90">
        <f t="shared" si="46"/>
        <v>0</v>
      </c>
      <c r="AC110" s="90">
        <f t="shared" si="46"/>
        <v>0</v>
      </c>
      <c r="AD110" s="90">
        <f t="shared" si="46"/>
        <v>0</v>
      </c>
      <c r="AE110" s="90">
        <f t="shared" si="46"/>
        <v>0</v>
      </c>
      <c r="AF110" s="90">
        <f t="shared" si="46"/>
        <v>0</v>
      </c>
      <c r="AG110" s="90">
        <f t="shared" si="46"/>
        <v>0</v>
      </c>
      <c r="AH110" s="90">
        <f t="shared" si="46"/>
        <v>0</v>
      </c>
      <c r="AI110" s="90">
        <f t="shared" si="46"/>
        <v>0</v>
      </c>
      <c r="AJ110" s="90">
        <f t="shared" si="46"/>
        <v>0</v>
      </c>
      <c r="AK110" s="90">
        <f t="shared" si="46"/>
        <v>0</v>
      </c>
      <c r="AL110" s="90">
        <f t="shared" ref="AL110:BO110" si="47">AL27</f>
        <v>0</v>
      </c>
      <c r="AM110" s="90">
        <f t="shared" si="47"/>
        <v>0</v>
      </c>
      <c r="AN110" s="90">
        <f t="shared" si="47"/>
        <v>0</v>
      </c>
      <c r="AO110" s="90">
        <f t="shared" si="47"/>
        <v>0</v>
      </c>
      <c r="AP110" s="90">
        <f t="shared" si="47"/>
        <v>0</v>
      </c>
      <c r="AQ110" s="90">
        <f t="shared" si="47"/>
        <v>0</v>
      </c>
      <c r="AR110" s="90">
        <f t="shared" si="47"/>
        <v>0</v>
      </c>
      <c r="AS110" s="90">
        <f t="shared" si="47"/>
        <v>0</v>
      </c>
      <c r="AT110" s="90">
        <f t="shared" si="47"/>
        <v>0</v>
      </c>
      <c r="AU110" s="90">
        <f t="shared" si="47"/>
        <v>0</v>
      </c>
      <c r="AV110" s="90">
        <f t="shared" si="47"/>
        <v>0</v>
      </c>
      <c r="AW110" s="90">
        <f t="shared" si="47"/>
        <v>0</v>
      </c>
      <c r="AX110" s="90">
        <f t="shared" si="47"/>
        <v>0</v>
      </c>
      <c r="AY110" s="90">
        <f t="shared" si="47"/>
        <v>0</v>
      </c>
      <c r="AZ110" s="90">
        <f t="shared" si="47"/>
        <v>0</v>
      </c>
      <c r="BA110" s="90">
        <f t="shared" si="47"/>
        <v>0</v>
      </c>
      <c r="BB110" s="90">
        <f t="shared" si="47"/>
        <v>0</v>
      </c>
      <c r="BC110" s="90">
        <f t="shared" si="47"/>
        <v>0</v>
      </c>
      <c r="BD110" s="90">
        <f t="shared" si="47"/>
        <v>0</v>
      </c>
      <c r="BE110" s="90">
        <f t="shared" si="47"/>
        <v>0</v>
      </c>
      <c r="BF110" s="90">
        <f t="shared" si="47"/>
        <v>0</v>
      </c>
      <c r="BG110" s="90">
        <f t="shared" si="47"/>
        <v>0</v>
      </c>
      <c r="BH110" s="90">
        <f t="shared" si="47"/>
        <v>0</v>
      </c>
      <c r="BI110" s="90">
        <f t="shared" si="47"/>
        <v>0</v>
      </c>
      <c r="BJ110" s="90">
        <f t="shared" si="47"/>
        <v>0</v>
      </c>
      <c r="BK110" s="90">
        <f t="shared" si="47"/>
        <v>0</v>
      </c>
      <c r="BL110" s="90">
        <f t="shared" si="47"/>
        <v>0</v>
      </c>
      <c r="BM110" s="90">
        <f t="shared" si="47"/>
        <v>0</v>
      </c>
      <c r="BN110" s="90">
        <f t="shared" si="47"/>
        <v>0</v>
      </c>
      <c r="BO110" s="90">
        <f t="shared" si="47"/>
        <v>0</v>
      </c>
    </row>
    <row r="111" spans="1:67">
      <c r="A111" s="11"/>
      <c r="B111" s="11" t="s">
        <v>315</v>
      </c>
      <c r="C111" s="11"/>
      <c r="D111" s="11"/>
      <c r="E111" s="33"/>
      <c r="F111" s="90">
        <f t="shared" ref="F111:AK111" si="48">F45</f>
        <v>272700000</v>
      </c>
      <c r="G111" s="90">
        <f t="shared" si="48"/>
        <v>0</v>
      </c>
      <c r="H111" s="90">
        <f t="shared" si="48"/>
        <v>0</v>
      </c>
      <c r="I111" s="90">
        <f t="shared" si="48"/>
        <v>0</v>
      </c>
      <c r="J111" s="90">
        <f t="shared" si="48"/>
        <v>0</v>
      </c>
      <c r="K111" s="90">
        <f t="shared" si="48"/>
        <v>0</v>
      </c>
      <c r="L111" s="90">
        <f t="shared" si="48"/>
        <v>0</v>
      </c>
      <c r="M111" s="90">
        <f t="shared" si="48"/>
        <v>0</v>
      </c>
      <c r="N111" s="90">
        <f t="shared" si="48"/>
        <v>0</v>
      </c>
      <c r="O111" s="90">
        <f t="shared" si="48"/>
        <v>0</v>
      </c>
      <c r="P111" s="90">
        <f t="shared" si="48"/>
        <v>22724999.999999996</v>
      </c>
      <c r="Q111" s="90">
        <f t="shared" si="48"/>
        <v>22724999.999999996</v>
      </c>
      <c r="R111" s="90">
        <f t="shared" si="48"/>
        <v>22724999.999999996</v>
      </c>
      <c r="S111" s="90">
        <f t="shared" si="48"/>
        <v>22724999.999999996</v>
      </c>
      <c r="T111" s="90">
        <f t="shared" si="48"/>
        <v>22724999.999999996</v>
      </c>
      <c r="U111" s="90">
        <f t="shared" si="48"/>
        <v>22724999.999999996</v>
      </c>
      <c r="V111" s="90">
        <f t="shared" si="48"/>
        <v>22724999.999999996</v>
      </c>
      <c r="W111" s="90">
        <f t="shared" si="48"/>
        <v>22724999.999999996</v>
      </c>
      <c r="X111" s="90">
        <f t="shared" si="48"/>
        <v>22724999.999999996</v>
      </c>
      <c r="Y111" s="90">
        <f t="shared" si="48"/>
        <v>22724999.999999996</v>
      </c>
      <c r="Z111" s="90">
        <f t="shared" si="48"/>
        <v>22724999.999999996</v>
      </c>
      <c r="AA111" s="90">
        <f t="shared" si="48"/>
        <v>22724999.999999996</v>
      </c>
      <c r="AB111" s="90">
        <f t="shared" si="48"/>
        <v>0</v>
      </c>
      <c r="AC111" s="90">
        <f t="shared" si="48"/>
        <v>0</v>
      </c>
      <c r="AD111" s="90">
        <f t="shared" si="48"/>
        <v>0</v>
      </c>
      <c r="AE111" s="90">
        <f t="shared" si="48"/>
        <v>0</v>
      </c>
      <c r="AF111" s="90">
        <f t="shared" si="48"/>
        <v>0</v>
      </c>
      <c r="AG111" s="90">
        <f t="shared" si="48"/>
        <v>0</v>
      </c>
      <c r="AH111" s="90">
        <f t="shared" si="48"/>
        <v>0</v>
      </c>
      <c r="AI111" s="90">
        <f t="shared" si="48"/>
        <v>0</v>
      </c>
      <c r="AJ111" s="90">
        <f t="shared" si="48"/>
        <v>0</v>
      </c>
      <c r="AK111" s="90">
        <f t="shared" si="48"/>
        <v>0</v>
      </c>
      <c r="AL111" s="90">
        <f t="shared" ref="AL111:BO111" si="49">AL45</f>
        <v>0</v>
      </c>
      <c r="AM111" s="90">
        <f t="shared" si="49"/>
        <v>0</v>
      </c>
      <c r="AN111" s="90">
        <f t="shared" si="49"/>
        <v>0</v>
      </c>
      <c r="AO111" s="90">
        <f t="shared" si="49"/>
        <v>0</v>
      </c>
      <c r="AP111" s="90">
        <f t="shared" si="49"/>
        <v>0</v>
      </c>
      <c r="AQ111" s="90">
        <f t="shared" si="49"/>
        <v>0</v>
      </c>
      <c r="AR111" s="90">
        <f t="shared" si="49"/>
        <v>0</v>
      </c>
      <c r="AS111" s="90">
        <f t="shared" si="49"/>
        <v>0</v>
      </c>
      <c r="AT111" s="90">
        <f t="shared" si="49"/>
        <v>0</v>
      </c>
      <c r="AU111" s="90">
        <f t="shared" si="49"/>
        <v>0</v>
      </c>
      <c r="AV111" s="90">
        <f t="shared" si="49"/>
        <v>0</v>
      </c>
      <c r="AW111" s="90">
        <f t="shared" si="49"/>
        <v>0</v>
      </c>
      <c r="AX111" s="90">
        <f t="shared" si="49"/>
        <v>0</v>
      </c>
      <c r="AY111" s="90">
        <f t="shared" si="49"/>
        <v>0</v>
      </c>
      <c r="AZ111" s="90">
        <f t="shared" si="49"/>
        <v>0</v>
      </c>
      <c r="BA111" s="90">
        <f t="shared" si="49"/>
        <v>0</v>
      </c>
      <c r="BB111" s="90">
        <f t="shared" si="49"/>
        <v>0</v>
      </c>
      <c r="BC111" s="90">
        <f t="shared" si="49"/>
        <v>0</v>
      </c>
      <c r="BD111" s="90">
        <f t="shared" si="49"/>
        <v>0</v>
      </c>
      <c r="BE111" s="90">
        <f t="shared" si="49"/>
        <v>0</v>
      </c>
      <c r="BF111" s="90">
        <f t="shared" si="49"/>
        <v>0</v>
      </c>
      <c r="BG111" s="90">
        <f t="shared" si="49"/>
        <v>0</v>
      </c>
      <c r="BH111" s="90">
        <f t="shared" si="49"/>
        <v>0</v>
      </c>
      <c r="BI111" s="90">
        <f t="shared" si="49"/>
        <v>0</v>
      </c>
      <c r="BJ111" s="90">
        <f t="shared" si="49"/>
        <v>0</v>
      </c>
      <c r="BK111" s="90">
        <f t="shared" si="49"/>
        <v>0</v>
      </c>
      <c r="BL111" s="90">
        <f t="shared" si="49"/>
        <v>0</v>
      </c>
      <c r="BM111" s="90">
        <f t="shared" si="49"/>
        <v>0</v>
      </c>
      <c r="BN111" s="90">
        <f t="shared" si="49"/>
        <v>0</v>
      </c>
      <c r="BO111" s="90">
        <f t="shared" si="49"/>
        <v>0</v>
      </c>
    </row>
    <row r="112" spans="1:67">
      <c r="A112" s="11"/>
      <c r="B112" s="11" t="s">
        <v>316</v>
      </c>
      <c r="C112" s="11"/>
      <c r="D112" s="11"/>
      <c r="E112" s="33"/>
      <c r="F112" s="90">
        <f t="shared" ref="F112:AK112" si="50">F58</f>
        <v>238000000</v>
      </c>
      <c r="G112" s="90">
        <f t="shared" si="50"/>
        <v>13600000</v>
      </c>
      <c r="H112" s="90">
        <f t="shared" si="50"/>
        <v>13600000</v>
      </c>
      <c r="I112" s="90">
        <f t="shared" si="50"/>
        <v>13600000</v>
      </c>
      <c r="J112" s="90">
        <f t="shared" si="50"/>
        <v>32300000</v>
      </c>
      <c r="K112" s="90">
        <f t="shared" si="50"/>
        <v>14700000</v>
      </c>
      <c r="L112" s="90">
        <f t="shared" si="50"/>
        <v>14700000</v>
      </c>
      <c r="M112" s="90">
        <f t="shared" si="50"/>
        <v>14700000</v>
      </c>
      <c r="N112" s="90">
        <f t="shared" si="50"/>
        <v>14700000</v>
      </c>
      <c r="O112" s="90">
        <f t="shared" si="50"/>
        <v>14700000</v>
      </c>
      <c r="P112" s="90">
        <f t="shared" si="50"/>
        <v>7616666.666666667</v>
      </c>
      <c r="Q112" s="90">
        <f t="shared" si="50"/>
        <v>7616666.666666667</v>
      </c>
      <c r="R112" s="90">
        <f t="shared" si="50"/>
        <v>7616666.666666667</v>
      </c>
      <c r="S112" s="90">
        <f t="shared" si="50"/>
        <v>7616666.666666667</v>
      </c>
      <c r="T112" s="90">
        <f t="shared" si="50"/>
        <v>7616666.666666667</v>
      </c>
      <c r="U112" s="90">
        <f t="shared" si="50"/>
        <v>7616666.666666667</v>
      </c>
      <c r="V112" s="90">
        <f t="shared" si="50"/>
        <v>7616666.666666667</v>
      </c>
      <c r="W112" s="90">
        <f t="shared" si="50"/>
        <v>7616666.666666667</v>
      </c>
      <c r="X112" s="90">
        <f t="shared" si="50"/>
        <v>7616666.666666667</v>
      </c>
      <c r="Y112" s="90">
        <f t="shared" si="50"/>
        <v>7616666.666666667</v>
      </c>
      <c r="Z112" s="90">
        <f t="shared" si="50"/>
        <v>7616666.666666667</v>
      </c>
      <c r="AA112" s="90">
        <f t="shared" si="50"/>
        <v>7616666.666666667</v>
      </c>
      <c r="AB112" s="90">
        <f t="shared" si="50"/>
        <v>0</v>
      </c>
      <c r="AC112" s="90">
        <f t="shared" si="50"/>
        <v>0</v>
      </c>
      <c r="AD112" s="90">
        <f t="shared" si="50"/>
        <v>0</v>
      </c>
      <c r="AE112" s="90">
        <f t="shared" si="50"/>
        <v>0</v>
      </c>
      <c r="AF112" s="90">
        <f t="shared" si="50"/>
        <v>0</v>
      </c>
      <c r="AG112" s="90">
        <f t="shared" si="50"/>
        <v>0</v>
      </c>
      <c r="AH112" s="90">
        <f t="shared" si="50"/>
        <v>0</v>
      </c>
      <c r="AI112" s="90">
        <f t="shared" si="50"/>
        <v>0</v>
      </c>
      <c r="AJ112" s="90">
        <f t="shared" si="50"/>
        <v>0</v>
      </c>
      <c r="AK112" s="90">
        <f t="shared" si="50"/>
        <v>0</v>
      </c>
      <c r="AL112" s="90">
        <f t="shared" ref="AL112:BO112" si="51">AL58</f>
        <v>0</v>
      </c>
      <c r="AM112" s="90">
        <f t="shared" si="51"/>
        <v>0</v>
      </c>
      <c r="AN112" s="90">
        <f t="shared" si="51"/>
        <v>0</v>
      </c>
      <c r="AO112" s="90">
        <f t="shared" si="51"/>
        <v>0</v>
      </c>
      <c r="AP112" s="90">
        <f t="shared" si="51"/>
        <v>0</v>
      </c>
      <c r="AQ112" s="90">
        <f t="shared" si="51"/>
        <v>0</v>
      </c>
      <c r="AR112" s="90">
        <f t="shared" si="51"/>
        <v>0</v>
      </c>
      <c r="AS112" s="90">
        <f t="shared" si="51"/>
        <v>0</v>
      </c>
      <c r="AT112" s="90">
        <f t="shared" si="51"/>
        <v>0</v>
      </c>
      <c r="AU112" s="90">
        <f t="shared" si="51"/>
        <v>0</v>
      </c>
      <c r="AV112" s="90">
        <f t="shared" si="51"/>
        <v>0</v>
      </c>
      <c r="AW112" s="90">
        <f t="shared" si="51"/>
        <v>0</v>
      </c>
      <c r="AX112" s="90">
        <f t="shared" si="51"/>
        <v>0</v>
      </c>
      <c r="AY112" s="90">
        <f t="shared" si="51"/>
        <v>0</v>
      </c>
      <c r="AZ112" s="90">
        <f t="shared" si="51"/>
        <v>0</v>
      </c>
      <c r="BA112" s="90">
        <f t="shared" si="51"/>
        <v>0</v>
      </c>
      <c r="BB112" s="90">
        <f t="shared" si="51"/>
        <v>0</v>
      </c>
      <c r="BC112" s="90">
        <f t="shared" si="51"/>
        <v>0</v>
      </c>
      <c r="BD112" s="90">
        <f t="shared" si="51"/>
        <v>0</v>
      </c>
      <c r="BE112" s="90">
        <f t="shared" si="51"/>
        <v>0</v>
      </c>
      <c r="BF112" s="90">
        <f t="shared" si="51"/>
        <v>0</v>
      </c>
      <c r="BG112" s="90">
        <f t="shared" si="51"/>
        <v>0</v>
      </c>
      <c r="BH112" s="90">
        <f t="shared" si="51"/>
        <v>0</v>
      </c>
      <c r="BI112" s="90">
        <f t="shared" si="51"/>
        <v>0</v>
      </c>
      <c r="BJ112" s="90">
        <f t="shared" si="51"/>
        <v>0</v>
      </c>
      <c r="BK112" s="90">
        <f t="shared" si="51"/>
        <v>0</v>
      </c>
      <c r="BL112" s="90">
        <f t="shared" si="51"/>
        <v>0</v>
      </c>
      <c r="BM112" s="90">
        <f t="shared" si="51"/>
        <v>0</v>
      </c>
      <c r="BN112" s="90">
        <f t="shared" si="51"/>
        <v>0</v>
      </c>
      <c r="BO112" s="90">
        <f t="shared" si="51"/>
        <v>0</v>
      </c>
    </row>
    <row r="113" spans="1:67">
      <c r="A113" s="11"/>
      <c r="B113" s="11" t="s">
        <v>194</v>
      </c>
      <c r="C113" s="11"/>
      <c r="D113" s="11"/>
      <c r="E113" s="33"/>
      <c r="F113" s="90">
        <f t="shared" ref="F113:AK113" si="52">F69</f>
        <v>39000000</v>
      </c>
      <c r="G113" s="90">
        <f t="shared" si="52"/>
        <v>0</v>
      </c>
      <c r="H113" s="90">
        <f t="shared" si="52"/>
        <v>0</v>
      </c>
      <c r="I113" s="90">
        <f t="shared" si="52"/>
        <v>0</v>
      </c>
      <c r="J113" s="90">
        <f t="shared" si="52"/>
        <v>11700000</v>
      </c>
      <c r="K113" s="90">
        <f t="shared" si="52"/>
        <v>1605882.3529411764</v>
      </c>
      <c r="L113" s="90">
        <f t="shared" si="52"/>
        <v>1605882.3529411764</v>
      </c>
      <c r="M113" s="90">
        <f t="shared" si="52"/>
        <v>1605882.3529411764</v>
      </c>
      <c r="N113" s="90">
        <f t="shared" si="52"/>
        <v>1605882.3529411764</v>
      </c>
      <c r="O113" s="90">
        <f t="shared" si="52"/>
        <v>1605882.3529411764</v>
      </c>
      <c r="P113" s="90">
        <f t="shared" si="52"/>
        <v>1605882.3529411764</v>
      </c>
      <c r="Q113" s="90">
        <f t="shared" si="52"/>
        <v>1605882.3529411764</v>
      </c>
      <c r="R113" s="90">
        <f t="shared" si="52"/>
        <v>1605882.3529411764</v>
      </c>
      <c r="S113" s="90">
        <f t="shared" si="52"/>
        <v>1605882.3529411764</v>
      </c>
      <c r="T113" s="90">
        <f t="shared" si="52"/>
        <v>1605882.3529411764</v>
      </c>
      <c r="U113" s="90">
        <f t="shared" si="52"/>
        <v>1605882.3529411764</v>
      </c>
      <c r="V113" s="90">
        <f t="shared" si="52"/>
        <v>1605882.3529411764</v>
      </c>
      <c r="W113" s="90">
        <f t="shared" si="52"/>
        <v>1605882.3529411764</v>
      </c>
      <c r="X113" s="90">
        <f t="shared" si="52"/>
        <v>1605882.3529411764</v>
      </c>
      <c r="Y113" s="90">
        <f t="shared" si="52"/>
        <v>1605882.3529411764</v>
      </c>
      <c r="Z113" s="90">
        <f t="shared" si="52"/>
        <v>1605882.3529411764</v>
      </c>
      <c r="AA113" s="90">
        <f t="shared" si="52"/>
        <v>1605882.3529411764</v>
      </c>
      <c r="AB113" s="90">
        <f t="shared" si="52"/>
        <v>0</v>
      </c>
      <c r="AC113" s="90">
        <f t="shared" si="52"/>
        <v>0</v>
      </c>
      <c r="AD113" s="90">
        <f t="shared" si="52"/>
        <v>0</v>
      </c>
      <c r="AE113" s="90">
        <f t="shared" si="52"/>
        <v>0</v>
      </c>
      <c r="AF113" s="90">
        <f t="shared" si="52"/>
        <v>0</v>
      </c>
      <c r="AG113" s="90">
        <f t="shared" si="52"/>
        <v>0</v>
      </c>
      <c r="AH113" s="90">
        <f t="shared" si="52"/>
        <v>0</v>
      </c>
      <c r="AI113" s="90">
        <f t="shared" si="52"/>
        <v>0</v>
      </c>
      <c r="AJ113" s="90">
        <f t="shared" si="52"/>
        <v>0</v>
      </c>
      <c r="AK113" s="90">
        <f t="shared" si="52"/>
        <v>0</v>
      </c>
      <c r="AL113" s="90">
        <f t="shared" ref="AL113:BO113" si="53">AL69</f>
        <v>0</v>
      </c>
      <c r="AM113" s="90">
        <f t="shared" si="53"/>
        <v>0</v>
      </c>
      <c r="AN113" s="90">
        <f t="shared" si="53"/>
        <v>0</v>
      </c>
      <c r="AO113" s="90">
        <f t="shared" si="53"/>
        <v>0</v>
      </c>
      <c r="AP113" s="90">
        <f t="shared" si="53"/>
        <v>0</v>
      </c>
      <c r="AQ113" s="90">
        <f t="shared" si="53"/>
        <v>0</v>
      </c>
      <c r="AR113" s="90">
        <f t="shared" si="53"/>
        <v>0</v>
      </c>
      <c r="AS113" s="90">
        <f t="shared" si="53"/>
        <v>0</v>
      </c>
      <c r="AT113" s="90">
        <f t="shared" si="53"/>
        <v>0</v>
      </c>
      <c r="AU113" s="90">
        <f t="shared" si="53"/>
        <v>0</v>
      </c>
      <c r="AV113" s="90">
        <f t="shared" si="53"/>
        <v>0</v>
      </c>
      <c r="AW113" s="90">
        <f t="shared" si="53"/>
        <v>0</v>
      </c>
      <c r="AX113" s="90">
        <f t="shared" si="53"/>
        <v>0</v>
      </c>
      <c r="AY113" s="90">
        <f t="shared" si="53"/>
        <v>0</v>
      </c>
      <c r="AZ113" s="90">
        <f t="shared" si="53"/>
        <v>0</v>
      </c>
      <c r="BA113" s="90">
        <f t="shared" si="53"/>
        <v>0</v>
      </c>
      <c r="BB113" s="90">
        <f t="shared" si="53"/>
        <v>0</v>
      </c>
      <c r="BC113" s="90">
        <f t="shared" si="53"/>
        <v>0</v>
      </c>
      <c r="BD113" s="90">
        <f t="shared" si="53"/>
        <v>0</v>
      </c>
      <c r="BE113" s="90">
        <f t="shared" si="53"/>
        <v>0</v>
      </c>
      <c r="BF113" s="90">
        <f t="shared" si="53"/>
        <v>0</v>
      </c>
      <c r="BG113" s="90">
        <f t="shared" si="53"/>
        <v>0</v>
      </c>
      <c r="BH113" s="90">
        <f t="shared" si="53"/>
        <v>0</v>
      </c>
      <c r="BI113" s="90">
        <f t="shared" si="53"/>
        <v>0</v>
      </c>
      <c r="BJ113" s="90">
        <f t="shared" si="53"/>
        <v>0</v>
      </c>
      <c r="BK113" s="90">
        <f t="shared" si="53"/>
        <v>0</v>
      </c>
      <c r="BL113" s="90">
        <f t="shared" si="53"/>
        <v>0</v>
      </c>
      <c r="BM113" s="90">
        <f t="shared" si="53"/>
        <v>0</v>
      </c>
      <c r="BN113" s="90">
        <f t="shared" si="53"/>
        <v>0</v>
      </c>
      <c r="BO113" s="90">
        <f t="shared" si="53"/>
        <v>0</v>
      </c>
    </row>
    <row r="114" spans="1:67">
      <c r="A114" s="11"/>
      <c r="B114" s="11" t="s">
        <v>195</v>
      </c>
      <c r="C114" s="11"/>
      <c r="D114" s="11"/>
      <c r="E114" s="33"/>
      <c r="F114" s="90">
        <f t="shared" ref="F114:AK114" si="54">F82</f>
        <v>159000000</v>
      </c>
      <c r="G114" s="90">
        <f t="shared" si="54"/>
        <v>0</v>
      </c>
      <c r="H114" s="90">
        <f t="shared" si="54"/>
        <v>0</v>
      </c>
      <c r="I114" s="90">
        <f t="shared" si="54"/>
        <v>0</v>
      </c>
      <c r="J114" s="90">
        <f t="shared" si="54"/>
        <v>47700000</v>
      </c>
      <c r="K114" s="90">
        <f t="shared" si="54"/>
        <v>6547058.823529412</v>
      </c>
      <c r="L114" s="90">
        <f t="shared" si="54"/>
        <v>6547058.823529412</v>
      </c>
      <c r="M114" s="90">
        <f t="shared" si="54"/>
        <v>6547058.823529412</v>
      </c>
      <c r="N114" s="90">
        <f t="shared" si="54"/>
        <v>6547058.823529412</v>
      </c>
      <c r="O114" s="90">
        <f t="shared" si="54"/>
        <v>6547058.823529412</v>
      </c>
      <c r="P114" s="90">
        <f t="shared" si="54"/>
        <v>6547058.823529412</v>
      </c>
      <c r="Q114" s="90">
        <f t="shared" si="54"/>
        <v>6547058.823529412</v>
      </c>
      <c r="R114" s="90">
        <f t="shared" si="54"/>
        <v>6547058.823529412</v>
      </c>
      <c r="S114" s="90">
        <f t="shared" si="54"/>
        <v>6547058.823529412</v>
      </c>
      <c r="T114" s="90">
        <f t="shared" si="54"/>
        <v>6547058.823529412</v>
      </c>
      <c r="U114" s="90">
        <f t="shared" si="54"/>
        <v>6547058.823529412</v>
      </c>
      <c r="V114" s="90">
        <f t="shared" si="54"/>
        <v>6547058.823529412</v>
      </c>
      <c r="W114" s="90">
        <f t="shared" si="54"/>
        <v>6547058.823529412</v>
      </c>
      <c r="X114" s="90">
        <f t="shared" si="54"/>
        <v>6547058.823529412</v>
      </c>
      <c r="Y114" s="90">
        <f t="shared" si="54"/>
        <v>6547058.823529412</v>
      </c>
      <c r="Z114" s="90">
        <f t="shared" si="54"/>
        <v>6547058.823529412</v>
      </c>
      <c r="AA114" s="90">
        <f t="shared" si="54"/>
        <v>6547058.823529412</v>
      </c>
      <c r="AB114" s="90">
        <f t="shared" si="54"/>
        <v>0</v>
      </c>
      <c r="AC114" s="90">
        <f t="shared" si="54"/>
        <v>0</v>
      </c>
      <c r="AD114" s="90">
        <f t="shared" si="54"/>
        <v>0</v>
      </c>
      <c r="AE114" s="90">
        <f t="shared" si="54"/>
        <v>0</v>
      </c>
      <c r="AF114" s="90">
        <f t="shared" si="54"/>
        <v>0</v>
      </c>
      <c r="AG114" s="90">
        <f t="shared" si="54"/>
        <v>0</v>
      </c>
      <c r="AH114" s="90">
        <f t="shared" si="54"/>
        <v>0</v>
      </c>
      <c r="AI114" s="90">
        <f t="shared" si="54"/>
        <v>0</v>
      </c>
      <c r="AJ114" s="90">
        <f t="shared" si="54"/>
        <v>0</v>
      </c>
      <c r="AK114" s="90">
        <f t="shared" si="54"/>
        <v>0</v>
      </c>
      <c r="AL114" s="90">
        <f t="shared" ref="AL114:BO114" si="55">AL82</f>
        <v>0</v>
      </c>
      <c r="AM114" s="90">
        <f t="shared" si="55"/>
        <v>0</v>
      </c>
      <c r="AN114" s="90">
        <f t="shared" si="55"/>
        <v>0</v>
      </c>
      <c r="AO114" s="90">
        <f t="shared" si="55"/>
        <v>0</v>
      </c>
      <c r="AP114" s="90">
        <f t="shared" si="55"/>
        <v>0</v>
      </c>
      <c r="AQ114" s="90">
        <f t="shared" si="55"/>
        <v>0</v>
      </c>
      <c r="AR114" s="90">
        <f t="shared" si="55"/>
        <v>0</v>
      </c>
      <c r="AS114" s="90">
        <f t="shared" si="55"/>
        <v>0</v>
      </c>
      <c r="AT114" s="90">
        <f t="shared" si="55"/>
        <v>0</v>
      </c>
      <c r="AU114" s="90">
        <f t="shared" si="55"/>
        <v>0</v>
      </c>
      <c r="AV114" s="90">
        <f t="shared" si="55"/>
        <v>0</v>
      </c>
      <c r="AW114" s="90">
        <f t="shared" si="55"/>
        <v>0</v>
      </c>
      <c r="AX114" s="90">
        <f t="shared" si="55"/>
        <v>0</v>
      </c>
      <c r="AY114" s="90">
        <f t="shared" si="55"/>
        <v>0</v>
      </c>
      <c r="AZ114" s="90">
        <f t="shared" si="55"/>
        <v>0</v>
      </c>
      <c r="BA114" s="90">
        <f t="shared" si="55"/>
        <v>0</v>
      </c>
      <c r="BB114" s="90">
        <f t="shared" si="55"/>
        <v>0</v>
      </c>
      <c r="BC114" s="90">
        <f t="shared" si="55"/>
        <v>0</v>
      </c>
      <c r="BD114" s="90">
        <f t="shared" si="55"/>
        <v>0</v>
      </c>
      <c r="BE114" s="90">
        <f t="shared" si="55"/>
        <v>0</v>
      </c>
      <c r="BF114" s="90">
        <f t="shared" si="55"/>
        <v>0</v>
      </c>
      <c r="BG114" s="90">
        <f t="shared" si="55"/>
        <v>0</v>
      </c>
      <c r="BH114" s="90">
        <f t="shared" si="55"/>
        <v>0</v>
      </c>
      <c r="BI114" s="90">
        <f t="shared" si="55"/>
        <v>0</v>
      </c>
      <c r="BJ114" s="90">
        <f t="shared" si="55"/>
        <v>0</v>
      </c>
      <c r="BK114" s="90">
        <f t="shared" si="55"/>
        <v>0</v>
      </c>
      <c r="BL114" s="90">
        <f t="shared" si="55"/>
        <v>0</v>
      </c>
      <c r="BM114" s="90">
        <f t="shared" si="55"/>
        <v>0</v>
      </c>
      <c r="BN114" s="90">
        <f t="shared" si="55"/>
        <v>0</v>
      </c>
      <c r="BO114" s="90">
        <f t="shared" si="55"/>
        <v>0</v>
      </c>
    </row>
    <row r="115" spans="1:67">
      <c r="A115" s="11"/>
      <c r="B115" s="11" t="s">
        <v>317</v>
      </c>
      <c r="C115" s="11"/>
      <c r="D115" s="11"/>
      <c r="E115" s="33"/>
      <c r="F115" s="90">
        <f t="shared" ref="F115:AK115" si="56">F102</f>
        <v>170000000</v>
      </c>
      <c r="G115" s="90">
        <f t="shared" si="56"/>
        <v>9807000</v>
      </c>
      <c r="H115" s="90">
        <f t="shared" si="56"/>
        <v>9807000</v>
      </c>
      <c r="I115" s="90">
        <f t="shared" si="56"/>
        <v>9807000</v>
      </c>
      <c r="J115" s="90">
        <f t="shared" si="56"/>
        <v>19737000</v>
      </c>
      <c r="K115" s="90">
        <f t="shared" si="56"/>
        <v>10160529.411764706</v>
      </c>
      <c r="L115" s="90">
        <f t="shared" si="56"/>
        <v>10160529.411764706</v>
      </c>
      <c r="M115" s="90">
        <f t="shared" si="56"/>
        <v>10170529.411764706</v>
      </c>
      <c r="N115" s="90">
        <f t="shared" si="56"/>
        <v>10170529.411764706</v>
      </c>
      <c r="O115" s="90">
        <f t="shared" si="56"/>
        <v>10170529.411764706</v>
      </c>
      <c r="P115" s="90">
        <f t="shared" si="56"/>
        <v>5295529.4117647065</v>
      </c>
      <c r="Q115" s="90">
        <f t="shared" si="56"/>
        <v>5295529.4117647065</v>
      </c>
      <c r="R115" s="90">
        <f t="shared" si="56"/>
        <v>5295529.4117647065</v>
      </c>
      <c r="S115" s="90">
        <f t="shared" si="56"/>
        <v>5962196.0784313725</v>
      </c>
      <c r="T115" s="90">
        <f t="shared" si="56"/>
        <v>5962196.0784313725</v>
      </c>
      <c r="U115" s="90">
        <f t="shared" si="56"/>
        <v>5962196.0784313725</v>
      </c>
      <c r="V115" s="90">
        <f t="shared" si="56"/>
        <v>5962196.0784313725</v>
      </c>
      <c r="W115" s="90">
        <f t="shared" si="56"/>
        <v>5962196.0784313725</v>
      </c>
      <c r="X115" s="90">
        <f t="shared" si="56"/>
        <v>5962196.0784313725</v>
      </c>
      <c r="Y115" s="90">
        <f t="shared" si="56"/>
        <v>5962196.0784313725</v>
      </c>
      <c r="Z115" s="90">
        <f t="shared" si="56"/>
        <v>5962196.0784313725</v>
      </c>
      <c r="AA115" s="90">
        <f t="shared" si="56"/>
        <v>6425196.0784313725</v>
      </c>
      <c r="AB115" s="90">
        <f t="shared" si="56"/>
        <v>0</v>
      </c>
      <c r="AC115" s="90">
        <f t="shared" si="56"/>
        <v>0</v>
      </c>
      <c r="AD115" s="90">
        <f t="shared" si="56"/>
        <v>0</v>
      </c>
      <c r="AE115" s="90">
        <f t="shared" si="56"/>
        <v>0</v>
      </c>
      <c r="AF115" s="90">
        <f t="shared" si="56"/>
        <v>0</v>
      </c>
      <c r="AG115" s="90">
        <f t="shared" si="56"/>
        <v>0</v>
      </c>
      <c r="AH115" s="90">
        <f t="shared" si="56"/>
        <v>0</v>
      </c>
      <c r="AI115" s="90">
        <f t="shared" si="56"/>
        <v>0</v>
      </c>
      <c r="AJ115" s="90">
        <f t="shared" si="56"/>
        <v>0</v>
      </c>
      <c r="AK115" s="90">
        <f t="shared" si="56"/>
        <v>0</v>
      </c>
      <c r="AL115" s="90">
        <f t="shared" ref="AL115:BO115" si="57">AL102</f>
        <v>0</v>
      </c>
      <c r="AM115" s="90">
        <f t="shared" si="57"/>
        <v>0</v>
      </c>
      <c r="AN115" s="90">
        <f t="shared" si="57"/>
        <v>0</v>
      </c>
      <c r="AO115" s="90">
        <f t="shared" si="57"/>
        <v>0</v>
      </c>
      <c r="AP115" s="90">
        <f t="shared" si="57"/>
        <v>0</v>
      </c>
      <c r="AQ115" s="90">
        <f t="shared" si="57"/>
        <v>0</v>
      </c>
      <c r="AR115" s="90">
        <f t="shared" si="57"/>
        <v>0</v>
      </c>
      <c r="AS115" s="90">
        <f t="shared" si="57"/>
        <v>0</v>
      </c>
      <c r="AT115" s="90">
        <f t="shared" si="57"/>
        <v>0</v>
      </c>
      <c r="AU115" s="90">
        <f t="shared" si="57"/>
        <v>0</v>
      </c>
      <c r="AV115" s="90">
        <f t="shared" si="57"/>
        <v>0</v>
      </c>
      <c r="AW115" s="90">
        <f t="shared" si="57"/>
        <v>0</v>
      </c>
      <c r="AX115" s="90">
        <f t="shared" si="57"/>
        <v>0</v>
      </c>
      <c r="AY115" s="90">
        <f t="shared" si="57"/>
        <v>0</v>
      </c>
      <c r="AZ115" s="90">
        <f t="shared" si="57"/>
        <v>0</v>
      </c>
      <c r="BA115" s="90">
        <f t="shared" si="57"/>
        <v>0</v>
      </c>
      <c r="BB115" s="90">
        <f t="shared" si="57"/>
        <v>0</v>
      </c>
      <c r="BC115" s="90">
        <f t="shared" si="57"/>
        <v>0</v>
      </c>
      <c r="BD115" s="90">
        <f t="shared" si="57"/>
        <v>0</v>
      </c>
      <c r="BE115" s="90">
        <f t="shared" si="57"/>
        <v>0</v>
      </c>
      <c r="BF115" s="90">
        <f t="shared" si="57"/>
        <v>0</v>
      </c>
      <c r="BG115" s="90">
        <f t="shared" si="57"/>
        <v>0</v>
      </c>
      <c r="BH115" s="90">
        <f t="shared" si="57"/>
        <v>0</v>
      </c>
      <c r="BI115" s="90">
        <f t="shared" si="57"/>
        <v>0</v>
      </c>
      <c r="BJ115" s="90">
        <f t="shared" si="57"/>
        <v>0</v>
      </c>
      <c r="BK115" s="90">
        <f t="shared" si="57"/>
        <v>0</v>
      </c>
      <c r="BL115" s="90">
        <f t="shared" si="57"/>
        <v>0</v>
      </c>
      <c r="BM115" s="90">
        <f t="shared" si="57"/>
        <v>0</v>
      </c>
      <c r="BN115" s="90">
        <f t="shared" si="57"/>
        <v>0</v>
      </c>
      <c r="BO115" s="90">
        <f t="shared" si="57"/>
        <v>0</v>
      </c>
    </row>
    <row r="116" spans="1:67">
      <c r="A116" s="11"/>
      <c r="B116" s="11" t="s">
        <v>318</v>
      </c>
      <c r="C116" s="11"/>
      <c r="D116" s="11"/>
      <c r="E116" s="33"/>
      <c r="F116" s="90">
        <f>F105+F106+F107</f>
        <v>44000000</v>
      </c>
      <c r="G116" s="90">
        <f>G105+G106+G107</f>
        <v>0</v>
      </c>
      <c r="H116" s="90">
        <f t="shared" ref="H116:BO116" si="58">H105+H106+H107</f>
        <v>0</v>
      </c>
      <c r="I116" s="90">
        <f t="shared" si="58"/>
        <v>0</v>
      </c>
      <c r="J116" s="90">
        <f t="shared" si="58"/>
        <v>0</v>
      </c>
      <c r="K116" s="90">
        <f t="shared" si="58"/>
        <v>0</v>
      </c>
      <c r="L116" s="90">
        <f t="shared" si="58"/>
        <v>0</v>
      </c>
      <c r="M116" s="90">
        <f t="shared" si="58"/>
        <v>0</v>
      </c>
      <c r="N116" s="90">
        <f t="shared" si="58"/>
        <v>0</v>
      </c>
      <c r="O116" s="90">
        <f t="shared" si="58"/>
        <v>0</v>
      </c>
      <c r="P116" s="90">
        <f t="shared" si="58"/>
        <v>0</v>
      </c>
      <c r="Q116" s="90">
        <f t="shared" si="58"/>
        <v>21378354.166666668</v>
      </c>
      <c r="R116" s="90">
        <f t="shared" si="58"/>
        <v>633367.40042892098</v>
      </c>
      <c r="S116" s="90">
        <f t="shared" si="58"/>
        <v>991536.38397862983</v>
      </c>
      <c r="T116" s="90">
        <f t="shared" si="58"/>
        <v>1355256.5606336775</v>
      </c>
      <c r="U116" s="90">
        <f t="shared" si="58"/>
        <v>1720946.888245607</v>
      </c>
      <c r="V116" s="90">
        <f t="shared" si="58"/>
        <v>2088618.038465434</v>
      </c>
      <c r="W116" s="90">
        <f t="shared" si="58"/>
        <v>2458280.7407489517</v>
      </c>
      <c r="X116" s="90">
        <f t="shared" si="58"/>
        <v>2829945.782669839</v>
      </c>
      <c r="Y116" s="90">
        <f t="shared" si="58"/>
        <v>3203624.010234464</v>
      </c>
      <c r="Z116" s="90">
        <f t="shared" si="58"/>
        <v>3579326.3281983975</v>
      </c>
      <c r="AA116" s="90">
        <f t="shared" si="58"/>
        <v>3760743.6997294091</v>
      </c>
      <c r="AB116" s="90">
        <f t="shared" si="58"/>
        <v>0</v>
      </c>
      <c r="AC116" s="90">
        <f t="shared" si="58"/>
        <v>0</v>
      </c>
      <c r="AD116" s="90">
        <f t="shared" si="58"/>
        <v>0</v>
      </c>
      <c r="AE116" s="90">
        <f t="shared" si="58"/>
        <v>0</v>
      </c>
      <c r="AF116" s="90">
        <f t="shared" si="58"/>
        <v>0</v>
      </c>
      <c r="AG116" s="90">
        <f t="shared" si="58"/>
        <v>0</v>
      </c>
      <c r="AH116" s="90">
        <f t="shared" si="58"/>
        <v>0</v>
      </c>
      <c r="AI116" s="90">
        <f t="shared" si="58"/>
        <v>0</v>
      </c>
      <c r="AJ116" s="90">
        <f t="shared" si="58"/>
        <v>0</v>
      </c>
      <c r="AK116" s="90">
        <f t="shared" si="58"/>
        <v>0</v>
      </c>
      <c r="AL116" s="90">
        <f t="shared" si="58"/>
        <v>0</v>
      </c>
      <c r="AM116" s="90">
        <f t="shared" si="58"/>
        <v>0</v>
      </c>
      <c r="AN116" s="90">
        <f t="shared" si="58"/>
        <v>0</v>
      </c>
      <c r="AO116" s="90">
        <f t="shared" si="58"/>
        <v>0</v>
      </c>
      <c r="AP116" s="90">
        <f t="shared" si="58"/>
        <v>0</v>
      </c>
      <c r="AQ116" s="90">
        <f t="shared" si="58"/>
        <v>0</v>
      </c>
      <c r="AR116" s="90">
        <f t="shared" si="58"/>
        <v>0</v>
      </c>
      <c r="AS116" s="90">
        <f t="shared" si="58"/>
        <v>0</v>
      </c>
      <c r="AT116" s="90">
        <f t="shared" si="58"/>
        <v>0</v>
      </c>
      <c r="AU116" s="90">
        <f t="shared" si="58"/>
        <v>0</v>
      </c>
      <c r="AV116" s="90">
        <f t="shared" si="58"/>
        <v>0</v>
      </c>
      <c r="AW116" s="90">
        <f t="shared" si="58"/>
        <v>0</v>
      </c>
      <c r="AX116" s="90">
        <f t="shared" si="58"/>
        <v>0</v>
      </c>
      <c r="AY116" s="90">
        <f t="shared" si="58"/>
        <v>0</v>
      </c>
      <c r="AZ116" s="90">
        <f t="shared" si="58"/>
        <v>0</v>
      </c>
      <c r="BA116" s="90">
        <f t="shared" si="58"/>
        <v>0</v>
      </c>
      <c r="BB116" s="90">
        <f t="shared" si="58"/>
        <v>0</v>
      </c>
      <c r="BC116" s="90">
        <f t="shared" si="58"/>
        <v>0</v>
      </c>
      <c r="BD116" s="90">
        <f t="shared" si="58"/>
        <v>0</v>
      </c>
      <c r="BE116" s="90">
        <f t="shared" si="58"/>
        <v>0</v>
      </c>
      <c r="BF116" s="90">
        <f t="shared" si="58"/>
        <v>0</v>
      </c>
      <c r="BG116" s="90">
        <f t="shared" si="58"/>
        <v>0</v>
      </c>
      <c r="BH116" s="90">
        <f t="shared" si="58"/>
        <v>0</v>
      </c>
      <c r="BI116" s="90">
        <f t="shared" si="58"/>
        <v>0</v>
      </c>
      <c r="BJ116" s="90">
        <f t="shared" si="58"/>
        <v>0</v>
      </c>
      <c r="BK116" s="90">
        <f t="shared" si="58"/>
        <v>0</v>
      </c>
      <c r="BL116" s="90">
        <f t="shared" si="58"/>
        <v>0</v>
      </c>
      <c r="BM116" s="90">
        <f t="shared" si="58"/>
        <v>0</v>
      </c>
      <c r="BN116" s="90">
        <f t="shared" si="58"/>
        <v>0</v>
      </c>
      <c r="BO116" s="90">
        <f t="shared" si="58"/>
        <v>0</v>
      </c>
    </row>
    <row r="117" spans="1:67">
      <c r="A117" s="11"/>
      <c r="B117" s="22" t="s">
        <v>319</v>
      </c>
      <c r="C117" s="22"/>
      <c r="D117" s="11"/>
      <c r="E117" s="5"/>
      <c r="F117" s="89">
        <f>SUM(F110:F116)</f>
        <v>1449700000</v>
      </c>
      <c r="G117" s="89">
        <f>SUM(G110:G116)</f>
        <v>23407000</v>
      </c>
      <c r="H117" s="89">
        <f t="shared" ref="H117:BI117" si="59">SUM(H110:H116)</f>
        <v>23407000</v>
      </c>
      <c r="I117" s="89">
        <f t="shared" si="59"/>
        <v>23407000</v>
      </c>
      <c r="J117" s="89">
        <f t="shared" si="59"/>
        <v>269537000</v>
      </c>
      <c r="K117" s="89">
        <f t="shared" si="59"/>
        <v>54713470.588235296</v>
      </c>
      <c r="L117" s="89">
        <f t="shared" si="59"/>
        <v>54713470.588235296</v>
      </c>
      <c r="M117" s="89">
        <f t="shared" si="59"/>
        <v>54723470.588235296</v>
      </c>
      <c r="N117" s="89">
        <f t="shared" si="59"/>
        <v>54723470.588235296</v>
      </c>
      <c r="O117" s="89">
        <f t="shared" si="59"/>
        <v>54723470.588235296</v>
      </c>
      <c r="P117" s="89">
        <f t="shared" si="59"/>
        <v>65490137.25490196</v>
      </c>
      <c r="Q117" s="89">
        <f t="shared" si="59"/>
        <v>86868491.421568632</v>
      </c>
      <c r="R117" s="89">
        <f t="shared" si="59"/>
        <v>66123504.655330881</v>
      </c>
      <c r="S117" s="89">
        <f t="shared" si="59"/>
        <v>67148340.305547267</v>
      </c>
      <c r="T117" s="89">
        <f t="shared" si="59"/>
        <v>67512060.482202306</v>
      </c>
      <c r="U117" s="89">
        <f t="shared" si="59"/>
        <v>67877750.809814245</v>
      </c>
      <c r="V117" s="89">
        <f t="shared" si="59"/>
        <v>68245421.960034072</v>
      </c>
      <c r="W117" s="89">
        <f t="shared" si="59"/>
        <v>68615084.662317589</v>
      </c>
      <c r="X117" s="89">
        <f t="shared" si="59"/>
        <v>68986749.704238474</v>
      </c>
      <c r="Y117" s="89">
        <f t="shared" si="59"/>
        <v>69360427.931803092</v>
      </c>
      <c r="Z117" s="89">
        <f t="shared" si="59"/>
        <v>69736130.249767035</v>
      </c>
      <c r="AA117" s="89">
        <f t="shared" si="59"/>
        <v>70380547.621298045</v>
      </c>
      <c r="AB117" s="89">
        <f t="shared" si="59"/>
        <v>0</v>
      </c>
      <c r="AC117" s="89">
        <f t="shared" si="59"/>
        <v>0</v>
      </c>
      <c r="AD117" s="89">
        <f t="shared" si="59"/>
        <v>0</v>
      </c>
      <c r="AE117" s="89">
        <f t="shared" si="59"/>
        <v>0</v>
      </c>
      <c r="AF117" s="89">
        <f t="shared" si="59"/>
        <v>0</v>
      </c>
      <c r="AG117" s="89">
        <f t="shared" si="59"/>
        <v>0</v>
      </c>
      <c r="AH117" s="89">
        <f t="shared" si="59"/>
        <v>0</v>
      </c>
      <c r="AI117" s="89">
        <f t="shared" si="59"/>
        <v>0</v>
      </c>
      <c r="AJ117" s="89">
        <f t="shared" si="59"/>
        <v>0</v>
      </c>
      <c r="AK117" s="89">
        <f t="shared" si="59"/>
        <v>0</v>
      </c>
      <c r="AL117" s="89">
        <f t="shared" si="59"/>
        <v>0</v>
      </c>
      <c r="AM117" s="89">
        <f t="shared" si="59"/>
        <v>0</v>
      </c>
      <c r="AN117" s="89">
        <f t="shared" si="59"/>
        <v>0</v>
      </c>
      <c r="AO117" s="89">
        <f t="shared" si="59"/>
        <v>0</v>
      </c>
      <c r="AP117" s="89">
        <f t="shared" si="59"/>
        <v>0</v>
      </c>
      <c r="AQ117" s="89">
        <f t="shared" si="59"/>
        <v>0</v>
      </c>
      <c r="AR117" s="89">
        <f t="shared" si="59"/>
        <v>0</v>
      </c>
      <c r="AS117" s="89">
        <f t="shared" si="59"/>
        <v>0</v>
      </c>
      <c r="AT117" s="89">
        <f t="shared" si="59"/>
        <v>0</v>
      </c>
      <c r="AU117" s="89">
        <f t="shared" si="59"/>
        <v>0</v>
      </c>
      <c r="AV117" s="89">
        <f t="shared" si="59"/>
        <v>0</v>
      </c>
      <c r="AW117" s="89">
        <f t="shared" si="59"/>
        <v>0</v>
      </c>
      <c r="AX117" s="89">
        <f t="shared" si="59"/>
        <v>0</v>
      </c>
      <c r="AY117" s="89">
        <f t="shared" si="59"/>
        <v>0</v>
      </c>
      <c r="AZ117" s="89">
        <f t="shared" si="59"/>
        <v>0</v>
      </c>
      <c r="BA117" s="89">
        <f t="shared" si="59"/>
        <v>0</v>
      </c>
      <c r="BB117" s="89">
        <f t="shared" si="59"/>
        <v>0</v>
      </c>
      <c r="BC117" s="89">
        <f t="shared" si="59"/>
        <v>0</v>
      </c>
      <c r="BD117" s="89">
        <f t="shared" si="59"/>
        <v>0</v>
      </c>
      <c r="BE117" s="89">
        <f t="shared" si="59"/>
        <v>0</v>
      </c>
      <c r="BF117" s="89">
        <f t="shared" si="59"/>
        <v>0</v>
      </c>
      <c r="BG117" s="89">
        <f t="shared" si="59"/>
        <v>0</v>
      </c>
      <c r="BH117" s="89">
        <f t="shared" si="59"/>
        <v>0</v>
      </c>
      <c r="BI117" s="89">
        <f t="shared" si="59"/>
        <v>0</v>
      </c>
      <c r="BJ117" s="89">
        <f t="shared" ref="BJ117" si="60">SUM(BJ110:BJ116)</f>
        <v>0</v>
      </c>
      <c r="BK117" s="89">
        <f t="shared" ref="BK117" si="61">SUM(BK110:BK116)</f>
        <v>0</v>
      </c>
      <c r="BL117" s="89">
        <f t="shared" ref="BL117" si="62">SUM(BL110:BL116)</f>
        <v>0</v>
      </c>
      <c r="BM117" s="89">
        <f t="shared" ref="BM117" si="63">SUM(BM110:BM116)</f>
        <v>0</v>
      </c>
      <c r="BN117" s="89">
        <f t="shared" ref="BN117" si="64">SUM(BN110:BN116)</f>
        <v>0</v>
      </c>
      <c r="BO117" s="89">
        <f t="shared" ref="BO117" si="65">SUM(BO110:BO116)</f>
        <v>0</v>
      </c>
    </row>
    <row r="118" spans="1:67">
      <c r="A118" s="11"/>
      <c r="B118" s="25" t="s">
        <v>320</v>
      </c>
      <c r="C118" s="25"/>
      <c r="D118" s="25"/>
      <c r="E118" s="41"/>
      <c r="F118" s="91">
        <f>F117-SUM(G117:BO117)</f>
        <v>0</v>
      </c>
      <c r="G118" s="26"/>
      <c r="H118" s="26"/>
      <c r="I118" s="26"/>
      <c r="J118" s="26"/>
      <c r="K118" s="26"/>
      <c r="L118" s="26"/>
      <c r="M118" s="26"/>
      <c r="N118" s="26"/>
      <c r="O118" s="26"/>
      <c r="P118" s="26"/>
      <c r="Q118" s="26"/>
      <c r="R118" s="26"/>
      <c r="S118" s="26"/>
      <c r="T118" s="26"/>
      <c r="U118" s="26"/>
      <c r="V118" s="26"/>
      <c r="W118" s="26"/>
      <c r="X118" s="26"/>
      <c r="Y118" s="26"/>
      <c r="Z118" s="26"/>
      <c r="AA118" s="26"/>
      <c r="AB118" s="26"/>
      <c r="AC118" s="26"/>
      <c r="AD118" s="26"/>
      <c r="AE118" s="26"/>
      <c r="AF118" s="26"/>
      <c r="AG118" s="26"/>
      <c r="AH118" s="26"/>
      <c r="AI118" s="26"/>
      <c r="AJ118" s="26"/>
      <c r="AK118" s="26"/>
      <c r="AL118" s="26"/>
      <c r="AM118" s="26"/>
      <c r="AN118" s="26"/>
      <c r="AO118" s="26"/>
      <c r="AP118" s="26"/>
      <c r="AQ118" s="26"/>
      <c r="AR118" s="26"/>
      <c r="AS118" s="26"/>
      <c r="AT118" s="26"/>
      <c r="AU118" s="26"/>
      <c r="AV118" s="26"/>
      <c r="AW118" s="26"/>
      <c r="AX118" s="26"/>
      <c r="AY118" s="26"/>
      <c r="AZ118" s="26"/>
      <c r="BA118" s="26"/>
      <c r="BB118" s="26"/>
      <c r="BC118" s="26"/>
      <c r="BD118" s="26"/>
      <c r="BE118" s="26"/>
      <c r="BF118" s="26"/>
      <c r="BG118" s="26"/>
      <c r="BH118" s="26"/>
      <c r="BI118" s="26"/>
      <c r="BJ118" s="26"/>
      <c r="BK118" s="26"/>
      <c r="BL118" s="26"/>
      <c r="BM118" s="26"/>
      <c r="BN118" s="26"/>
      <c r="BO118" s="26"/>
    </row>
    <row r="119" spans="1:67">
      <c r="A119" s="11"/>
      <c r="B119" s="11"/>
      <c r="C119" s="11"/>
      <c r="D119" s="11"/>
      <c r="E119" s="33"/>
      <c r="F119" s="33"/>
      <c r="G119" s="33"/>
      <c r="H119" s="33"/>
      <c r="I119" s="33"/>
      <c r="J119" s="33"/>
      <c r="K119" s="33"/>
      <c r="L119" s="33"/>
      <c r="M119" s="33"/>
      <c r="N119" s="33"/>
      <c r="O119" s="33"/>
      <c r="P119" s="33"/>
      <c r="Q119" s="33"/>
      <c r="R119" s="33"/>
      <c r="S119" s="33"/>
      <c r="T119" s="33"/>
      <c r="U119" s="33"/>
      <c r="V119" s="33"/>
      <c r="W119" s="33"/>
      <c r="X119" s="33"/>
      <c r="Y119" s="33"/>
      <c r="Z119" s="33"/>
      <c r="AA119" s="33"/>
      <c r="AB119" s="33"/>
      <c r="AC119" s="33"/>
      <c r="AD119" s="33"/>
      <c r="AE119" s="33"/>
      <c r="AF119" s="33"/>
      <c r="AG119" s="33"/>
      <c r="AH119" s="33"/>
      <c r="AI119" s="33"/>
      <c r="AJ119" s="33"/>
      <c r="AK119" s="33"/>
      <c r="AL119" s="33"/>
      <c r="AM119" s="33"/>
      <c r="AN119" s="33"/>
      <c r="AO119" s="33"/>
      <c r="AP119" s="33"/>
      <c r="AQ119" s="33"/>
      <c r="AR119" s="33"/>
      <c r="AS119" s="33"/>
      <c r="AT119" s="33"/>
      <c r="AU119" s="33"/>
      <c r="AV119" s="33"/>
      <c r="AW119" s="33"/>
      <c r="AX119" s="33"/>
      <c r="AY119" s="33"/>
      <c r="AZ119" s="33"/>
      <c r="BA119" s="33"/>
      <c r="BB119" s="33"/>
      <c r="BC119" s="33"/>
      <c r="BD119" s="33"/>
      <c r="BE119" s="33"/>
      <c r="BF119" s="33"/>
      <c r="BG119" s="33"/>
      <c r="BH119" s="33"/>
      <c r="BI119" s="33"/>
      <c r="BJ119" s="33"/>
      <c r="BK119" s="33"/>
      <c r="BL119" s="33"/>
      <c r="BM119" s="33"/>
      <c r="BN119" s="33"/>
      <c r="BO119" s="33"/>
    </row>
    <row r="120" spans="1:67">
      <c r="A120" s="18" t="s">
        <v>1756</v>
      </c>
      <c r="B120" s="18"/>
      <c r="C120" s="18"/>
      <c r="D120" s="18"/>
      <c r="E120" s="39"/>
      <c r="F120" s="39"/>
      <c r="G120" s="39"/>
      <c r="H120" s="39"/>
      <c r="I120" s="39"/>
      <c r="J120" s="39"/>
      <c r="K120" s="39"/>
      <c r="L120" s="39"/>
      <c r="M120" s="39"/>
      <c r="N120" s="39"/>
      <c r="O120" s="39"/>
      <c r="P120" s="39"/>
      <c r="Q120" s="39"/>
      <c r="R120" s="39"/>
      <c r="S120" s="39"/>
      <c r="T120" s="39"/>
      <c r="U120" s="39"/>
      <c r="V120" s="39"/>
      <c r="W120" s="39"/>
      <c r="X120" s="39"/>
      <c r="Y120" s="39"/>
      <c r="Z120" s="39"/>
      <c r="AA120" s="39"/>
      <c r="AB120" s="39"/>
      <c r="AC120" s="39"/>
      <c r="AD120" s="39"/>
      <c r="AE120" s="39"/>
      <c r="AF120" s="39"/>
      <c r="AG120" s="39"/>
      <c r="AH120" s="39"/>
      <c r="AI120" s="39"/>
      <c r="AJ120" s="39"/>
      <c r="AK120" s="39"/>
      <c r="AL120" s="39"/>
      <c r="AM120" s="39"/>
      <c r="AN120" s="39"/>
      <c r="AO120" s="39"/>
      <c r="AP120" s="39"/>
      <c r="AQ120" s="39"/>
      <c r="AR120" s="39"/>
      <c r="AS120" s="39"/>
      <c r="AT120" s="39"/>
      <c r="AU120" s="39"/>
      <c r="AV120" s="39"/>
      <c r="AW120" s="39"/>
      <c r="AX120" s="39"/>
      <c r="AY120" s="39"/>
      <c r="AZ120" s="39"/>
      <c r="BA120" s="39"/>
      <c r="BB120" s="39"/>
      <c r="BC120" s="39"/>
      <c r="BD120" s="39"/>
      <c r="BE120" s="39"/>
      <c r="BF120" s="39"/>
      <c r="BG120" s="39"/>
      <c r="BH120" s="39"/>
      <c r="BI120" s="39"/>
      <c r="BJ120" s="39"/>
      <c r="BK120" s="39"/>
      <c r="BL120" s="39"/>
      <c r="BM120" s="39"/>
      <c r="BN120" s="39"/>
      <c r="BO120" s="39"/>
    </row>
    <row r="121" spans="1:67">
      <c r="A121" s="11"/>
      <c r="B121" s="11"/>
      <c r="C121" s="11"/>
      <c r="D121" s="11"/>
      <c r="E121" s="22" t="s">
        <v>321</v>
      </c>
      <c r="F121" s="33"/>
      <c r="G121" s="33"/>
      <c r="H121" s="33"/>
      <c r="I121" s="33"/>
      <c r="J121" s="33"/>
      <c r="K121" s="33"/>
      <c r="L121" s="33"/>
      <c r="M121" s="33"/>
      <c r="N121" s="33"/>
      <c r="O121" s="33"/>
      <c r="P121" s="33"/>
      <c r="Q121" s="33"/>
      <c r="R121" s="33"/>
      <c r="S121" s="33"/>
      <c r="T121" s="33"/>
      <c r="U121" s="33"/>
      <c r="V121" s="33"/>
      <c r="W121" s="33"/>
      <c r="X121" s="33"/>
      <c r="Y121" s="33"/>
      <c r="Z121" s="33"/>
      <c r="AA121" s="33"/>
      <c r="AB121" s="33"/>
      <c r="AC121" s="33"/>
      <c r="AD121" s="33"/>
      <c r="AE121" s="33"/>
      <c r="AF121" s="33"/>
      <c r="AG121" s="33"/>
      <c r="AH121" s="33"/>
      <c r="AI121" s="33"/>
      <c r="AJ121" s="33"/>
      <c r="AK121" s="33"/>
      <c r="AL121" s="33"/>
      <c r="AM121" s="33"/>
      <c r="AN121" s="33"/>
      <c r="AO121" s="33"/>
      <c r="AP121" s="33"/>
      <c r="AQ121" s="33"/>
      <c r="AR121" s="33"/>
      <c r="AS121" s="33"/>
      <c r="AT121" s="33"/>
      <c r="AU121" s="33"/>
      <c r="AV121" s="33"/>
      <c r="AW121" s="33"/>
      <c r="AX121" s="33"/>
      <c r="AY121" s="33"/>
      <c r="AZ121" s="33"/>
      <c r="BA121" s="33"/>
      <c r="BB121" s="33"/>
      <c r="BC121" s="33"/>
      <c r="BD121" s="33"/>
      <c r="BE121" s="33"/>
      <c r="BF121" s="33"/>
      <c r="BG121" s="33"/>
      <c r="BH121" s="33"/>
      <c r="BI121" s="33"/>
      <c r="BJ121" s="33"/>
      <c r="BK121" s="33"/>
      <c r="BL121" s="33"/>
      <c r="BM121" s="33"/>
      <c r="BN121" s="33"/>
      <c r="BO121" s="33"/>
    </row>
    <row r="122" spans="1:67">
      <c r="A122" s="11"/>
      <c r="B122" s="11" t="s">
        <v>191</v>
      </c>
      <c r="C122" s="11"/>
      <c r="D122" s="11"/>
      <c r="E122" s="92">
        <f>'01 Major Assumptions'!$D$168</f>
        <v>20</v>
      </c>
      <c r="F122" s="3"/>
      <c r="G122" s="90">
        <f t="shared" ref="G122:AL122" si="66">G86</f>
        <v>1680000</v>
      </c>
      <c r="H122" s="90">
        <f t="shared" si="66"/>
        <v>1680000</v>
      </c>
      <c r="I122" s="90">
        <f t="shared" si="66"/>
        <v>1680000</v>
      </c>
      <c r="J122" s="90">
        <f t="shared" si="66"/>
        <v>1470000.0000000002</v>
      </c>
      <c r="K122" s="90">
        <f t="shared" si="66"/>
        <v>1470000.0000000002</v>
      </c>
      <c r="L122" s="90">
        <f t="shared" si="66"/>
        <v>1470000.0000000002</v>
      </c>
      <c r="M122" s="90">
        <f t="shared" si="66"/>
        <v>1470000.0000000002</v>
      </c>
      <c r="N122" s="90">
        <f t="shared" si="66"/>
        <v>1470000.0000000002</v>
      </c>
      <c r="O122" s="90">
        <f t="shared" si="66"/>
        <v>1470000.0000000002</v>
      </c>
      <c r="P122" s="90">
        <f t="shared" si="66"/>
        <v>595000</v>
      </c>
      <c r="Q122" s="90">
        <f t="shared" si="66"/>
        <v>595000</v>
      </c>
      <c r="R122" s="90">
        <f t="shared" si="66"/>
        <v>595000</v>
      </c>
      <c r="S122" s="90">
        <f t="shared" si="66"/>
        <v>595000</v>
      </c>
      <c r="T122" s="90">
        <f t="shared" si="66"/>
        <v>595000</v>
      </c>
      <c r="U122" s="90">
        <f t="shared" si="66"/>
        <v>595000</v>
      </c>
      <c r="V122" s="90">
        <f t="shared" si="66"/>
        <v>595000</v>
      </c>
      <c r="W122" s="90">
        <f t="shared" si="66"/>
        <v>595000</v>
      </c>
      <c r="X122" s="90">
        <f t="shared" si="66"/>
        <v>595000</v>
      </c>
      <c r="Y122" s="90">
        <f t="shared" si="66"/>
        <v>595000</v>
      </c>
      <c r="Z122" s="90">
        <f t="shared" si="66"/>
        <v>595000</v>
      </c>
      <c r="AA122" s="90">
        <f t="shared" si="66"/>
        <v>595000</v>
      </c>
      <c r="AB122" s="90">
        <f t="shared" si="66"/>
        <v>0</v>
      </c>
      <c r="AC122" s="90">
        <f t="shared" si="66"/>
        <v>0</v>
      </c>
      <c r="AD122" s="90">
        <f t="shared" si="66"/>
        <v>0</v>
      </c>
      <c r="AE122" s="90">
        <f t="shared" si="66"/>
        <v>0</v>
      </c>
      <c r="AF122" s="90">
        <f t="shared" si="66"/>
        <v>0</v>
      </c>
      <c r="AG122" s="90">
        <f t="shared" si="66"/>
        <v>0</v>
      </c>
      <c r="AH122" s="90">
        <f t="shared" si="66"/>
        <v>0</v>
      </c>
      <c r="AI122" s="90">
        <f t="shared" si="66"/>
        <v>0</v>
      </c>
      <c r="AJ122" s="90">
        <f t="shared" si="66"/>
        <v>0</v>
      </c>
      <c r="AK122" s="90">
        <f t="shared" si="66"/>
        <v>0</v>
      </c>
      <c r="AL122" s="90">
        <f t="shared" si="66"/>
        <v>0</v>
      </c>
      <c r="AM122" s="90">
        <f t="shared" ref="AM122:BO122" si="67">AM86</f>
        <v>0</v>
      </c>
      <c r="AN122" s="90">
        <f t="shared" si="67"/>
        <v>0</v>
      </c>
      <c r="AO122" s="90">
        <f t="shared" si="67"/>
        <v>0</v>
      </c>
      <c r="AP122" s="90">
        <f t="shared" si="67"/>
        <v>0</v>
      </c>
      <c r="AQ122" s="90">
        <f t="shared" si="67"/>
        <v>0</v>
      </c>
      <c r="AR122" s="90">
        <f t="shared" si="67"/>
        <v>0</v>
      </c>
      <c r="AS122" s="90">
        <f t="shared" si="67"/>
        <v>0</v>
      </c>
      <c r="AT122" s="90">
        <f t="shared" si="67"/>
        <v>0</v>
      </c>
      <c r="AU122" s="90">
        <f t="shared" si="67"/>
        <v>0</v>
      </c>
      <c r="AV122" s="90">
        <f t="shared" si="67"/>
        <v>0</v>
      </c>
      <c r="AW122" s="90">
        <f t="shared" si="67"/>
        <v>0</v>
      </c>
      <c r="AX122" s="90">
        <f t="shared" si="67"/>
        <v>0</v>
      </c>
      <c r="AY122" s="90">
        <f t="shared" si="67"/>
        <v>0</v>
      </c>
      <c r="AZ122" s="90">
        <f t="shared" si="67"/>
        <v>0</v>
      </c>
      <c r="BA122" s="90">
        <f t="shared" si="67"/>
        <v>0</v>
      </c>
      <c r="BB122" s="90">
        <f t="shared" si="67"/>
        <v>0</v>
      </c>
      <c r="BC122" s="90">
        <f t="shared" si="67"/>
        <v>0</v>
      </c>
      <c r="BD122" s="90">
        <f t="shared" si="67"/>
        <v>0</v>
      </c>
      <c r="BE122" s="90">
        <f t="shared" si="67"/>
        <v>0</v>
      </c>
      <c r="BF122" s="90">
        <f t="shared" si="67"/>
        <v>0</v>
      </c>
      <c r="BG122" s="90">
        <f t="shared" si="67"/>
        <v>0</v>
      </c>
      <c r="BH122" s="90">
        <f t="shared" si="67"/>
        <v>0</v>
      </c>
      <c r="BI122" s="90">
        <f t="shared" si="67"/>
        <v>0</v>
      </c>
      <c r="BJ122" s="90">
        <f t="shared" si="67"/>
        <v>0</v>
      </c>
      <c r="BK122" s="90">
        <f t="shared" si="67"/>
        <v>0</v>
      </c>
      <c r="BL122" s="90">
        <f t="shared" si="67"/>
        <v>0</v>
      </c>
      <c r="BM122" s="90">
        <f t="shared" si="67"/>
        <v>0</v>
      </c>
      <c r="BN122" s="90">
        <f t="shared" si="67"/>
        <v>0</v>
      </c>
      <c r="BO122" s="90">
        <f t="shared" si="67"/>
        <v>0</v>
      </c>
    </row>
    <row r="123" spans="1:67">
      <c r="A123" s="11"/>
      <c r="B123" s="11" t="s">
        <v>192</v>
      </c>
      <c r="C123" s="11"/>
      <c r="D123" s="11"/>
      <c r="E123" s="92">
        <f>'01 Major Assumptions'!$D$169</f>
        <v>20</v>
      </c>
      <c r="F123" s="3"/>
      <c r="G123" s="90">
        <f t="shared" ref="G123:AL123" si="68">G45</f>
        <v>0</v>
      </c>
      <c r="H123" s="90">
        <f t="shared" si="68"/>
        <v>0</v>
      </c>
      <c r="I123" s="90">
        <f t="shared" si="68"/>
        <v>0</v>
      </c>
      <c r="J123" s="90">
        <f t="shared" si="68"/>
        <v>0</v>
      </c>
      <c r="K123" s="90">
        <f t="shared" si="68"/>
        <v>0</v>
      </c>
      <c r="L123" s="90">
        <f t="shared" si="68"/>
        <v>0</v>
      </c>
      <c r="M123" s="90">
        <f t="shared" si="68"/>
        <v>0</v>
      </c>
      <c r="N123" s="90">
        <f t="shared" si="68"/>
        <v>0</v>
      </c>
      <c r="O123" s="90">
        <f t="shared" si="68"/>
        <v>0</v>
      </c>
      <c r="P123" s="90">
        <f t="shared" si="68"/>
        <v>22724999.999999996</v>
      </c>
      <c r="Q123" s="90">
        <f t="shared" si="68"/>
        <v>22724999.999999996</v>
      </c>
      <c r="R123" s="90">
        <f t="shared" si="68"/>
        <v>22724999.999999996</v>
      </c>
      <c r="S123" s="90">
        <f t="shared" si="68"/>
        <v>22724999.999999996</v>
      </c>
      <c r="T123" s="90">
        <f t="shared" si="68"/>
        <v>22724999.999999996</v>
      </c>
      <c r="U123" s="90">
        <f t="shared" si="68"/>
        <v>22724999.999999996</v>
      </c>
      <c r="V123" s="90">
        <f t="shared" si="68"/>
        <v>22724999.999999996</v>
      </c>
      <c r="W123" s="90">
        <f t="shared" si="68"/>
        <v>22724999.999999996</v>
      </c>
      <c r="X123" s="90">
        <f t="shared" si="68"/>
        <v>22724999.999999996</v>
      </c>
      <c r="Y123" s="90">
        <f t="shared" si="68"/>
        <v>22724999.999999996</v>
      </c>
      <c r="Z123" s="90">
        <f t="shared" si="68"/>
        <v>22724999.999999996</v>
      </c>
      <c r="AA123" s="90">
        <f t="shared" si="68"/>
        <v>22724999.999999996</v>
      </c>
      <c r="AB123" s="90">
        <f t="shared" si="68"/>
        <v>0</v>
      </c>
      <c r="AC123" s="90">
        <f t="shared" si="68"/>
        <v>0</v>
      </c>
      <c r="AD123" s="90">
        <f t="shared" si="68"/>
        <v>0</v>
      </c>
      <c r="AE123" s="90">
        <f t="shared" si="68"/>
        <v>0</v>
      </c>
      <c r="AF123" s="90">
        <f t="shared" si="68"/>
        <v>0</v>
      </c>
      <c r="AG123" s="90">
        <f t="shared" si="68"/>
        <v>0</v>
      </c>
      <c r="AH123" s="90">
        <f t="shared" si="68"/>
        <v>0</v>
      </c>
      <c r="AI123" s="90">
        <f t="shared" si="68"/>
        <v>0</v>
      </c>
      <c r="AJ123" s="90">
        <f t="shared" si="68"/>
        <v>0</v>
      </c>
      <c r="AK123" s="90">
        <f t="shared" si="68"/>
        <v>0</v>
      </c>
      <c r="AL123" s="90">
        <f t="shared" si="68"/>
        <v>0</v>
      </c>
      <c r="AM123" s="90">
        <f t="shared" ref="AM123:BO123" si="69">AM45</f>
        <v>0</v>
      </c>
      <c r="AN123" s="90">
        <f t="shared" si="69"/>
        <v>0</v>
      </c>
      <c r="AO123" s="90">
        <f t="shared" si="69"/>
        <v>0</v>
      </c>
      <c r="AP123" s="90">
        <f t="shared" si="69"/>
        <v>0</v>
      </c>
      <c r="AQ123" s="90">
        <f t="shared" si="69"/>
        <v>0</v>
      </c>
      <c r="AR123" s="90">
        <f t="shared" si="69"/>
        <v>0</v>
      </c>
      <c r="AS123" s="90">
        <f t="shared" si="69"/>
        <v>0</v>
      </c>
      <c r="AT123" s="90">
        <f t="shared" si="69"/>
        <v>0</v>
      </c>
      <c r="AU123" s="90">
        <f t="shared" si="69"/>
        <v>0</v>
      </c>
      <c r="AV123" s="90">
        <f t="shared" si="69"/>
        <v>0</v>
      </c>
      <c r="AW123" s="90">
        <f t="shared" si="69"/>
        <v>0</v>
      </c>
      <c r="AX123" s="90">
        <f t="shared" si="69"/>
        <v>0</v>
      </c>
      <c r="AY123" s="90">
        <f t="shared" si="69"/>
        <v>0</v>
      </c>
      <c r="AZ123" s="90">
        <f t="shared" si="69"/>
        <v>0</v>
      </c>
      <c r="BA123" s="90">
        <f t="shared" si="69"/>
        <v>0</v>
      </c>
      <c r="BB123" s="90">
        <f t="shared" si="69"/>
        <v>0</v>
      </c>
      <c r="BC123" s="90">
        <f t="shared" si="69"/>
        <v>0</v>
      </c>
      <c r="BD123" s="90">
        <f t="shared" si="69"/>
        <v>0</v>
      </c>
      <c r="BE123" s="90">
        <f t="shared" si="69"/>
        <v>0</v>
      </c>
      <c r="BF123" s="90">
        <f t="shared" si="69"/>
        <v>0</v>
      </c>
      <c r="BG123" s="90">
        <f t="shared" si="69"/>
        <v>0</v>
      </c>
      <c r="BH123" s="90">
        <f t="shared" si="69"/>
        <v>0</v>
      </c>
      <c r="BI123" s="90">
        <f t="shared" si="69"/>
        <v>0</v>
      </c>
      <c r="BJ123" s="90">
        <f t="shared" si="69"/>
        <v>0</v>
      </c>
      <c r="BK123" s="90">
        <f t="shared" si="69"/>
        <v>0</v>
      </c>
      <c r="BL123" s="90">
        <f t="shared" si="69"/>
        <v>0</v>
      </c>
      <c r="BM123" s="90">
        <f t="shared" si="69"/>
        <v>0</v>
      </c>
      <c r="BN123" s="90">
        <f t="shared" si="69"/>
        <v>0</v>
      </c>
      <c r="BO123" s="90">
        <f t="shared" si="69"/>
        <v>0</v>
      </c>
    </row>
    <row r="124" spans="1:67">
      <c r="A124" s="11"/>
      <c r="B124" s="11" t="s">
        <v>787</v>
      </c>
      <c r="C124" s="11"/>
      <c r="D124" s="11"/>
      <c r="E124" s="92">
        <f>'01 Major Assumptions'!$D$170</f>
        <v>15</v>
      </c>
      <c r="F124" s="3"/>
      <c r="G124" s="90">
        <f t="shared" ref="G124:AL124" si="70">G15+G16+G17+G18+G21+G26+G58+G97+G98+G314</f>
        <v>14480000</v>
      </c>
      <c r="H124" s="90">
        <f t="shared" si="70"/>
        <v>14480000</v>
      </c>
      <c r="I124" s="90">
        <f t="shared" si="70"/>
        <v>14480000</v>
      </c>
      <c r="J124" s="90">
        <f t="shared" si="70"/>
        <v>148270000</v>
      </c>
      <c r="K124" s="90">
        <f t="shared" si="70"/>
        <v>31281764.705882352</v>
      </c>
      <c r="L124" s="90">
        <f t="shared" si="70"/>
        <v>31281764.705882352</v>
      </c>
      <c r="M124" s="90">
        <f t="shared" si="70"/>
        <v>31281764.705882352</v>
      </c>
      <c r="N124" s="90">
        <f t="shared" si="70"/>
        <v>31281764.705882352</v>
      </c>
      <c r="O124" s="90">
        <f t="shared" si="70"/>
        <v>31281764.705882352</v>
      </c>
      <c r="P124" s="90">
        <f t="shared" si="70"/>
        <v>23740098.039215688</v>
      </c>
      <c r="Q124" s="90">
        <f t="shared" si="70"/>
        <v>23740098.039215688</v>
      </c>
      <c r="R124" s="90">
        <f t="shared" si="70"/>
        <v>23740098.039215688</v>
      </c>
      <c r="S124" s="90">
        <f t="shared" si="70"/>
        <v>23740098.039215688</v>
      </c>
      <c r="T124" s="90">
        <f t="shared" si="70"/>
        <v>23740098.039215688</v>
      </c>
      <c r="U124" s="90">
        <f t="shared" si="70"/>
        <v>23740098.039215688</v>
      </c>
      <c r="V124" s="90">
        <f t="shared" si="70"/>
        <v>23740098.039215688</v>
      </c>
      <c r="W124" s="90">
        <f t="shared" si="70"/>
        <v>23740098.039215688</v>
      </c>
      <c r="X124" s="90">
        <f t="shared" si="70"/>
        <v>23740098.039215688</v>
      </c>
      <c r="Y124" s="90">
        <f t="shared" si="70"/>
        <v>23740098.039215688</v>
      </c>
      <c r="Z124" s="90">
        <f t="shared" si="70"/>
        <v>23740098.039215688</v>
      </c>
      <c r="AA124" s="90">
        <f t="shared" si="70"/>
        <v>23740098.039215688</v>
      </c>
      <c r="AB124" s="90">
        <f t="shared" si="70"/>
        <v>1812500</v>
      </c>
      <c r="AC124" s="90">
        <f t="shared" si="70"/>
        <v>1812500</v>
      </c>
      <c r="AD124" s="90">
        <f t="shared" si="70"/>
        <v>1812500</v>
      </c>
      <c r="AE124" s="90">
        <f t="shared" si="70"/>
        <v>1812500</v>
      </c>
      <c r="AF124" s="90">
        <f t="shared" si="70"/>
        <v>1812500</v>
      </c>
      <c r="AG124" s="90">
        <f t="shared" si="70"/>
        <v>1812500</v>
      </c>
      <c r="AH124" s="90">
        <f t="shared" si="70"/>
        <v>1812500</v>
      </c>
      <c r="AI124" s="90">
        <f t="shared" si="70"/>
        <v>1812500</v>
      </c>
      <c r="AJ124" s="90">
        <f t="shared" si="70"/>
        <v>1812500</v>
      </c>
      <c r="AK124" s="90">
        <f t="shared" si="70"/>
        <v>1812500</v>
      </c>
      <c r="AL124" s="90">
        <f t="shared" si="70"/>
        <v>1812500</v>
      </c>
      <c r="AM124" s="90">
        <f t="shared" ref="AM124:BO124" si="71">AM15+AM16+AM17+AM18+AM21+AM26+AM58+AM97+AM98+AM314</f>
        <v>1812500</v>
      </c>
      <c r="AN124" s="90">
        <f t="shared" si="71"/>
        <v>1812500</v>
      </c>
      <c r="AO124" s="90">
        <f t="shared" si="71"/>
        <v>1812500</v>
      </c>
      <c r="AP124" s="90">
        <f t="shared" si="71"/>
        <v>1812500</v>
      </c>
      <c r="AQ124" s="90">
        <f t="shared" si="71"/>
        <v>1812500</v>
      </c>
      <c r="AR124" s="90">
        <f t="shared" si="71"/>
        <v>1812500</v>
      </c>
      <c r="AS124" s="90">
        <f t="shared" si="71"/>
        <v>1812500</v>
      </c>
      <c r="AT124" s="90">
        <f t="shared" si="71"/>
        <v>1812500</v>
      </c>
      <c r="AU124" s="90">
        <f t="shared" si="71"/>
        <v>1812500</v>
      </c>
      <c r="AV124" s="90">
        <f t="shared" si="71"/>
        <v>1812500</v>
      </c>
      <c r="AW124" s="90">
        <f t="shared" si="71"/>
        <v>1812500</v>
      </c>
      <c r="AX124" s="90">
        <f t="shared" si="71"/>
        <v>1812500</v>
      </c>
      <c r="AY124" s="90">
        <f t="shared" si="71"/>
        <v>1812500</v>
      </c>
      <c r="AZ124" s="90">
        <f t="shared" si="71"/>
        <v>1812500</v>
      </c>
      <c r="BA124" s="90">
        <f t="shared" si="71"/>
        <v>1812500</v>
      </c>
      <c r="BB124" s="90">
        <f t="shared" si="71"/>
        <v>1812500</v>
      </c>
      <c r="BC124" s="90">
        <f t="shared" si="71"/>
        <v>1812500</v>
      </c>
      <c r="BD124" s="90">
        <f t="shared" si="71"/>
        <v>1812500</v>
      </c>
      <c r="BE124" s="90">
        <f t="shared" si="71"/>
        <v>1812500</v>
      </c>
      <c r="BF124" s="90">
        <f t="shared" si="71"/>
        <v>1812500</v>
      </c>
      <c r="BG124" s="90">
        <f t="shared" si="71"/>
        <v>1812500</v>
      </c>
      <c r="BH124" s="90">
        <f t="shared" si="71"/>
        <v>1812500</v>
      </c>
      <c r="BI124" s="90">
        <f t="shared" si="71"/>
        <v>21750000</v>
      </c>
      <c r="BJ124" s="90">
        <f t="shared" si="71"/>
        <v>21750000</v>
      </c>
      <c r="BK124" s="90">
        <f t="shared" si="71"/>
        <v>21750000</v>
      </c>
      <c r="BL124" s="90">
        <f t="shared" si="71"/>
        <v>21750000</v>
      </c>
      <c r="BM124" s="90">
        <f t="shared" si="71"/>
        <v>21750000</v>
      </c>
      <c r="BN124" s="90">
        <f t="shared" si="71"/>
        <v>21750000</v>
      </c>
      <c r="BO124" s="90">
        <f t="shared" si="71"/>
        <v>21750000</v>
      </c>
    </row>
    <row r="125" spans="1:67">
      <c r="A125" s="11"/>
      <c r="B125" s="11" t="s">
        <v>197</v>
      </c>
      <c r="C125" s="11"/>
      <c r="D125" s="11"/>
      <c r="E125" s="92">
        <f>'01 Major Assumptions'!$D$174</f>
        <v>10</v>
      </c>
      <c r="F125" s="3"/>
      <c r="G125" s="90">
        <f t="shared" ref="G125:AL125" si="72">G19+G20</f>
        <v>0</v>
      </c>
      <c r="H125" s="90">
        <f t="shared" si="72"/>
        <v>0</v>
      </c>
      <c r="I125" s="90">
        <f t="shared" si="72"/>
        <v>0</v>
      </c>
      <c r="J125" s="90">
        <f t="shared" si="72"/>
        <v>40800000</v>
      </c>
      <c r="K125" s="90">
        <f t="shared" si="72"/>
        <v>5600000</v>
      </c>
      <c r="L125" s="90">
        <f t="shared" si="72"/>
        <v>5600000</v>
      </c>
      <c r="M125" s="90">
        <f t="shared" si="72"/>
        <v>5600000</v>
      </c>
      <c r="N125" s="90">
        <f t="shared" si="72"/>
        <v>5600000</v>
      </c>
      <c r="O125" s="90">
        <f t="shared" si="72"/>
        <v>5600000</v>
      </c>
      <c r="P125" s="90">
        <f t="shared" si="72"/>
        <v>5600000</v>
      </c>
      <c r="Q125" s="90">
        <f t="shared" si="72"/>
        <v>5600000</v>
      </c>
      <c r="R125" s="90">
        <f t="shared" si="72"/>
        <v>5600000</v>
      </c>
      <c r="S125" s="90">
        <f t="shared" si="72"/>
        <v>5600000</v>
      </c>
      <c r="T125" s="90">
        <f t="shared" si="72"/>
        <v>5600000</v>
      </c>
      <c r="U125" s="90">
        <f t="shared" si="72"/>
        <v>5600000</v>
      </c>
      <c r="V125" s="90">
        <f t="shared" si="72"/>
        <v>5600000</v>
      </c>
      <c r="W125" s="90">
        <f t="shared" si="72"/>
        <v>5600000</v>
      </c>
      <c r="X125" s="90">
        <f t="shared" si="72"/>
        <v>5600000</v>
      </c>
      <c r="Y125" s="90">
        <f t="shared" si="72"/>
        <v>5600000</v>
      </c>
      <c r="Z125" s="90">
        <f t="shared" si="72"/>
        <v>5600000</v>
      </c>
      <c r="AA125" s="90">
        <f t="shared" si="72"/>
        <v>5600000</v>
      </c>
      <c r="AB125" s="90">
        <f t="shared" si="72"/>
        <v>0</v>
      </c>
      <c r="AC125" s="90">
        <f t="shared" si="72"/>
        <v>0</v>
      </c>
      <c r="AD125" s="90">
        <f t="shared" si="72"/>
        <v>0</v>
      </c>
      <c r="AE125" s="90">
        <f t="shared" si="72"/>
        <v>0</v>
      </c>
      <c r="AF125" s="90">
        <f t="shared" si="72"/>
        <v>0</v>
      </c>
      <c r="AG125" s="90">
        <f t="shared" si="72"/>
        <v>0</v>
      </c>
      <c r="AH125" s="90">
        <f t="shared" si="72"/>
        <v>0</v>
      </c>
      <c r="AI125" s="90">
        <f t="shared" si="72"/>
        <v>0</v>
      </c>
      <c r="AJ125" s="90">
        <f t="shared" si="72"/>
        <v>0</v>
      </c>
      <c r="AK125" s="90">
        <f t="shared" si="72"/>
        <v>0</v>
      </c>
      <c r="AL125" s="90">
        <f t="shared" si="72"/>
        <v>0</v>
      </c>
      <c r="AM125" s="90">
        <f t="shared" ref="AM125:BO125" si="73">AM19+AM20</f>
        <v>0</v>
      </c>
      <c r="AN125" s="90">
        <f t="shared" si="73"/>
        <v>0</v>
      </c>
      <c r="AO125" s="90">
        <f t="shared" si="73"/>
        <v>0</v>
      </c>
      <c r="AP125" s="90">
        <f t="shared" si="73"/>
        <v>0</v>
      </c>
      <c r="AQ125" s="90">
        <f t="shared" si="73"/>
        <v>0</v>
      </c>
      <c r="AR125" s="90">
        <f t="shared" si="73"/>
        <v>0</v>
      </c>
      <c r="AS125" s="90">
        <f t="shared" si="73"/>
        <v>0</v>
      </c>
      <c r="AT125" s="90">
        <f t="shared" si="73"/>
        <v>0</v>
      </c>
      <c r="AU125" s="90">
        <f t="shared" si="73"/>
        <v>0</v>
      </c>
      <c r="AV125" s="90">
        <f t="shared" si="73"/>
        <v>0</v>
      </c>
      <c r="AW125" s="90">
        <f t="shared" si="73"/>
        <v>0</v>
      </c>
      <c r="AX125" s="90">
        <f t="shared" si="73"/>
        <v>0</v>
      </c>
      <c r="AY125" s="90">
        <f t="shared" si="73"/>
        <v>0</v>
      </c>
      <c r="AZ125" s="90">
        <f t="shared" si="73"/>
        <v>0</v>
      </c>
      <c r="BA125" s="90">
        <f t="shared" si="73"/>
        <v>0</v>
      </c>
      <c r="BB125" s="90">
        <f t="shared" si="73"/>
        <v>0</v>
      </c>
      <c r="BC125" s="90">
        <f t="shared" si="73"/>
        <v>0</v>
      </c>
      <c r="BD125" s="90">
        <f t="shared" si="73"/>
        <v>0</v>
      </c>
      <c r="BE125" s="90">
        <f t="shared" si="73"/>
        <v>0</v>
      </c>
      <c r="BF125" s="90">
        <f t="shared" si="73"/>
        <v>0</v>
      </c>
      <c r="BG125" s="90">
        <f t="shared" si="73"/>
        <v>0</v>
      </c>
      <c r="BH125" s="90">
        <f t="shared" si="73"/>
        <v>0</v>
      </c>
      <c r="BI125" s="90">
        <f t="shared" si="73"/>
        <v>0</v>
      </c>
      <c r="BJ125" s="90">
        <f t="shared" si="73"/>
        <v>0</v>
      </c>
      <c r="BK125" s="90">
        <f t="shared" si="73"/>
        <v>0</v>
      </c>
      <c r="BL125" s="90">
        <f t="shared" si="73"/>
        <v>0</v>
      </c>
      <c r="BM125" s="90">
        <f t="shared" si="73"/>
        <v>0</v>
      </c>
      <c r="BN125" s="90">
        <f t="shared" si="73"/>
        <v>0</v>
      </c>
      <c r="BO125" s="90">
        <f t="shared" si="73"/>
        <v>0</v>
      </c>
    </row>
    <row r="126" spans="1:67">
      <c r="A126" s="11"/>
      <c r="B126" s="11" t="s">
        <v>323</v>
      </c>
      <c r="C126" s="11"/>
      <c r="D126" s="11"/>
      <c r="E126" s="92">
        <f>'01 Major Assumptions'!$D$173</f>
        <v>10</v>
      </c>
      <c r="F126" s="3"/>
      <c r="G126" s="90">
        <f t="shared" ref="G126:AL126" si="74">G22+G23+G24+G25</f>
        <v>0</v>
      </c>
      <c r="H126" s="90">
        <f t="shared" si="74"/>
        <v>0</v>
      </c>
      <c r="I126" s="90">
        <f t="shared" si="74"/>
        <v>0</v>
      </c>
      <c r="J126" s="90">
        <f t="shared" si="74"/>
        <v>13200000</v>
      </c>
      <c r="K126" s="90">
        <f t="shared" si="74"/>
        <v>1811764.7058823528</v>
      </c>
      <c r="L126" s="90">
        <f t="shared" si="74"/>
        <v>1811764.7058823528</v>
      </c>
      <c r="M126" s="90">
        <f t="shared" si="74"/>
        <v>1811764.7058823528</v>
      </c>
      <c r="N126" s="90">
        <f t="shared" si="74"/>
        <v>1811764.7058823528</v>
      </c>
      <c r="O126" s="90">
        <f t="shared" si="74"/>
        <v>1811764.7058823528</v>
      </c>
      <c r="P126" s="90">
        <f t="shared" si="74"/>
        <v>1811764.7058823528</v>
      </c>
      <c r="Q126" s="90">
        <f t="shared" si="74"/>
        <v>1811764.7058823528</v>
      </c>
      <c r="R126" s="90">
        <f t="shared" si="74"/>
        <v>1811764.7058823528</v>
      </c>
      <c r="S126" s="90">
        <f t="shared" si="74"/>
        <v>1811764.7058823528</v>
      </c>
      <c r="T126" s="90">
        <f t="shared" si="74"/>
        <v>1811764.7058823528</v>
      </c>
      <c r="U126" s="90">
        <f t="shared" si="74"/>
        <v>1811764.7058823528</v>
      </c>
      <c r="V126" s="90">
        <f t="shared" si="74"/>
        <v>1811764.7058823528</v>
      </c>
      <c r="W126" s="90">
        <f t="shared" si="74"/>
        <v>1811764.7058823528</v>
      </c>
      <c r="X126" s="90">
        <f t="shared" si="74"/>
        <v>1811764.7058823528</v>
      </c>
      <c r="Y126" s="90">
        <f t="shared" si="74"/>
        <v>1811764.7058823528</v>
      </c>
      <c r="Z126" s="90">
        <f t="shared" si="74"/>
        <v>1811764.7058823528</v>
      </c>
      <c r="AA126" s="90">
        <f t="shared" si="74"/>
        <v>1811764.7058823528</v>
      </c>
      <c r="AB126" s="90">
        <f t="shared" si="74"/>
        <v>0</v>
      </c>
      <c r="AC126" s="90">
        <f t="shared" si="74"/>
        <v>0</v>
      </c>
      <c r="AD126" s="90">
        <f t="shared" si="74"/>
        <v>0</v>
      </c>
      <c r="AE126" s="90">
        <f t="shared" si="74"/>
        <v>0</v>
      </c>
      <c r="AF126" s="90">
        <f t="shared" si="74"/>
        <v>0</v>
      </c>
      <c r="AG126" s="90">
        <f t="shared" si="74"/>
        <v>0</v>
      </c>
      <c r="AH126" s="90">
        <f t="shared" si="74"/>
        <v>0</v>
      </c>
      <c r="AI126" s="90">
        <f t="shared" si="74"/>
        <v>0</v>
      </c>
      <c r="AJ126" s="90">
        <f t="shared" si="74"/>
        <v>0</v>
      </c>
      <c r="AK126" s="90">
        <f t="shared" si="74"/>
        <v>0</v>
      </c>
      <c r="AL126" s="90">
        <f t="shared" si="74"/>
        <v>0</v>
      </c>
      <c r="AM126" s="90">
        <f t="shared" ref="AM126:BO126" si="75">AM22+AM23+AM24+AM25</f>
        <v>0</v>
      </c>
      <c r="AN126" s="90">
        <f t="shared" si="75"/>
        <v>0</v>
      </c>
      <c r="AO126" s="90">
        <f t="shared" si="75"/>
        <v>0</v>
      </c>
      <c r="AP126" s="90">
        <f t="shared" si="75"/>
        <v>0</v>
      </c>
      <c r="AQ126" s="90">
        <f t="shared" si="75"/>
        <v>0</v>
      </c>
      <c r="AR126" s="90">
        <f t="shared" si="75"/>
        <v>0</v>
      </c>
      <c r="AS126" s="90">
        <f t="shared" si="75"/>
        <v>0</v>
      </c>
      <c r="AT126" s="90">
        <f t="shared" si="75"/>
        <v>0</v>
      </c>
      <c r="AU126" s="90">
        <f t="shared" si="75"/>
        <v>0</v>
      </c>
      <c r="AV126" s="90">
        <f t="shared" si="75"/>
        <v>0</v>
      </c>
      <c r="AW126" s="90">
        <f t="shared" si="75"/>
        <v>0</v>
      </c>
      <c r="AX126" s="90">
        <f t="shared" si="75"/>
        <v>0</v>
      </c>
      <c r="AY126" s="90">
        <f t="shared" si="75"/>
        <v>0</v>
      </c>
      <c r="AZ126" s="90">
        <f t="shared" si="75"/>
        <v>0</v>
      </c>
      <c r="BA126" s="90">
        <f t="shared" si="75"/>
        <v>0</v>
      </c>
      <c r="BB126" s="90">
        <f t="shared" si="75"/>
        <v>0</v>
      </c>
      <c r="BC126" s="90">
        <f t="shared" si="75"/>
        <v>0</v>
      </c>
      <c r="BD126" s="90">
        <f t="shared" si="75"/>
        <v>0</v>
      </c>
      <c r="BE126" s="90">
        <f t="shared" si="75"/>
        <v>0</v>
      </c>
      <c r="BF126" s="90">
        <f t="shared" si="75"/>
        <v>0</v>
      </c>
      <c r="BG126" s="90">
        <f t="shared" si="75"/>
        <v>0</v>
      </c>
      <c r="BH126" s="90">
        <f t="shared" si="75"/>
        <v>0</v>
      </c>
      <c r="BI126" s="90">
        <f t="shared" si="75"/>
        <v>0</v>
      </c>
      <c r="BJ126" s="90">
        <f t="shared" si="75"/>
        <v>0</v>
      </c>
      <c r="BK126" s="90">
        <f t="shared" si="75"/>
        <v>0</v>
      </c>
      <c r="BL126" s="90">
        <f t="shared" si="75"/>
        <v>0</v>
      </c>
      <c r="BM126" s="90">
        <f t="shared" si="75"/>
        <v>0</v>
      </c>
      <c r="BN126" s="90">
        <f t="shared" si="75"/>
        <v>0</v>
      </c>
      <c r="BO126" s="90">
        <f t="shared" si="75"/>
        <v>0</v>
      </c>
    </row>
    <row r="127" spans="1:67">
      <c r="A127" s="11"/>
      <c r="B127" s="11" t="s">
        <v>194</v>
      </c>
      <c r="C127" s="11"/>
      <c r="D127" s="11"/>
      <c r="E127" s="92">
        <f>'01 Major Assumptions'!$D$171</f>
        <v>10</v>
      </c>
      <c r="F127" s="3"/>
      <c r="G127" s="90">
        <f t="shared" ref="G127:AL127" si="76">G69</f>
        <v>0</v>
      </c>
      <c r="H127" s="90">
        <f t="shared" si="76"/>
        <v>0</v>
      </c>
      <c r="I127" s="90">
        <f t="shared" si="76"/>
        <v>0</v>
      </c>
      <c r="J127" s="90">
        <f t="shared" si="76"/>
        <v>11700000</v>
      </c>
      <c r="K127" s="90">
        <f t="shared" si="76"/>
        <v>1605882.3529411764</v>
      </c>
      <c r="L127" s="90">
        <f t="shared" si="76"/>
        <v>1605882.3529411764</v>
      </c>
      <c r="M127" s="90">
        <f t="shared" si="76"/>
        <v>1605882.3529411764</v>
      </c>
      <c r="N127" s="90">
        <f t="shared" si="76"/>
        <v>1605882.3529411764</v>
      </c>
      <c r="O127" s="90">
        <f t="shared" si="76"/>
        <v>1605882.3529411764</v>
      </c>
      <c r="P127" s="90">
        <f t="shared" si="76"/>
        <v>1605882.3529411764</v>
      </c>
      <c r="Q127" s="90">
        <f t="shared" si="76"/>
        <v>1605882.3529411764</v>
      </c>
      <c r="R127" s="90">
        <f t="shared" si="76"/>
        <v>1605882.3529411764</v>
      </c>
      <c r="S127" s="90">
        <f t="shared" si="76"/>
        <v>1605882.3529411764</v>
      </c>
      <c r="T127" s="90">
        <f t="shared" si="76"/>
        <v>1605882.3529411764</v>
      </c>
      <c r="U127" s="90">
        <f t="shared" si="76"/>
        <v>1605882.3529411764</v>
      </c>
      <c r="V127" s="90">
        <f t="shared" si="76"/>
        <v>1605882.3529411764</v>
      </c>
      <c r="W127" s="90">
        <f t="shared" si="76"/>
        <v>1605882.3529411764</v>
      </c>
      <c r="X127" s="90">
        <f t="shared" si="76"/>
        <v>1605882.3529411764</v>
      </c>
      <c r="Y127" s="90">
        <f t="shared" si="76"/>
        <v>1605882.3529411764</v>
      </c>
      <c r="Z127" s="90">
        <f t="shared" si="76"/>
        <v>1605882.3529411764</v>
      </c>
      <c r="AA127" s="90">
        <f t="shared" si="76"/>
        <v>1605882.3529411764</v>
      </c>
      <c r="AB127" s="90">
        <f t="shared" si="76"/>
        <v>0</v>
      </c>
      <c r="AC127" s="90">
        <f t="shared" si="76"/>
        <v>0</v>
      </c>
      <c r="AD127" s="90">
        <f t="shared" si="76"/>
        <v>0</v>
      </c>
      <c r="AE127" s="90">
        <f t="shared" si="76"/>
        <v>0</v>
      </c>
      <c r="AF127" s="90">
        <f t="shared" si="76"/>
        <v>0</v>
      </c>
      <c r="AG127" s="90">
        <f t="shared" si="76"/>
        <v>0</v>
      </c>
      <c r="AH127" s="90">
        <f t="shared" si="76"/>
        <v>0</v>
      </c>
      <c r="AI127" s="90">
        <f t="shared" si="76"/>
        <v>0</v>
      </c>
      <c r="AJ127" s="90">
        <f t="shared" si="76"/>
        <v>0</v>
      </c>
      <c r="AK127" s="90">
        <f t="shared" si="76"/>
        <v>0</v>
      </c>
      <c r="AL127" s="90">
        <f t="shared" si="76"/>
        <v>0</v>
      </c>
      <c r="AM127" s="90">
        <f t="shared" ref="AM127:BO127" si="77">AM69</f>
        <v>0</v>
      </c>
      <c r="AN127" s="90">
        <f t="shared" si="77"/>
        <v>0</v>
      </c>
      <c r="AO127" s="90">
        <f t="shared" si="77"/>
        <v>0</v>
      </c>
      <c r="AP127" s="90">
        <f t="shared" si="77"/>
        <v>0</v>
      </c>
      <c r="AQ127" s="90">
        <f t="shared" si="77"/>
        <v>0</v>
      </c>
      <c r="AR127" s="90">
        <f t="shared" si="77"/>
        <v>0</v>
      </c>
      <c r="AS127" s="90">
        <f t="shared" si="77"/>
        <v>0</v>
      </c>
      <c r="AT127" s="90">
        <f t="shared" si="77"/>
        <v>0</v>
      </c>
      <c r="AU127" s="90">
        <f t="shared" si="77"/>
        <v>0</v>
      </c>
      <c r="AV127" s="90">
        <f t="shared" si="77"/>
        <v>0</v>
      </c>
      <c r="AW127" s="90">
        <f t="shared" si="77"/>
        <v>0</v>
      </c>
      <c r="AX127" s="90">
        <f t="shared" si="77"/>
        <v>0</v>
      </c>
      <c r="AY127" s="90">
        <f t="shared" si="77"/>
        <v>0</v>
      </c>
      <c r="AZ127" s="90">
        <f t="shared" si="77"/>
        <v>0</v>
      </c>
      <c r="BA127" s="90">
        <f t="shared" si="77"/>
        <v>0</v>
      </c>
      <c r="BB127" s="90">
        <f t="shared" si="77"/>
        <v>0</v>
      </c>
      <c r="BC127" s="90">
        <f t="shared" si="77"/>
        <v>0</v>
      </c>
      <c r="BD127" s="90">
        <f t="shared" si="77"/>
        <v>0</v>
      </c>
      <c r="BE127" s="90">
        <f t="shared" si="77"/>
        <v>0</v>
      </c>
      <c r="BF127" s="90">
        <f t="shared" si="77"/>
        <v>0</v>
      </c>
      <c r="BG127" s="90">
        <f t="shared" si="77"/>
        <v>0</v>
      </c>
      <c r="BH127" s="90">
        <f t="shared" si="77"/>
        <v>0</v>
      </c>
      <c r="BI127" s="90">
        <f t="shared" si="77"/>
        <v>0</v>
      </c>
      <c r="BJ127" s="90">
        <f t="shared" si="77"/>
        <v>0</v>
      </c>
      <c r="BK127" s="90">
        <f t="shared" si="77"/>
        <v>0</v>
      </c>
      <c r="BL127" s="90">
        <f t="shared" si="77"/>
        <v>0</v>
      </c>
      <c r="BM127" s="90">
        <f t="shared" si="77"/>
        <v>0</v>
      </c>
      <c r="BN127" s="90">
        <f t="shared" si="77"/>
        <v>0</v>
      </c>
      <c r="BO127" s="90">
        <f t="shared" si="77"/>
        <v>0</v>
      </c>
    </row>
    <row r="128" spans="1:67">
      <c r="A128" s="11"/>
      <c r="B128" s="11" t="s">
        <v>195</v>
      </c>
      <c r="C128" s="11"/>
      <c r="D128" s="11"/>
      <c r="E128" s="92">
        <f>'01 Major Assumptions'!$D$172</f>
        <v>10</v>
      </c>
      <c r="F128" s="3"/>
      <c r="G128" s="90">
        <f t="shared" ref="G128:AL128" si="78">G82</f>
        <v>0</v>
      </c>
      <c r="H128" s="90">
        <f t="shared" si="78"/>
        <v>0</v>
      </c>
      <c r="I128" s="90">
        <f t="shared" si="78"/>
        <v>0</v>
      </c>
      <c r="J128" s="90">
        <f t="shared" si="78"/>
        <v>47700000</v>
      </c>
      <c r="K128" s="90">
        <f t="shared" si="78"/>
        <v>6547058.823529412</v>
      </c>
      <c r="L128" s="90">
        <f t="shared" si="78"/>
        <v>6547058.823529412</v>
      </c>
      <c r="M128" s="90">
        <f t="shared" si="78"/>
        <v>6547058.823529412</v>
      </c>
      <c r="N128" s="90">
        <f t="shared" si="78"/>
        <v>6547058.823529412</v>
      </c>
      <c r="O128" s="90">
        <f t="shared" si="78"/>
        <v>6547058.823529412</v>
      </c>
      <c r="P128" s="90">
        <f t="shared" si="78"/>
        <v>6547058.823529412</v>
      </c>
      <c r="Q128" s="90">
        <f t="shared" si="78"/>
        <v>6547058.823529412</v>
      </c>
      <c r="R128" s="90">
        <f t="shared" si="78"/>
        <v>6547058.823529412</v>
      </c>
      <c r="S128" s="90">
        <f t="shared" si="78"/>
        <v>6547058.823529412</v>
      </c>
      <c r="T128" s="90">
        <f t="shared" si="78"/>
        <v>6547058.823529412</v>
      </c>
      <c r="U128" s="90">
        <f t="shared" si="78"/>
        <v>6547058.823529412</v>
      </c>
      <c r="V128" s="90">
        <f t="shared" si="78"/>
        <v>6547058.823529412</v>
      </c>
      <c r="W128" s="90">
        <f t="shared" si="78"/>
        <v>6547058.823529412</v>
      </c>
      <c r="X128" s="90">
        <f t="shared" si="78"/>
        <v>6547058.823529412</v>
      </c>
      <c r="Y128" s="90">
        <f t="shared" si="78"/>
        <v>6547058.823529412</v>
      </c>
      <c r="Z128" s="90">
        <f t="shared" si="78"/>
        <v>6547058.823529412</v>
      </c>
      <c r="AA128" s="90">
        <f t="shared" si="78"/>
        <v>6547058.823529412</v>
      </c>
      <c r="AB128" s="90">
        <f t="shared" si="78"/>
        <v>0</v>
      </c>
      <c r="AC128" s="90">
        <f t="shared" si="78"/>
        <v>0</v>
      </c>
      <c r="AD128" s="90">
        <f t="shared" si="78"/>
        <v>0</v>
      </c>
      <c r="AE128" s="90">
        <f t="shared" si="78"/>
        <v>0</v>
      </c>
      <c r="AF128" s="90">
        <f t="shared" si="78"/>
        <v>0</v>
      </c>
      <c r="AG128" s="90">
        <f t="shared" si="78"/>
        <v>0</v>
      </c>
      <c r="AH128" s="90">
        <f t="shared" si="78"/>
        <v>0</v>
      </c>
      <c r="AI128" s="90">
        <f t="shared" si="78"/>
        <v>0</v>
      </c>
      <c r="AJ128" s="90">
        <f t="shared" si="78"/>
        <v>0</v>
      </c>
      <c r="AK128" s="90">
        <f t="shared" si="78"/>
        <v>0</v>
      </c>
      <c r="AL128" s="90">
        <f t="shared" si="78"/>
        <v>0</v>
      </c>
      <c r="AM128" s="90">
        <f t="shared" ref="AM128:BO128" si="79">AM82</f>
        <v>0</v>
      </c>
      <c r="AN128" s="90">
        <f t="shared" si="79"/>
        <v>0</v>
      </c>
      <c r="AO128" s="90">
        <f t="shared" si="79"/>
        <v>0</v>
      </c>
      <c r="AP128" s="90">
        <f t="shared" si="79"/>
        <v>0</v>
      </c>
      <c r="AQ128" s="90">
        <f t="shared" si="79"/>
        <v>0</v>
      </c>
      <c r="AR128" s="90">
        <f t="shared" si="79"/>
        <v>0</v>
      </c>
      <c r="AS128" s="90">
        <f t="shared" si="79"/>
        <v>0</v>
      </c>
      <c r="AT128" s="90">
        <f t="shared" si="79"/>
        <v>0</v>
      </c>
      <c r="AU128" s="90">
        <f t="shared" si="79"/>
        <v>0</v>
      </c>
      <c r="AV128" s="90">
        <f t="shared" si="79"/>
        <v>0</v>
      </c>
      <c r="AW128" s="90">
        <f t="shared" si="79"/>
        <v>0</v>
      </c>
      <c r="AX128" s="90">
        <f t="shared" si="79"/>
        <v>0</v>
      </c>
      <c r="AY128" s="90">
        <f t="shared" si="79"/>
        <v>0</v>
      </c>
      <c r="AZ128" s="90">
        <f t="shared" si="79"/>
        <v>0</v>
      </c>
      <c r="BA128" s="90">
        <f t="shared" si="79"/>
        <v>0</v>
      </c>
      <c r="BB128" s="90">
        <f t="shared" si="79"/>
        <v>0</v>
      </c>
      <c r="BC128" s="90">
        <f t="shared" si="79"/>
        <v>0</v>
      </c>
      <c r="BD128" s="90">
        <f t="shared" si="79"/>
        <v>0</v>
      </c>
      <c r="BE128" s="90">
        <f t="shared" si="79"/>
        <v>0</v>
      </c>
      <c r="BF128" s="90">
        <f t="shared" si="79"/>
        <v>0</v>
      </c>
      <c r="BG128" s="90">
        <f t="shared" si="79"/>
        <v>0</v>
      </c>
      <c r="BH128" s="90">
        <f t="shared" si="79"/>
        <v>0</v>
      </c>
      <c r="BI128" s="90">
        <f t="shared" si="79"/>
        <v>0</v>
      </c>
      <c r="BJ128" s="90">
        <f t="shared" si="79"/>
        <v>0</v>
      </c>
      <c r="BK128" s="90">
        <f t="shared" si="79"/>
        <v>0</v>
      </c>
      <c r="BL128" s="90">
        <f t="shared" si="79"/>
        <v>0</v>
      </c>
      <c r="BM128" s="90">
        <f t="shared" si="79"/>
        <v>0</v>
      </c>
      <c r="BN128" s="90">
        <f t="shared" si="79"/>
        <v>0</v>
      </c>
      <c r="BO128" s="90">
        <f t="shared" si="79"/>
        <v>0</v>
      </c>
    </row>
    <row r="129" spans="1:67">
      <c r="A129" s="11"/>
      <c r="B129" s="11" t="s">
        <v>198</v>
      </c>
      <c r="C129" s="11"/>
      <c r="D129" s="11"/>
      <c r="E129" s="92">
        <f>'01 Major Assumptions'!$D$175</f>
        <v>5</v>
      </c>
      <c r="F129" s="3"/>
      <c r="G129" s="90">
        <f t="shared" ref="G129:AL129" si="80">G87</f>
        <v>960000</v>
      </c>
      <c r="H129" s="90">
        <f t="shared" si="80"/>
        <v>960000</v>
      </c>
      <c r="I129" s="90">
        <f t="shared" si="80"/>
        <v>960000</v>
      </c>
      <c r="J129" s="90">
        <f t="shared" si="80"/>
        <v>840000.00000000012</v>
      </c>
      <c r="K129" s="90">
        <f t="shared" si="80"/>
        <v>840000.00000000012</v>
      </c>
      <c r="L129" s="90">
        <f t="shared" si="80"/>
        <v>840000.00000000012</v>
      </c>
      <c r="M129" s="90">
        <f t="shared" si="80"/>
        <v>840000.00000000012</v>
      </c>
      <c r="N129" s="90">
        <f t="shared" si="80"/>
        <v>840000.00000000012</v>
      </c>
      <c r="O129" s="90">
        <f t="shared" si="80"/>
        <v>840000.00000000012</v>
      </c>
      <c r="P129" s="90">
        <f t="shared" si="80"/>
        <v>340000</v>
      </c>
      <c r="Q129" s="90">
        <f t="shared" si="80"/>
        <v>340000</v>
      </c>
      <c r="R129" s="90">
        <f t="shared" si="80"/>
        <v>340000</v>
      </c>
      <c r="S129" s="90">
        <f t="shared" si="80"/>
        <v>340000</v>
      </c>
      <c r="T129" s="90">
        <f t="shared" si="80"/>
        <v>340000</v>
      </c>
      <c r="U129" s="90">
        <f t="shared" si="80"/>
        <v>340000</v>
      </c>
      <c r="V129" s="90">
        <f t="shared" si="80"/>
        <v>340000</v>
      </c>
      <c r="W129" s="90">
        <f t="shared" si="80"/>
        <v>340000</v>
      </c>
      <c r="X129" s="90">
        <f t="shared" si="80"/>
        <v>340000</v>
      </c>
      <c r="Y129" s="90">
        <f t="shared" si="80"/>
        <v>340000</v>
      </c>
      <c r="Z129" s="90">
        <f t="shared" si="80"/>
        <v>340000</v>
      </c>
      <c r="AA129" s="90">
        <f t="shared" si="80"/>
        <v>340000</v>
      </c>
      <c r="AB129" s="90">
        <f t="shared" si="80"/>
        <v>0</v>
      </c>
      <c r="AC129" s="90">
        <f t="shared" si="80"/>
        <v>0</v>
      </c>
      <c r="AD129" s="90">
        <f t="shared" si="80"/>
        <v>0</v>
      </c>
      <c r="AE129" s="90">
        <f t="shared" si="80"/>
        <v>0</v>
      </c>
      <c r="AF129" s="90">
        <f t="shared" si="80"/>
        <v>0</v>
      </c>
      <c r="AG129" s="90">
        <f t="shared" si="80"/>
        <v>0</v>
      </c>
      <c r="AH129" s="90">
        <f t="shared" si="80"/>
        <v>0</v>
      </c>
      <c r="AI129" s="90">
        <f t="shared" si="80"/>
        <v>0</v>
      </c>
      <c r="AJ129" s="90">
        <f t="shared" si="80"/>
        <v>0</v>
      </c>
      <c r="AK129" s="90">
        <f t="shared" si="80"/>
        <v>0</v>
      </c>
      <c r="AL129" s="90">
        <f t="shared" si="80"/>
        <v>0</v>
      </c>
      <c r="AM129" s="90">
        <f t="shared" ref="AM129:BO129" si="81">AM87</f>
        <v>0</v>
      </c>
      <c r="AN129" s="90">
        <f t="shared" si="81"/>
        <v>0</v>
      </c>
      <c r="AO129" s="90">
        <f t="shared" si="81"/>
        <v>0</v>
      </c>
      <c r="AP129" s="90">
        <f t="shared" si="81"/>
        <v>0</v>
      </c>
      <c r="AQ129" s="90">
        <f t="shared" si="81"/>
        <v>0</v>
      </c>
      <c r="AR129" s="90">
        <f t="shared" si="81"/>
        <v>0</v>
      </c>
      <c r="AS129" s="90">
        <f t="shared" si="81"/>
        <v>0</v>
      </c>
      <c r="AT129" s="90">
        <f t="shared" si="81"/>
        <v>0</v>
      </c>
      <c r="AU129" s="90">
        <f t="shared" si="81"/>
        <v>0</v>
      </c>
      <c r="AV129" s="90">
        <f t="shared" si="81"/>
        <v>0</v>
      </c>
      <c r="AW129" s="90">
        <f t="shared" si="81"/>
        <v>0</v>
      </c>
      <c r="AX129" s="90">
        <f t="shared" si="81"/>
        <v>0</v>
      </c>
      <c r="AY129" s="90">
        <f t="shared" si="81"/>
        <v>0</v>
      </c>
      <c r="AZ129" s="90">
        <f t="shared" si="81"/>
        <v>0</v>
      </c>
      <c r="BA129" s="90">
        <f t="shared" si="81"/>
        <v>0</v>
      </c>
      <c r="BB129" s="90">
        <f t="shared" si="81"/>
        <v>0</v>
      </c>
      <c r="BC129" s="90">
        <f t="shared" si="81"/>
        <v>0</v>
      </c>
      <c r="BD129" s="90">
        <f t="shared" si="81"/>
        <v>0</v>
      </c>
      <c r="BE129" s="90">
        <f t="shared" si="81"/>
        <v>0</v>
      </c>
      <c r="BF129" s="90">
        <f t="shared" si="81"/>
        <v>0</v>
      </c>
      <c r="BG129" s="90">
        <f t="shared" si="81"/>
        <v>0</v>
      </c>
      <c r="BH129" s="90">
        <f t="shared" si="81"/>
        <v>0</v>
      </c>
      <c r="BI129" s="90">
        <f t="shared" si="81"/>
        <v>0</v>
      </c>
      <c r="BJ129" s="90">
        <f t="shared" si="81"/>
        <v>0</v>
      </c>
      <c r="BK129" s="90">
        <f t="shared" si="81"/>
        <v>0</v>
      </c>
      <c r="BL129" s="90">
        <f t="shared" si="81"/>
        <v>0</v>
      </c>
      <c r="BM129" s="90">
        <f t="shared" si="81"/>
        <v>0</v>
      </c>
      <c r="BN129" s="90">
        <f t="shared" si="81"/>
        <v>0</v>
      </c>
      <c r="BO129" s="90">
        <f t="shared" si="81"/>
        <v>0</v>
      </c>
    </row>
    <row r="130" spans="1:67">
      <c r="A130" s="11"/>
      <c r="B130" s="11" t="s">
        <v>788</v>
      </c>
      <c r="C130" s="11"/>
      <c r="D130" s="11"/>
      <c r="E130" s="92">
        <f>'01 Major Assumptions'!$D$176</f>
        <v>5</v>
      </c>
      <c r="F130" s="3"/>
      <c r="G130" s="90">
        <f t="shared" ref="G130:AL130" si="82">G93+G96</f>
        <v>0</v>
      </c>
      <c r="H130" s="90">
        <f t="shared" si="82"/>
        <v>0</v>
      </c>
      <c r="I130" s="90">
        <f t="shared" si="82"/>
        <v>0</v>
      </c>
      <c r="J130" s="90">
        <f t="shared" si="82"/>
        <v>0</v>
      </c>
      <c r="K130" s="90">
        <f t="shared" si="82"/>
        <v>0</v>
      </c>
      <c r="L130" s="90">
        <f t="shared" si="82"/>
        <v>0</v>
      </c>
      <c r="M130" s="90">
        <f t="shared" si="82"/>
        <v>10000</v>
      </c>
      <c r="N130" s="90">
        <f t="shared" si="82"/>
        <v>10000</v>
      </c>
      <c r="O130" s="90">
        <f t="shared" si="82"/>
        <v>10000</v>
      </c>
      <c r="P130" s="90">
        <f t="shared" si="82"/>
        <v>10000</v>
      </c>
      <c r="Q130" s="90">
        <f t="shared" si="82"/>
        <v>10000</v>
      </c>
      <c r="R130" s="90">
        <f t="shared" si="82"/>
        <v>10000</v>
      </c>
      <c r="S130" s="90">
        <f t="shared" si="82"/>
        <v>676666.66666666663</v>
      </c>
      <c r="T130" s="90">
        <f t="shared" si="82"/>
        <v>676666.66666666663</v>
      </c>
      <c r="U130" s="90">
        <f t="shared" si="82"/>
        <v>676666.66666666663</v>
      </c>
      <c r="V130" s="90">
        <f t="shared" si="82"/>
        <v>676666.66666666663</v>
      </c>
      <c r="W130" s="90">
        <f t="shared" si="82"/>
        <v>676666.66666666663</v>
      </c>
      <c r="X130" s="90">
        <f t="shared" si="82"/>
        <v>676666.66666666663</v>
      </c>
      <c r="Y130" s="90">
        <f t="shared" si="82"/>
        <v>676666.66666666663</v>
      </c>
      <c r="Z130" s="90">
        <f t="shared" si="82"/>
        <v>676666.66666666663</v>
      </c>
      <c r="AA130" s="90">
        <f t="shared" si="82"/>
        <v>676666.66666666663</v>
      </c>
      <c r="AB130" s="90">
        <f t="shared" si="82"/>
        <v>0</v>
      </c>
      <c r="AC130" s="90">
        <f t="shared" si="82"/>
        <v>0</v>
      </c>
      <c r="AD130" s="90">
        <f t="shared" si="82"/>
        <v>0</v>
      </c>
      <c r="AE130" s="90">
        <f t="shared" si="82"/>
        <v>0</v>
      </c>
      <c r="AF130" s="90">
        <f t="shared" si="82"/>
        <v>0</v>
      </c>
      <c r="AG130" s="90">
        <f t="shared" si="82"/>
        <v>0</v>
      </c>
      <c r="AH130" s="90">
        <f t="shared" si="82"/>
        <v>0</v>
      </c>
      <c r="AI130" s="90">
        <f t="shared" si="82"/>
        <v>0</v>
      </c>
      <c r="AJ130" s="90">
        <f t="shared" si="82"/>
        <v>0</v>
      </c>
      <c r="AK130" s="90">
        <f t="shared" si="82"/>
        <v>0</v>
      </c>
      <c r="AL130" s="90">
        <f t="shared" si="82"/>
        <v>0</v>
      </c>
      <c r="AM130" s="90">
        <f t="shared" ref="AM130:BO130" si="83">AM93+AM96</f>
        <v>0</v>
      </c>
      <c r="AN130" s="90">
        <f t="shared" si="83"/>
        <v>0</v>
      </c>
      <c r="AO130" s="90">
        <f t="shared" si="83"/>
        <v>0</v>
      </c>
      <c r="AP130" s="90">
        <f t="shared" si="83"/>
        <v>0</v>
      </c>
      <c r="AQ130" s="90">
        <f t="shared" si="83"/>
        <v>0</v>
      </c>
      <c r="AR130" s="90">
        <f t="shared" si="83"/>
        <v>0</v>
      </c>
      <c r="AS130" s="90">
        <f t="shared" si="83"/>
        <v>0</v>
      </c>
      <c r="AT130" s="90">
        <f t="shared" si="83"/>
        <v>0</v>
      </c>
      <c r="AU130" s="90">
        <f t="shared" si="83"/>
        <v>0</v>
      </c>
      <c r="AV130" s="90">
        <f t="shared" si="83"/>
        <v>0</v>
      </c>
      <c r="AW130" s="90">
        <f t="shared" si="83"/>
        <v>0</v>
      </c>
      <c r="AX130" s="90">
        <f t="shared" si="83"/>
        <v>0</v>
      </c>
      <c r="AY130" s="90">
        <f t="shared" si="83"/>
        <v>0</v>
      </c>
      <c r="AZ130" s="90">
        <f t="shared" si="83"/>
        <v>0</v>
      </c>
      <c r="BA130" s="90">
        <f t="shared" si="83"/>
        <v>0</v>
      </c>
      <c r="BB130" s="90">
        <f t="shared" si="83"/>
        <v>0</v>
      </c>
      <c r="BC130" s="90">
        <f t="shared" si="83"/>
        <v>0</v>
      </c>
      <c r="BD130" s="90">
        <f t="shared" si="83"/>
        <v>0</v>
      </c>
      <c r="BE130" s="90">
        <f t="shared" si="83"/>
        <v>0</v>
      </c>
      <c r="BF130" s="90">
        <f t="shared" si="83"/>
        <v>0</v>
      </c>
      <c r="BG130" s="90">
        <f t="shared" si="83"/>
        <v>0</v>
      </c>
      <c r="BH130" s="90">
        <f t="shared" si="83"/>
        <v>0</v>
      </c>
      <c r="BI130" s="90">
        <f t="shared" si="83"/>
        <v>0</v>
      </c>
      <c r="BJ130" s="90">
        <f t="shared" si="83"/>
        <v>0</v>
      </c>
      <c r="BK130" s="90">
        <f t="shared" si="83"/>
        <v>0</v>
      </c>
      <c r="BL130" s="90">
        <f t="shared" si="83"/>
        <v>0</v>
      </c>
      <c r="BM130" s="90">
        <f t="shared" si="83"/>
        <v>0</v>
      </c>
      <c r="BN130" s="90">
        <f t="shared" si="83"/>
        <v>0</v>
      </c>
      <c r="BO130" s="90">
        <f t="shared" si="83"/>
        <v>0</v>
      </c>
    </row>
    <row r="131" spans="1:67">
      <c r="A131" s="11"/>
      <c r="B131" s="11" t="s">
        <v>789</v>
      </c>
      <c r="C131" s="11"/>
      <c r="D131" s="11"/>
      <c r="E131" s="92">
        <f>'01 Major Assumptions'!$D$178</f>
        <v>5</v>
      </c>
      <c r="F131" s="3"/>
      <c r="G131" s="90">
        <f>G88+G89+G90+G94+G95+G99+G100+G101</f>
        <v>4767000</v>
      </c>
      <c r="H131" s="90">
        <f t="shared" ref="H131:BO131" si="84">H88+H89+H90+H94+H95+H99+H100+H101</f>
        <v>4767000</v>
      </c>
      <c r="I131" s="90">
        <f t="shared" si="84"/>
        <v>4767000</v>
      </c>
      <c r="J131" s="90">
        <f t="shared" si="84"/>
        <v>4227000</v>
      </c>
      <c r="K131" s="90">
        <f t="shared" si="84"/>
        <v>4227000</v>
      </c>
      <c r="L131" s="90">
        <f t="shared" si="84"/>
        <v>4227000</v>
      </c>
      <c r="M131" s="90">
        <f t="shared" si="84"/>
        <v>4227000</v>
      </c>
      <c r="N131" s="90">
        <f t="shared" si="84"/>
        <v>4227000</v>
      </c>
      <c r="O131" s="90">
        <f t="shared" si="84"/>
        <v>4227000</v>
      </c>
      <c r="P131" s="90">
        <f t="shared" si="84"/>
        <v>1977000.0000000002</v>
      </c>
      <c r="Q131" s="90">
        <f t="shared" si="84"/>
        <v>1977000.0000000002</v>
      </c>
      <c r="R131" s="90">
        <f t="shared" si="84"/>
        <v>1977000.0000000002</v>
      </c>
      <c r="S131" s="90">
        <f t="shared" si="84"/>
        <v>1977000.0000000002</v>
      </c>
      <c r="T131" s="90">
        <f t="shared" si="84"/>
        <v>1977000.0000000002</v>
      </c>
      <c r="U131" s="90">
        <f t="shared" si="84"/>
        <v>1977000.0000000002</v>
      </c>
      <c r="V131" s="90">
        <f t="shared" si="84"/>
        <v>1977000.0000000002</v>
      </c>
      <c r="W131" s="90">
        <f t="shared" si="84"/>
        <v>1977000.0000000002</v>
      </c>
      <c r="X131" s="90">
        <f t="shared" si="84"/>
        <v>1977000.0000000002</v>
      </c>
      <c r="Y131" s="90">
        <f t="shared" si="84"/>
        <v>1977000.0000000002</v>
      </c>
      <c r="Z131" s="90">
        <f t="shared" si="84"/>
        <v>1977000.0000000002</v>
      </c>
      <c r="AA131" s="90">
        <f t="shared" si="84"/>
        <v>2440000</v>
      </c>
      <c r="AB131" s="90">
        <f t="shared" si="84"/>
        <v>0</v>
      </c>
      <c r="AC131" s="90">
        <f t="shared" si="84"/>
        <v>0</v>
      </c>
      <c r="AD131" s="90">
        <f t="shared" si="84"/>
        <v>0</v>
      </c>
      <c r="AE131" s="90">
        <f t="shared" si="84"/>
        <v>0</v>
      </c>
      <c r="AF131" s="90">
        <f t="shared" si="84"/>
        <v>0</v>
      </c>
      <c r="AG131" s="90">
        <f t="shared" si="84"/>
        <v>0</v>
      </c>
      <c r="AH131" s="90">
        <f t="shared" si="84"/>
        <v>0</v>
      </c>
      <c r="AI131" s="90">
        <f t="shared" si="84"/>
        <v>0</v>
      </c>
      <c r="AJ131" s="90">
        <f t="shared" si="84"/>
        <v>0</v>
      </c>
      <c r="AK131" s="90">
        <f t="shared" si="84"/>
        <v>0</v>
      </c>
      <c r="AL131" s="90">
        <f t="shared" si="84"/>
        <v>0</v>
      </c>
      <c r="AM131" s="90">
        <f t="shared" si="84"/>
        <v>0</v>
      </c>
      <c r="AN131" s="90">
        <f t="shared" si="84"/>
        <v>0</v>
      </c>
      <c r="AO131" s="90">
        <f t="shared" si="84"/>
        <v>0</v>
      </c>
      <c r="AP131" s="90">
        <f t="shared" si="84"/>
        <v>0</v>
      </c>
      <c r="AQ131" s="90">
        <f t="shared" si="84"/>
        <v>0</v>
      </c>
      <c r="AR131" s="90">
        <f t="shared" si="84"/>
        <v>0</v>
      </c>
      <c r="AS131" s="90">
        <f t="shared" si="84"/>
        <v>0</v>
      </c>
      <c r="AT131" s="90">
        <f t="shared" si="84"/>
        <v>0</v>
      </c>
      <c r="AU131" s="90">
        <f t="shared" si="84"/>
        <v>0</v>
      </c>
      <c r="AV131" s="90">
        <f t="shared" si="84"/>
        <v>0</v>
      </c>
      <c r="AW131" s="90">
        <f t="shared" si="84"/>
        <v>0</v>
      </c>
      <c r="AX131" s="90">
        <f t="shared" si="84"/>
        <v>0</v>
      </c>
      <c r="AY131" s="90">
        <f t="shared" si="84"/>
        <v>0</v>
      </c>
      <c r="AZ131" s="90">
        <f t="shared" si="84"/>
        <v>0</v>
      </c>
      <c r="BA131" s="90">
        <f t="shared" si="84"/>
        <v>0</v>
      </c>
      <c r="BB131" s="90">
        <f t="shared" si="84"/>
        <v>0</v>
      </c>
      <c r="BC131" s="90">
        <f t="shared" si="84"/>
        <v>0</v>
      </c>
      <c r="BD131" s="90">
        <f t="shared" si="84"/>
        <v>0</v>
      </c>
      <c r="BE131" s="90">
        <f t="shared" si="84"/>
        <v>0</v>
      </c>
      <c r="BF131" s="90">
        <f t="shared" si="84"/>
        <v>0</v>
      </c>
      <c r="BG131" s="90">
        <f t="shared" si="84"/>
        <v>0</v>
      </c>
      <c r="BH131" s="90">
        <f t="shared" si="84"/>
        <v>0</v>
      </c>
      <c r="BI131" s="90">
        <f t="shared" si="84"/>
        <v>0</v>
      </c>
      <c r="BJ131" s="90">
        <f t="shared" si="84"/>
        <v>0</v>
      </c>
      <c r="BK131" s="90">
        <f t="shared" si="84"/>
        <v>0</v>
      </c>
      <c r="BL131" s="90">
        <f t="shared" si="84"/>
        <v>0</v>
      </c>
      <c r="BM131" s="90">
        <f t="shared" si="84"/>
        <v>0</v>
      </c>
      <c r="BN131" s="90">
        <f t="shared" si="84"/>
        <v>0</v>
      </c>
      <c r="BO131" s="90">
        <f t="shared" si="84"/>
        <v>0</v>
      </c>
    </row>
    <row r="132" spans="1:67">
      <c r="A132" s="11"/>
      <c r="B132" s="11" t="s">
        <v>325</v>
      </c>
      <c r="C132" s="11"/>
      <c r="D132" s="11"/>
      <c r="E132" s="92">
        <f>'01 Major Assumptions'!$D$179</f>
        <v>30</v>
      </c>
      <c r="F132" s="3"/>
      <c r="G132" s="90">
        <f t="shared" ref="G132:AL132" si="85">G91+G92</f>
        <v>1520000</v>
      </c>
      <c r="H132" s="90">
        <f t="shared" si="85"/>
        <v>1520000</v>
      </c>
      <c r="I132" s="90">
        <f t="shared" si="85"/>
        <v>1520000</v>
      </c>
      <c r="J132" s="90">
        <f t="shared" si="85"/>
        <v>1330000.0000000002</v>
      </c>
      <c r="K132" s="90">
        <f t="shared" si="85"/>
        <v>1330000.0000000002</v>
      </c>
      <c r="L132" s="90">
        <f t="shared" si="85"/>
        <v>1330000.0000000002</v>
      </c>
      <c r="M132" s="90">
        <f t="shared" si="85"/>
        <v>1330000.0000000002</v>
      </c>
      <c r="N132" s="90">
        <f t="shared" si="85"/>
        <v>1330000.0000000002</v>
      </c>
      <c r="O132" s="90">
        <f t="shared" si="85"/>
        <v>1330000.0000000002</v>
      </c>
      <c r="P132" s="90">
        <f t="shared" si="85"/>
        <v>538333.33333333337</v>
      </c>
      <c r="Q132" s="90">
        <f t="shared" si="85"/>
        <v>538333.33333333337</v>
      </c>
      <c r="R132" s="90">
        <f t="shared" si="85"/>
        <v>538333.33333333337</v>
      </c>
      <c r="S132" s="90">
        <f t="shared" si="85"/>
        <v>538333.33333333337</v>
      </c>
      <c r="T132" s="90">
        <f t="shared" si="85"/>
        <v>538333.33333333337</v>
      </c>
      <c r="U132" s="90">
        <f t="shared" si="85"/>
        <v>538333.33333333337</v>
      </c>
      <c r="V132" s="90">
        <f t="shared" si="85"/>
        <v>538333.33333333337</v>
      </c>
      <c r="W132" s="90">
        <f t="shared" si="85"/>
        <v>538333.33333333337</v>
      </c>
      <c r="X132" s="90">
        <f t="shared" si="85"/>
        <v>538333.33333333337</v>
      </c>
      <c r="Y132" s="90">
        <f t="shared" si="85"/>
        <v>538333.33333333337</v>
      </c>
      <c r="Z132" s="90">
        <f t="shared" si="85"/>
        <v>538333.33333333337</v>
      </c>
      <c r="AA132" s="90">
        <f t="shared" si="85"/>
        <v>538333.33333333337</v>
      </c>
      <c r="AB132" s="90">
        <f t="shared" si="85"/>
        <v>0</v>
      </c>
      <c r="AC132" s="90">
        <f t="shared" si="85"/>
        <v>0</v>
      </c>
      <c r="AD132" s="90">
        <f t="shared" si="85"/>
        <v>0</v>
      </c>
      <c r="AE132" s="90">
        <f t="shared" si="85"/>
        <v>0</v>
      </c>
      <c r="AF132" s="90">
        <f t="shared" si="85"/>
        <v>0</v>
      </c>
      <c r="AG132" s="90">
        <f t="shared" si="85"/>
        <v>0</v>
      </c>
      <c r="AH132" s="90">
        <f t="shared" si="85"/>
        <v>0</v>
      </c>
      <c r="AI132" s="90">
        <f t="shared" si="85"/>
        <v>0</v>
      </c>
      <c r="AJ132" s="90">
        <f t="shared" si="85"/>
        <v>0</v>
      </c>
      <c r="AK132" s="90">
        <f t="shared" si="85"/>
        <v>0</v>
      </c>
      <c r="AL132" s="90">
        <f t="shared" si="85"/>
        <v>0</v>
      </c>
      <c r="AM132" s="90">
        <f t="shared" ref="AM132:BO132" si="86">AM91+AM92</f>
        <v>0</v>
      </c>
      <c r="AN132" s="90">
        <f t="shared" si="86"/>
        <v>0</v>
      </c>
      <c r="AO132" s="90">
        <f t="shared" si="86"/>
        <v>0</v>
      </c>
      <c r="AP132" s="90">
        <f t="shared" si="86"/>
        <v>0</v>
      </c>
      <c r="AQ132" s="90">
        <f t="shared" si="86"/>
        <v>0</v>
      </c>
      <c r="AR132" s="90">
        <f t="shared" si="86"/>
        <v>0</v>
      </c>
      <c r="AS132" s="90">
        <f t="shared" si="86"/>
        <v>0</v>
      </c>
      <c r="AT132" s="90">
        <f t="shared" si="86"/>
        <v>0</v>
      </c>
      <c r="AU132" s="90">
        <f t="shared" si="86"/>
        <v>0</v>
      </c>
      <c r="AV132" s="90">
        <f t="shared" si="86"/>
        <v>0</v>
      </c>
      <c r="AW132" s="90">
        <f t="shared" si="86"/>
        <v>0</v>
      </c>
      <c r="AX132" s="90">
        <f t="shared" si="86"/>
        <v>0</v>
      </c>
      <c r="AY132" s="90">
        <f t="shared" si="86"/>
        <v>0</v>
      </c>
      <c r="AZ132" s="90">
        <f t="shared" si="86"/>
        <v>0</v>
      </c>
      <c r="BA132" s="90">
        <f t="shared" si="86"/>
        <v>0</v>
      </c>
      <c r="BB132" s="90">
        <f t="shared" si="86"/>
        <v>0</v>
      </c>
      <c r="BC132" s="90">
        <f t="shared" si="86"/>
        <v>0</v>
      </c>
      <c r="BD132" s="90">
        <f t="shared" si="86"/>
        <v>0</v>
      </c>
      <c r="BE132" s="90">
        <f t="shared" si="86"/>
        <v>0</v>
      </c>
      <c r="BF132" s="90">
        <f t="shared" si="86"/>
        <v>0</v>
      </c>
      <c r="BG132" s="90">
        <f t="shared" si="86"/>
        <v>0</v>
      </c>
      <c r="BH132" s="90">
        <f t="shared" si="86"/>
        <v>0</v>
      </c>
      <c r="BI132" s="90">
        <f t="shared" si="86"/>
        <v>0</v>
      </c>
      <c r="BJ132" s="90">
        <f t="shared" si="86"/>
        <v>0</v>
      </c>
      <c r="BK132" s="90">
        <f t="shared" si="86"/>
        <v>0</v>
      </c>
      <c r="BL132" s="90">
        <f t="shared" si="86"/>
        <v>0</v>
      </c>
      <c r="BM132" s="90">
        <f t="shared" si="86"/>
        <v>0</v>
      </c>
      <c r="BN132" s="90">
        <f t="shared" si="86"/>
        <v>0</v>
      </c>
      <c r="BO132" s="90">
        <f t="shared" si="86"/>
        <v>0</v>
      </c>
    </row>
    <row r="133" spans="1:67">
      <c r="A133" s="11"/>
      <c r="B133" s="11" t="s">
        <v>326</v>
      </c>
      <c r="C133" s="11"/>
      <c r="D133" s="11"/>
      <c r="E133" s="92">
        <f>'01 Major Assumptions'!$D$180</f>
        <v>15</v>
      </c>
      <c r="F133" s="3"/>
      <c r="G133" s="90">
        <f>G105+G106+G107</f>
        <v>0</v>
      </c>
      <c r="H133" s="90">
        <f t="shared" ref="H133:BO133" si="87">H105+H106+H107</f>
        <v>0</v>
      </c>
      <c r="I133" s="90">
        <f t="shared" si="87"/>
        <v>0</v>
      </c>
      <c r="J133" s="90">
        <f t="shared" si="87"/>
        <v>0</v>
      </c>
      <c r="K133" s="90">
        <f t="shared" si="87"/>
        <v>0</v>
      </c>
      <c r="L133" s="90">
        <f t="shared" si="87"/>
        <v>0</v>
      </c>
      <c r="M133" s="90">
        <f t="shared" si="87"/>
        <v>0</v>
      </c>
      <c r="N133" s="90">
        <f t="shared" si="87"/>
        <v>0</v>
      </c>
      <c r="O133" s="90">
        <f t="shared" si="87"/>
        <v>0</v>
      </c>
      <c r="P133" s="90">
        <f t="shared" si="87"/>
        <v>0</v>
      </c>
      <c r="Q133" s="90">
        <f t="shared" si="87"/>
        <v>21378354.166666668</v>
      </c>
      <c r="R133" s="90">
        <f t="shared" si="87"/>
        <v>633367.40042892098</v>
      </c>
      <c r="S133" s="90">
        <f t="shared" si="87"/>
        <v>991536.38397862983</v>
      </c>
      <c r="T133" s="90">
        <f t="shared" si="87"/>
        <v>1355256.5606336775</v>
      </c>
      <c r="U133" s="90">
        <f t="shared" si="87"/>
        <v>1720946.888245607</v>
      </c>
      <c r="V133" s="90">
        <f t="shared" si="87"/>
        <v>2088618.038465434</v>
      </c>
      <c r="W133" s="90">
        <f t="shared" si="87"/>
        <v>2458280.7407489517</v>
      </c>
      <c r="X133" s="90">
        <f t="shared" si="87"/>
        <v>2829945.782669839</v>
      </c>
      <c r="Y133" s="90">
        <f t="shared" si="87"/>
        <v>3203624.010234464</v>
      </c>
      <c r="Z133" s="90">
        <f t="shared" si="87"/>
        <v>3579326.3281983975</v>
      </c>
      <c r="AA133" s="90">
        <f t="shared" si="87"/>
        <v>3760743.6997294091</v>
      </c>
      <c r="AB133" s="90">
        <f t="shared" si="87"/>
        <v>0</v>
      </c>
      <c r="AC133" s="90">
        <f t="shared" si="87"/>
        <v>0</v>
      </c>
      <c r="AD133" s="90">
        <f t="shared" si="87"/>
        <v>0</v>
      </c>
      <c r="AE133" s="90">
        <f t="shared" si="87"/>
        <v>0</v>
      </c>
      <c r="AF133" s="90">
        <f t="shared" si="87"/>
        <v>0</v>
      </c>
      <c r="AG133" s="90">
        <f t="shared" si="87"/>
        <v>0</v>
      </c>
      <c r="AH133" s="90">
        <f t="shared" si="87"/>
        <v>0</v>
      </c>
      <c r="AI133" s="90">
        <f t="shared" si="87"/>
        <v>0</v>
      </c>
      <c r="AJ133" s="90">
        <f t="shared" si="87"/>
        <v>0</v>
      </c>
      <c r="AK133" s="90">
        <f t="shared" si="87"/>
        <v>0</v>
      </c>
      <c r="AL133" s="90">
        <f t="shared" si="87"/>
        <v>0</v>
      </c>
      <c r="AM133" s="90">
        <f t="shared" si="87"/>
        <v>0</v>
      </c>
      <c r="AN133" s="90">
        <f t="shared" si="87"/>
        <v>0</v>
      </c>
      <c r="AO133" s="90">
        <f t="shared" si="87"/>
        <v>0</v>
      </c>
      <c r="AP133" s="90">
        <f t="shared" si="87"/>
        <v>0</v>
      </c>
      <c r="AQ133" s="90">
        <f t="shared" si="87"/>
        <v>0</v>
      </c>
      <c r="AR133" s="90">
        <f t="shared" si="87"/>
        <v>0</v>
      </c>
      <c r="AS133" s="90">
        <f t="shared" si="87"/>
        <v>0</v>
      </c>
      <c r="AT133" s="90">
        <f t="shared" si="87"/>
        <v>0</v>
      </c>
      <c r="AU133" s="90">
        <f t="shared" si="87"/>
        <v>0</v>
      </c>
      <c r="AV133" s="90">
        <f t="shared" si="87"/>
        <v>0</v>
      </c>
      <c r="AW133" s="90">
        <f t="shared" si="87"/>
        <v>0</v>
      </c>
      <c r="AX133" s="90">
        <f t="shared" si="87"/>
        <v>0</v>
      </c>
      <c r="AY133" s="90">
        <f t="shared" si="87"/>
        <v>0</v>
      </c>
      <c r="AZ133" s="90">
        <f t="shared" si="87"/>
        <v>0</v>
      </c>
      <c r="BA133" s="90">
        <f t="shared" si="87"/>
        <v>0</v>
      </c>
      <c r="BB133" s="90">
        <f t="shared" si="87"/>
        <v>0</v>
      </c>
      <c r="BC133" s="90">
        <f t="shared" si="87"/>
        <v>0</v>
      </c>
      <c r="BD133" s="90">
        <f t="shared" si="87"/>
        <v>0</v>
      </c>
      <c r="BE133" s="90">
        <f t="shared" si="87"/>
        <v>0</v>
      </c>
      <c r="BF133" s="90">
        <f t="shared" si="87"/>
        <v>0</v>
      </c>
      <c r="BG133" s="90">
        <f t="shared" si="87"/>
        <v>0</v>
      </c>
      <c r="BH133" s="90">
        <f t="shared" si="87"/>
        <v>0</v>
      </c>
      <c r="BI133" s="90">
        <f t="shared" si="87"/>
        <v>0</v>
      </c>
      <c r="BJ133" s="90">
        <f t="shared" si="87"/>
        <v>0</v>
      </c>
      <c r="BK133" s="90">
        <f t="shared" si="87"/>
        <v>0</v>
      </c>
      <c r="BL133" s="90">
        <f t="shared" si="87"/>
        <v>0</v>
      </c>
      <c r="BM133" s="90">
        <f t="shared" si="87"/>
        <v>0</v>
      </c>
      <c r="BN133" s="90">
        <f t="shared" si="87"/>
        <v>0</v>
      </c>
      <c r="BO133" s="90">
        <f t="shared" si="87"/>
        <v>0</v>
      </c>
    </row>
    <row r="134" spans="1:67">
      <c r="A134" s="11"/>
      <c r="B134" s="22" t="s">
        <v>327</v>
      </c>
      <c r="C134" s="22"/>
      <c r="D134" s="11"/>
      <c r="E134" s="3"/>
      <c r="F134" s="3"/>
      <c r="G134" s="89">
        <f>SUM(G122:G133)</f>
        <v>23407000</v>
      </c>
      <c r="H134" s="89">
        <f t="shared" ref="H134:BI134" si="88">SUM(H122:H133)</f>
        <v>23407000</v>
      </c>
      <c r="I134" s="89">
        <f t="shared" si="88"/>
        <v>23407000</v>
      </c>
      <c r="J134" s="89">
        <f t="shared" si="88"/>
        <v>269537000</v>
      </c>
      <c r="K134" s="89">
        <f t="shared" si="88"/>
        <v>54713470.588235304</v>
      </c>
      <c r="L134" s="89">
        <f t="shared" si="88"/>
        <v>54713470.588235304</v>
      </c>
      <c r="M134" s="89">
        <f t="shared" si="88"/>
        <v>54723470.588235304</v>
      </c>
      <c r="N134" s="89">
        <f t="shared" si="88"/>
        <v>54723470.588235304</v>
      </c>
      <c r="O134" s="89">
        <f t="shared" si="88"/>
        <v>54723470.588235304</v>
      </c>
      <c r="P134" s="89">
        <f t="shared" si="88"/>
        <v>65490137.254901968</v>
      </c>
      <c r="Q134" s="89">
        <f t="shared" si="88"/>
        <v>86868491.421568632</v>
      </c>
      <c r="R134" s="89">
        <f t="shared" si="88"/>
        <v>66123504.655330889</v>
      </c>
      <c r="S134" s="89">
        <f t="shared" si="88"/>
        <v>67148340.305547267</v>
      </c>
      <c r="T134" s="89">
        <f t="shared" si="88"/>
        <v>67512060.482202306</v>
      </c>
      <c r="U134" s="89">
        <f t="shared" si="88"/>
        <v>67877750.809814245</v>
      </c>
      <c r="V134" s="89">
        <f t="shared" si="88"/>
        <v>68245421.960034072</v>
      </c>
      <c r="W134" s="89">
        <f t="shared" si="88"/>
        <v>68615084.662317589</v>
      </c>
      <c r="X134" s="89">
        <f t="shared" si="88"/>
        <v>68986749.704238474</v>
      </c>
      <c r="Y134" s="89">
        <f t="shared" si="88"/>
        <v>69360427.931803092</v>
      </c>
      <c r="Z134" s="89">
        <f t="shared" si="88"/>
        <v>69736130.249767035</v>
      </c>
      <c r="AA134" s="89">
        <f t="shared" si="88"/>
        <v>70380547.621298045</v>
      </c>
      <c r="AB134" s="89">
        <f t="shared" si="88"/>
        <v>1812500</v>
      </c>
      <c r="AC134" s="89">
        <f t="shared" si="88"/>
        <v>1812500</v>
      </c>
      <c r="AD134" s="89">
        <f t="shared" si="88"/>
        <v>1812500</v>
      </c>
      <c r="AE134" s="89">
        <f t="shared" si="88"/>
        <v>1812500</v>
      </c>
      <c r="AF134" s="89">
        <f t="shared" si="88"/>
        <v>1812500</v>
      </c>
      <c r="AG134" s="89">
        <f t="shared" si="88"/>
        <v>1812500</v>
      </c>
      <c r="AH134" s="89">
        <f t="shared" si="88"/>
        <v>1812500</v>
      </c>
      <c r="AI134" s="89">
        <f t="shared" si="88"/>
        <v>1812500</v>
      </c>
      <c r="AJ134" s="89">
        <f t="shared" si="88"/>
        <v>1812500</v>
      </c>
      <c r="AK134" s="89">
        <f t="shared" si="88"/>
        <v>1812500</v>
      </c>
      <c r="AL134" s="89">
        <f t="shared" si="88"/>
        <v>1812500</v>
      </c>
      <c r="AM134" s="89">
        <f t="shared" si="88"/>
        <v>1812500</v>
      </c>
      <c r="AN134" s="89">
        <f t="shared" si="88"/>
        <v>1812500</v>
      </c>
      <c r="AO134" s="89">
        <f t="shared" si="88"/>
        <v>1812500</v>
      </c>
      <c r="AP134" s="89">
        <f t="shared" si="88"/>
        <v>1812500</v>
      </c>
      <c r="AQ134" s="89">
        <f t="shared" si="88"/>
        <v>1812500</v>
      </c>
      <c r="AR134" s="89">
        <f t="shared" si="88"/>
        <v>1812500</v>
      </c>
      <c r="AS134" s="89">
        <f t="shared" si="88"/>
        <v>1812500</v>
      </c>
      <c r="AT134" s="89">
        <f t="shared" si="88"/>
        <v>1812500</v>
      </c>
      <c r="AU134" s="89">
        <f t="shared" si="88"/>
        <v>1812500</v>
      </c>
      <c r="AV134" s="89">
        <f t="shared" si="88"/>
        <v>1812500</v>
      </c>
      <c r="AW134" s="89">
        <f t="shared" si="88"/>
        <v>1812500</v>
      </c>
      <c r="AX134" s="89">
        <f t="shared" si="88"/>
        <v>1812500</v>
      </c>
      <c r="AY134" s="89">
        <f t="shared" si="88"/>
        <v>1812500</v>
      </c>
      <c r="AZ134" s="89">
        <f t="shared" si="88"/>
        <v>1812500</v>
      </c>
      <c r="BA134" s="89">
        <f t="shared" si="88"/>
        <v>1812500</v>
      </c>
      <c r="BB134" s="89">
        <f t="shared" si="88"/>
        <v>1812500</v>
      </c>
      <c r="BC134" s="89">
        <f t="shared" si="88"/>
        <v>1812500</v>
      </c>
      <c r="BD134" s="89">
        <f t="shared" si="88"/>
        <v>1812500</v>
      </c>
      <c r="BE134" s="89">
        <f t="shared" si="88"/>
        <v>1812500</v>
      </c>
      <c r="BF134" s="89">
        <f t="shared" si="88"/>
        <v>1812500</v>
      </c>
      <c r="BG134" s="89">
        <f t="shared" si="88"/>
        <v>1812500</v>
      </c>
      <c r="BH134" s="89">
        <f t="shared" si="88"/>
        <v>1812500</v>
      </c>
      <c r="BI134" s="89">
        <f t="shared" si="88"/>
        <v>21750000</v>
      </c>
      <c r="BJ134" s="89">
        <f t="shared" ref="BJ134" si="89">SUM(BJ122:BJ133)</f>
        <v>21750000</v>
      </c>
      <c r="BK134" s="89">
        <f t="shared" ref="BK134" si="90">SUM(BK122:BK133)</f>
        <v>21750000</v>
      </c>
      <c r="BL134" s="89">
        <f t="shared" ref="BL134" si="91">SUM(BL122:BL133)</f>
        <v>21750000</v>
      </c>
      <c r="BM134" s="89">
        <f t="shared" ref="BM134" si="92">SUM(BM122:BM133)</f>
        <v>21750000</v>
      </c>
      <c r="BN134" s="89">
        <f t="shared" ref="BN134" si="93">SUM(BN122:BN133)</f>
        <v>21750000</v>
      </c>
      <c r="BO134" s="89">
        <f t="shared" ref="BO134" si="94">SUM(BO122:BO133)</f>
        <v>21750000</v>
      </c>
    </row>
    <row r="135" spans="1:67">
      <c r="A135" s="11"/>
      <c r="B135" s="25" t="s">
        <v>328</v>
      </c>
      <c r="C135" s="25"/>
      <c r="D135" s="25"/>
      <c r="E135" s="26"/>
      <c r="F135" s="26"/>
      <c r="G135" s="91">
        <f>G134-G117-G314</f>
        <v>0</v>
      </c>
      <c r="H135" s="91">
        <f t="shared" ref="H135:BO135" si="95">H134-H117-H314</f>
        <v>0</v>
      </c>
      <c r="I135" s="91">
        <f t="shared" si="95"/>
        <v>0</v>
      </c>
      <c r="J135" s="91">
        <f t="shared" si="95"/>
        <v>0</v>
      </c>
      <c r="K135" s="91">
        <f t="shared" si="95"/>
        <v>7.4505805969238281E-9</v>
      </c>
      <c r="L135" s="91">
        <f t="shared" si="95"/>
        <v>7.4505805969238281E-9</v>
      </c>
      <c r="M135" s="91">
        <f t="shared" si="95"/>
        <v>7.4505805969238281E-9</v>
      </c>
      <c r="N135" s="91">
        <f t="shared" si="95"/>
        <v>7.4505805969238281E-9</v>
      </c>
      <c r="O135" s="91">
        <f t="shared" si="95"/>
        <v>7.4505805969238281E-9</v>
      </c>
      <c r="P135" s="91">
        <f t="shared" si="95"/>
        <v>7.4505805969238281E-9</v>
      </c>
      <c r="Q135" s="91">
        <f t="shared" si="95"/>
        <v>0</v>
      </c>
      <c r="R135" s="91">
        <f t="shared" si="95"/>
        <v>7.4505805969238281E-9</v>
      </c>
      <c r="S135" s="91">
        <f t="shared" si="95"/>
        <v>0</v>
      </c>
      <c r="T135" s="91">
        <f t="shared" si="95"/>
        <v>0</v>
      </c>
      <c r="U135" s="91">
        <f t="shared" si="95"/>
        <v>0</v>
      </c>
      <c r="V135" s="91">
        <f t="shared" si="95"/>
        <v>0</v>
      </c>
      <c r="W135" s="91">
        <f t="shared" si="95"/>
        <v>0</v>
      </c>
      <c r="X135" s="91">
        <f t="shared" si="95"/>
        <v>0</v>
      </c>
      <c r="Y135" s="91">
        <f t="shared" si="95"/>
        <v>0</v>
      </c>
      <c r="Z135" s="91">
        <f t="shared" si="95"/>
        <v>0</v>
      </c>
      <c r="AA135" s="91">
        <f t="shared" si="95"/>
        <v>0</v>
      </c>
      <c r="AB135" s="91">
        <f t="shared" si="95"/>
        <v>0</v>
      </c>
      <c r="AC135" s="91">
        <f t="shared" si="95"/>
        <v>0</v>
      </c>
      <c r="AD135" s="91">
        <f t="shared" si="95"/>
        <v>0</v>
      </c>
      <c r="AE135" s="91">
        <f t="shared" si="95"/>
        <v>0</v>
      </c>
      <c r="AF135" s="91">
        <f t="shared" si="95"/>
        <v>0</v>
      </c>
      <c r="AG135" s="91">
        <f t="shared" si="95"/>
        <v>0</v>
      </c>
      <c r="AH135" s="91">
        <f t="shared" si="95"/>
        <v>0</v>
      </c>
      <c r="AI135" s="91">
        <f t="shared" si="95"/>
        <v>0</v>
      </c>
      <c r="AJ135" s="91">
        <f t="shared" si="95"/>
        <v>0</v>
      </c>
      <c r="AK135" s="91">
        <f t="shared" si="95"/>
        <v>0</v>
      </c>
      <c r="AL135" s="91">
        <f t="shared" si="95"/>
        <v>0</v>
      </c>
      <c r="AM135" s="91">
        <f t="shared" si="95"/>
        <v>0</v>
      </c>
      <c r="AN135" s="91">
        <f t="shared" si="95"/>
        <v>0</v>
      </c>
      <c r="AO135" s="91">
        <f t="shared" si="95"/>
        <v>0</v>
      </c>
      <c r="AP135" s="91">
        <f t="shared" si="95"/>
        <v>0</v>
      </c>
      <c r="AQ135" s="91">
        <f t="shared" si="95"/>
        <v>0</v>
      </c>
      <c r="AR135" s="91">
        <f t="shared" si="95"/>
        <v>0</v>
      </c>
      <c r="AS135" s="91">
        <f t="shared" si="95"/>
        <v>0</v>
      </c>
      <c r="AT135" s="91">
        <f t="shared" si="95"/>
        <v>0</v>
      </c>
      <c r="AU135" s="91">
        <f t="shared" si="95"/>
        <v>0</v>
      </c>
      <c r="AV135" s="91">
        <f t="shared" si="95"/>
        <v>0</v>
      </c>
      <c r="AW135" s="91">
        <f t="shared" si="95"/>
        <v>0</v>
      </c>
      <c r="AX135" s="91">
        <f t="shared" si="95"/>
        <v>0</v>
      </c>
      <c r="AY135" s="91">
        <f t="shared" si="95"/>
        <v>0</v>
      </c>
      <c r="AZ135" s="91">
        <f t="shared" si="95"/>
        <v>0</v>
      </c>
      <c r="BA135" s="91">
        <f t="shared" si="95"/>
        <v>0</v>
      </c>
      <c r="BB135" s="91">
        <f t="shared" si="95"/>
        <v>0</v>
      </c>
      <c r="BC135" s="91">
        <f t="shared" si="95"/>
        <v>0</v>
      </c>
      <c r="BD135" s="91">
        <f t="shared" si="95"/>
        <v>0</v>
      </c>
      <c r="BE135" s="91">
        <f t="shared" si="95"/>
        <v>0</v>
      </c>
      <c r="BF135" s="91">
        <f t="shared" si="95"/>
        <v>0</v>
      </c>
      <c r="BG135" s="91">
        <f t="shared" si="95"/>
        <v>0</v>
      </c>
      <c r="BH135" s="91">
        <f t="shared" si="95"/>
        <v>0</v>
      </c>
      <c r="BI135" s="91">
        <f t="shared" si="95"/>
        <v>0</v>
      </c>
      <c r="BJ135" s="91">
        <f t="shared" si="95"/>
        <v>0</v>
      </c>
      <c r="BK135" s="91">
        <f t="shared" si="95"/>
        <v>0</v>
      </c>
      <c r="BL135" s="91">
        <f t="shared" si="95"/>
        <v>0</v>
      </c>
      <c r="BM135" s="91">
        <f t="shared" si="95"/>
        <v>0</v>
      </c>
      <c r="BN135" s="91">
        <f t="shared" si="95"/>
        <v>0</v>
      </c>
      <c r="BO135" s="91">
        <f t="shared" si="95"/>
        <v>0</v>
      </c>
    </row>
    <row r="136" spans="1:67">
      <c r="A136" s="20"/>
      <c r="B136" s="20"/>
      <c r="C136" s="20"/>
      <c r="D136" s="20"/>
      <c r="E136" s="20"/>
      <c r="F136" s="20"/>
      <c r="G136" s="20"/>
      <c r="H136" s="20"/>
      <c r="I136" s="20"/>
      <c r="J136" s="20"/>
      <c r="K136" s="20"/>
      <c r="L136" s="20"/>
      <c r="M136" s="20"/>
      <c r="N136" s="20"/>
      <c r="O136" s="20"/>
      <c r="P136" s="20"/>
      <c r="Q136" s="20"/>
      <c r="R136" s="20"/>
      <c r="S136" s="20"/>
      <c r="T136" s="20"/>
      <c r="U136" s="20"/>
      <c r="V136" s="20"/>
      <c r="W136" s="20"/>
      <c r="X136" s="20"/>
      <c r="Y136" s="20"/>
      <c r="Z136" s="20"/>
      <c r="AA136" s="20"/>
      <c r="AB136" s="20"/>
      <c r="AC136" s="20"/>
      <c r="AD136" s="20"/>
      <c r="AE136" s="20"/>
      <c r="AF136" s="20"/>
      <c r="AG136" s="20"/>
      <c r="AH136" s="20"/>
      <c r="AI136" s="20"/>
      <c r="AJ136" s="20"/>
      <c r="AK136" s="20"/>
      <c r="AL136" s="20"/>
      <c r="AM136" s="20"/>
      <c r="AN136" s="20"/>
      <c r="AO136" s="20"/>
      <c r="AP136" s="20"/>
      <c r="AQ136" s="20"/>
      <c r="AR136" s="20"/>
      <c r="AS136" s="20"/>
      <c r="AT136" s="20"/>
      <c r="AU136" s="20"/>
      <c r="AV136" s="20"/>
      <c r="AW136" s="20"/>
      <c r="AX136" s="20"/>
      <c r="AY136" s="20"/>
      <c r="AZ136" s="20"/>
      <c r="BA136" s="20"/>
      <c r="BB136" s="20"/>
      <c r="BC136" s="20"/>
      <c r="BD136" s="20"/>
      <c r="BE136" s="20"/>
      <c r="BF136" s="20"/>
      <c r="BG136" s="20"/>
      <c r="BH136" s="20"/>
      <c r="BI136" s="20"/>
      <c r="BJ136" s="20"/>
      <c r="BK136" s="20"/>
      <c r="BL136" s="20"/>
      <c r="BM136" s="20"/>
      <c r="BN136" s="20"/>
      <c r="BO136" s="20"/>
    </row>
    <row r="137" spans="1:67">
      <c r="A137" s="18" t="s">
        <v>1757</v>
      </c>
      <c r="B137" s="18"/>
      <c r="C137" s="18"/>
      <c r="D137" s="18"/>
      <c r="E137" s="40"/>
      <c r="F137" s="40"/>
      <c r="G137" s="40"/>
      <c r="H137" s="40"/>
      <c r="I137" s="40"/>
      <c r="J137" s="40"/>
      <c r="K137" s="40"/>
      <c r="L137" s="40"/>
      <c r="M137" s="40"/>
      <c r="N137" s="40"/>
      <c r="O137" s="40"/>
      <c r="P137" s="40"/>
      <c r="Q137" s="40"/>
      <c r="R137" s="40"/>
      <c r="S137" s="40"/>
      <c r="T137" s="40"/>
      <c r="U137" s="40"/>
      <c r="V137" s="40"/>
      <c r="W137" s="40"/>
      <c r="X137" s="40"/>
      <c r="Y137" s="40"/>
      <c r="Z137" s="40"/>
      <c r="AA137" s="40"/>
      <c r="AB137" s="40"/>
      <c r="AC137" s="40"/>
      <c r="AD137" s="40"/>
      <c r="AE137" s="40"/>
      <c r="AF137" s="40"/>
      <c r="AG137" s="40"/>
      <c r="AH137" s="40"/>
      <c r="AI137" s="40"/>
      <c r="AJ137" s="40"/>
      <c r="AK137" s="40"/>
      <c r="AL137" s="40"/>
      <c r="AM137" s="40"/>
      <c r="AN137" s="40"/>
      <c r="AO137" s="40"/>
      <c r="AP137" s="40"/>
      <c r="AQ137" s="40"/>
      <c r="AR137" s="40"/>
      <c r="AS137" s="40"/>
      <c r="AT137" s="40"/>
      <c r="AU137" s="40"/>
      <c r="AV137" s="40"/>
      <c r="AW137" s="40"/>
      <c r="AX137" s="40"/>
      <c r="AY137" s="40"/>
      <c r="AZ137" s="40"/>
      <c r="BA137" s="40"/>
      <c r="BB137" s="40"/>
      <c r="BC137" s="40"/>
      <c r="BD137" s="40"/>
      <c r="BE137" s="40"/>
      <c r="BF137" s="40"/>
      <c r="BG137" s="40"/>
      <c r="BH137" s="40"/>
      <c r="BI137" s="40"/>
      <c r="BJ137" s="40"/>
      <c r="BK137" s="40"/>
      <c r="BL137" s="40"/>
      <c r="BM137" s="40"/>
      <c r="BN137" s="40"/>
      <c r="BO137" s="40"/>
    </row>
    <row r="138" spans="1:67">
      <c r="A138" s="11"/>
      <c r="B138" s="11"/>
      <c r="C138" s="11"/>
      <c r="D138" s="11"/>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c r="AZ138" s="3"/>
      <c r="BA138" s="3"/>
      <c r="BB138" s="3"/>
      <c r="BC138" s="3"/>
      <c r="BD138" s="3"/>
      <c r="BE138" s="3"/>
      <c r="BF138" s="3"/>
      <c r="BG138" s="3"/>
      <c r="BH138" s="3"/>
      <c r="BI138" s="3"/>
      <c r="BJ138" s="3"/>
      <c r="BK138" s="3"/>
      <c r="BL138" s="3"/>
      <c r="BM138" s="3"/>
      <c r="BN138" s="3"/>
      <c r="BO138" s="3"/>
    </row>
    <row r="139" spans="1:67">
      <c r="A139" s="11"/>
      <c r="B139" s="11" t="s">
        <v>191</v>
      </c>
      <c r="C139" s="11"/>
      <c r="D139" s="11"/>
      <c r="E139" s="3"/>
      <c r="F139" s="3"/>
      <c r="G139" s="90">
        <f t="shared" ref="G139:G150" si="96">G122</f>
        <v>1680000</v>
      </c>
      <c r="H139" s="90">
        <f t="shared" ref="H139:H150" si="97">G139+H122</f>
        <v>3360000</v>
      </c>
      <c r="I139" s="90">
        <f t="shared" ref="I139:BI139" si="98">H139+I122</f>
        <v>5040000</v>
      </c>
      <c r="J139" s="90">
        <f t="shared" si="98"/>
        <v>6510000</v>
      </c>
      <c r="K139" s="90">
        <f t="shared" si="98"/>
        <v>7980000</v>
      </c>
      <c r="L139" s="90">
        <f t="shared" si="98"/>
        <v>9450000</v>
      </c>
      <c r="M139" s="90">
        <f t="shared" si="98"/>
        <v>10920000</v>
      </c>
      <c r="N139" s="90">
        <f t="shared" si="98"/>
        <v>12390000</v>
      </c>
      <c r="O139" s="90">
        <f t="shared" si="98"/>
        <v>13860000</v>
      </c>
      <c r="P139" s="90">
        <f t="shared" si="98"/>
        <v>14455000</v>
      </c>
      <c r="Q139" s="90">
        <f t="shared" si="98"/>
        <v>15050000</v>
      </c>
      <c r="R139" s="90">
        <f t="shared" si="98"/>
        <v>15645000</v>
      </c>
      <c r="S139" s="90">
        <f t="shared" si="98"/>
        <v>16240000</v>
      </c>
      <c r="T139" s="90">
        <f t="shared" si="98"/>
        <v>16835000</v>
      </c>
      <c r="U139" s="90">
        <f t="shared" si="98"/>
        <v>17430000</v>
      </c>
      <c r="V139" s="90">
        <f t="shared" si="98"/>
        <v>18025000</v>
      </c>
      <c r="W139" s="90">
        <f t="shared" si="98"/>
        <v>18620000</v>
      </c>
      <c r="X139" s="90">
        <f t="shared" si="98"/>
        <v>19215000</v>
      </c>
      <c r="Y139" s="90">
        <f t="shared" si="98"/>
        <v>19810000</v>
      </c>
      <c r="Z139" s="90">
        <f t="shared" si="98"/>
        <v>20405000</v>
      </c>
      <c r="AA139" s="90">
        <f t="shared" si="98"/>
        <v>21000000</v>
      </c>
      <c r="AB139" s="90">
        <f t="shared" si="98"/>
        <v>21000000</v>
      </c>
      <c r="AC139" s="90">
        <f t="shared" si="98"/>
        <v>21000000</v>
      </c>
      <c r="AD139" s="90">
        <f t="shared" si="98"/>
        <v>21000000</v>
      </c>
      <c r="AE139" s="90">
        <f t="shared" si="98"/>
        <v>21000000</v>
      </c>
      <c r="AF139" s="90">
        <f t="shared" si="98"/>
        <v>21000000</v>
      </c>
      <c r="AG139" s="90">
        <f t="shared" si="98"/>
        <v>21000000</v>
      </c>
      <c r="AH139" s="90">
        <f t="shared" si="98"/>
        <v>21000000</v>
      </c>
      <c r="AI139" s="90">
        <f t="shared" si="98"/>
        <v>21000000</v>
      </c>
      <c r="AJ139" s="90">
        <f t="shared" si="98"/>
        <v>21000000</v>
      </c>
      <c r="AK139" s="90">
        <f t="shared" si="98"/>
        <v>21000000</v>
      </c>
      <c r="AL139" s="90">
        <f t="shared" si="98"/>
        <v>21000000</v>
      </c>
      <c r="AM139" s="90">
        <f t="shared" si="98"/>
        <v>21000000</v>
      </c>
      <c r="AN139" s="90">
        <f t="shared" si="98"/>
        <v>21000000</v>
      </c>
      <c r="AO139" s="90">
        <f t="shared" si="98"/>
        <v>21000000</v>
      </c>
      <c r="AP139" s="90">
        <f t="shared" si="98"/>
        <v>21000000</v>
      </c>
      <c r="AQ139" s="90">
        <f t="shared" si="98"/>
        <v>21000000</v>
      </c>
      <c r="AR139" s="90">
        <f t="shared" si="98"/>
        <v>21000000</v>
      </c>
      <c r="AS139" s="90">
        <f t="shared" si="98"/>
        <v>21000000</v>
      </c>
      <c r="AT139" s="90">
        <f t="shared" si="98"/>
        <v>21000000</v>
      </c>
      <c r="AU139" s="90">
        <f t="shared" si="98"/>
        <v>21000000</v>
      </c>
      <c r="AV139" s="90">
        <f t="shared" si="98"/>
        <v>21000000</v>
      </c>
      <c r="AW139" s="90">
        <f t="shared" si="98"/>
        <v>21000000</v>
      </c>
      <c r="AX139" s="90">
        <f t="shared" si="98"/>
        <v>21000000</v>
      </c>
      <c r="AY139" s="90">
        <f t="shared" si="98"/>
        <v>21000000</v>
      </c>
      <c r="AZ139" s="90">
        <f t="shared" si="98"/>
        <v>21000000</v>
      </c>
      <c r="BA139" s="90">
        <f t="shared" si="98"/>
        <v>21000000</v>
      </c>
      <c r="BB139" s="90">
        <f t="shared" si="98"/>
        <v>21000000</v>
      </c>
      <c r="BC139" s="90">
        <f t="shared" si="98"/>
        <v>21000000</v>
      </c>
      <c r="BD139" s="90">
        <f t="shared" si="98"/>
        <v>21000000</v>
      </c>
      <c r="BE139" s="90">
        <f t="shared" si="98"/>
        <v>21000000</v>
      </c>
      <c r="BF139" s="90">
        <f t="shared" si="98"/>
        <v>21000000</v>
      </c>
      <c r="BG139" s="90">
        <f t="shared" si="98"/>
        <v>21000000</v>
      </c>
      <c r="BH139" s="90">
        <f t="shared" si="98"/>
        <v>21000000</v>
      </c>
      <c r="BI139" s="90">
        <f t="shared" si="98"/>
        <v>21000000</v>
      </c>
      <c r="BJ139" s="90">
        <f t="shared" ref="BJ139:BO139" si="99">BI139+BJ122</f>
        <v>21000000</v>
      </c>
      <c r="BK139" s="90">
        <f t="shared" si="99"/>
        <v>21000000</v>
      </c>
      <c r="BL139" s="90">
        <f t="shared" si="99"/>
        <v>21000000</v>
      </c>
      <c r="BM139" s="90">
        <f t="shared" si="99"/>
        <v>21000000</v>
      </c>
      <c r="BN139" s="90">
        <f t="shared" si="99"/>
        <v>21000000</v>
      </c>
      <c r="BO139" s="90">
        <f t="shared" si="99"/>
        <v>21000000</v>
      </c>
    </row>
    <row r="140" spans="1:67">
      <c r="A140" s="11"/>
      <c r="B140" s="11" t="s">
        <v>192</v>
      </c>
      <c r="C140" s="11"/>
      <c r="D140" s="11"/>
      <c r="E140" s="3"/>
      <c r="F140" s="3"/>
      <c r="G140" s="90">
        <f t="shared" si="96"/>
        <v>0</v>
      </c>
      <c r="H140" s="90">
        <f t="shared" si="97"/>
        <v>0</v>
      </c>
      <c r="I140" s="90">
        <f t="shared" ref="I140:BI140" si="100">H140+I123</f>
        <v>0</v>
      </c>
      <c r="J140" s="90">
        <f t="shared" si="100"/>
        <v>0</v>
      </c>
      <c r="K140" s="90">
        <f t="shared" si="100"/>
        <v>0</v>
      </c>
      <c r="L140" s="90">
        <f t="shared" si="100"/>
        <v>0</v>
      </c>
      <c r="M140" s="90">
        <f t="shared" si="100"/>
        <v>0</v>
      </c>
      <c r="N140" s="90">
        <f t="shared" si="100"/>
        <v>0</v>
      </c>
      <c r="O140" s="90">
        <f t="shared" si="100"/>
        <v>0</v>
      </c>
      <c r="P140" s="90">
        <f t="shared" si="100"/>
        <v>22724999.999999996</v>
      </c>
      <c r="Q140" s="90">
        <f t="shared" si="100"/>
        <v>45449999.999999993</v>
      </c>
      <c r="R140" s="90">
        <f t="shared" si="100"/>
        <v>68174999.999999985</v>
      </c>
      <c r="S140" s="90">
        <f t="shared" si="100"/>
        <v>90899999.999999985</v>
      </c>
      <c r="T140" s="90">
        <f t="shared" si="100"/>
        <v>113624999.99999999</v>
      </c>
      <c r="U140" s="90">
        <f t="shared" si="100"/>
        <v>136349999.99999997</v>
      </c>
      <c r="V140" s="90">
        <f t="shared" si="100"/>
        <v>159074999.99999997</v>
      </c>
      <c r="W140" s="90">
        <f t="shared" si="100"/>
        <v>181799999.99999997</v>
      </c>
      <c r="X140" s="90">
        <f t="shared" si="100"/>
        <v>204524999.99999997</v>
      </c>
      <c r="Y140" s="90">
        <f t="shared" si="100"/>
        <v>227249999.99999997</v>
      </c>
      <c r="Z140" s="90">
        <f t="shared" si="100"/>
        <v>249974999.99999997</v>
      </c>
      <c r="AA140" s="90">
        <f t="shared" si="100"/>
        <v>272699999.99999994</v>
      </c>
      <c r="AB140" s="90">
        <f t="shared" si="100"/>
        <v>272699999.99999994</v>
      </c>
      <c r="AC140" s="90">
        <f t="shared" si="100"/>
        <v>272699999.99999994</v>
      </c>
      <c r="AD140" s="90">
        <f t="shared" si="100"/>
        <v>272699999.99999994</v>
      </c>
      <c r="AE140" s="90">
        <f t="shared" si="100"/>
        <v>272699999.99999994</v>
      </c>
      <c r="AF140" s="90">
        <f t="shared" si="100"/>
        <v>272699999.99999994</v>
      </c>
      <c r="AG140" s="90">
        <f t="shared" si="100"/>
        <v>272699999.99999994</v>
      </c>
      <c r="AH140" s="90">
        <f t="shared" si="100"/>
        <v>272699999.99999994</v>
      </c>
      <c r="AI140" s="90">
        <f t="shared" si="100"/>
        <v>272699999.99999994</v>
      </c>
      <c r="AJ140" s="90">
        <f t="shared" si="100"/>
        <v>272699999.99999994</v>
      </c>
      <c r="AK140" s="90">
        <f t="shared" si="100"/>
        <v>272699999.99999994</v>
      </c>
      <c r="AL140" s="90">
        <f t="shared" si="100"/>
        <v>272699999.99999994</v>
      </c>
      <c r="AM140" s="90">
        <f t="shared" si="100"/>
        <v>272699999.99999994</v>
      </c>
      <c r="AN140" s="90">
        <f t="shared" si="100"/>
        <v>272699999.99999994</v>
      </c>
      <c r="AO140" s="90">
        <f t="shared" si="100"/>
        <v>272699999.99999994</v>
      </c>
      <c r="AP140" s="90">
        <f t="shared" si="100"/>
        <v>272699999.99999994</v>
      </c>
      <c r="AQ140" s="90">
        <f t="shared" si="100"/>
        <v>272699999.99999994</v>
      </c>
      <c r="AR140" s="90">
        <f t="shared" si="100"/>
        <v>272699999.99999994</v>
      </c>
      <c r="AS140" s="90">
        <f t="shared" si="100"/>
        <v>272699999.99999994</v>
      </c>
      <c r="AT140" s="90">
        <f t="shared" si="100"/>
        <v>272699999.99999994</v>
      </c>
      <c r="AU140" s="90">
        <f t="shared" si="100"/>
        <v>272699999.99999994</v>
      </c>
      <c r="AV140" s="90">
        <f t="shared" si="100"/>
        <v>272699999.99999994</v>
      </c>
      <c r="AW140" s="90">
        <f t="shared" si="100"/>
        <v>272699999.99999994</v>
      </c>
      <c r="AX140" s="90">
        <f t="shared" si="100"/>
        <v>272699999.99999994</v>
      </c>
      <c r="AY140" s="90">
        <f t="shared" si="100"/>
        <v>272699999.99999994</v>
      </c>
      <c r="AZ140" s="90">
        <f t="shared" si="100"/>
        <v>272699999.99999994</v>
      </c>
      <c r="BA140" s="90">
        <f t="shared" si="100"/>
        <v>272699999.99999994</v>
      </c>
      <c r="BB140" s="90">
        <f t="shared" si="100"/>
        <v>272699999.99999994</v>
      </c>
      <c r="BC140" s="90">
        <f t="shared" si="100"/>
        <v>272699999.99999994</v>
      </c>
      <c r="BD140" s="90">
        <f t="shared" si="100"/>
        <v>272699999.99999994</v>
      </c>
      <c r="BE140" s="90">
        <f t="shared" si="100"/>
        <v>272699999.99999994</v>
      </c>
      <c r="BF140" s="90">
        <f t="shared" si="100"/>
        <v>272699999.99999994</v>
      </c>
      <c r="BG140" s="90">
        <f t="shared" si="100"/>
        <v>272699999.99999994</v>
      </c>
      <c r="BH140" s="90">
        <f t="shared" si="100"/>
        <v>272699999.99999994</v>
      </c>
      <c r="BI140" s="90">
        <f t="shared" si="100"/>
        <v>272699999.99999994</v>
      </c>
      <c r="BJ140" s="90">
        <f t="shared" ref="BJ140:BO140" si="101">BI140+BJ123</f>
        <v>272699999.99999994</v>
      </c>
      <c r="BK140" s="90">
        <f t="shared" si="101"/>
        <v>272699999.99999994</v>
      </c>
      <c r="BL140" s="90">
        <f t="shared" si="101"/>
        <v>272699999.99999994</v>
      </c>
      <c r="BM140" s="90">
        <f t="shared" si="101"/>
        <v>272699999.99999994</v>
      </c>
      <c r="BN140" s="90">
        <f t="shared" si="101"/>
        <v>272699999.99999994</v>
      </c>
      <c r="BO140" s="90">
        <f t="shared" si="101"/>
        <v>272699999.99999994</v>
      </c>
    </row>
    <row r="141" spans="1:67">
      <c r="A141" s="11"/>
      <c r="B141" s="11" t="s">
        <v>322</v>
      </c>
      <c r="C141" s="11"/>
      <c r="D141" s="11"/>
      <c r="E141" s="3"/>
      <c r="F141" s="3"/>
      <c r="G141" s="90">
        <f t="shared" si="96"/>
        <v>14480000</v>
      </c>
      <c r="H141" s="90">
        <f t="shared" si="97"/>
        <v>28960000</v>
      </c>
      <c r="I141" s="90">
        <f t="shared" ref="I141:BI141" si="102">H141+I124</f>
        <v>43440000</v>
      </c>
      <c r="J141" s="90">
        <f t="shared" si="102"/>
        <v>191710000</v>
      </c>
      <c r="K141" s="90">
        <f t="shared" si="102"/>
        <v>222991764.70588234</v>
      </c>
      <c r="L141" s="90">
        <f t="shared" si="102"/>
        <v>254273529.41176468</v>
      </c>
      <c r="M141" s="90">
        <f t="shared" si="102"/>
        <v>285555294.11764705</v>
      </c>
      <c r="N141" s="90">
        <f t="shared" si="102"/>
        <v>316837058.82352942</v>
      </c>
      <c r="O141" s="90">
        <f t="shared" si="102"/>
        <v>348118823.52941179</v>
      </c>
      <c r="P141" s="90">
        <f t="shared" si="102"/>
        <v>371858921.56862748</v>
      </c>
      <c r="Q141" s="90">
        <f t="shared" si="102"/>
        <v>395599019.60784316</v>
      </c>
      <c r="R141" s="90">
        <f t="shared" si="102"/>
        <v>419339117.64705884</v>
      </c>
      <c r="S141" s="90">
        <f t="shared" si="102"/>
        <v>443079215.68627453</v>
      </c>
      <c r="T141" s="90">
        <f t="shared" si="102"/>
        <v>466819313.72549021</v>
      </c>
      <c r="U141" s="90">
        <f t="shared" si="102"/>
        <v>490559411.7647059</v>
      </c>
      <c r="V141" s="90">
        <f t="shared" si="102"/>
        <v>514299509.80392158</v>
      </c>
      <c r="W141" s="90">
        <f t="shared" si="102"/>
        <v>538039607.84313726</v>
      </c>
      <c r="X141" s="90">
        <f t="shared" si="102"/>
        <v>561779705.88235295</v>
      </c>
      <c r="Y141" s="90">
        <f t="shared" si="102"/>
        <v>585519803.92156863</v>
      </c>
      <c r="Z141" s="90">
        <f t="shared" si="102"/>
        <v>609259901.96078432</v>
      </c>
      <c r="AA141" s="90">
        <f t="shared" si="102"/>
        <v>633000000</v>
      </c>
      <c r="AB141" s="90">
        <f t="shared" si="102"/>
        <v>634812500</v>
      </c>
      <c r="AC141" s="90">
        <f t="shared" si="102"/>
        <v>636625000</v>
      </c>
      <c r="AD141" s="90">
        <f t="shared" si="102"/>
        <v>638437500</v>
      </c>
      <c r="AE141" s="90">
        <f t="shared" si="102"/>
        <v>640250000</v>
      </c>
      <c r="AF141" s="90">
        <f t="shared" si="102"/>
        <v>642062500</v>
      </c>
      <c r="AG141" s="90">
        <f t="shared" si="102"/>
        <v>643875000</v>
      </c>
      <c r="AH141" s="90">
        <f t="shared" si="102"/>
        <v>645687500</v>
      </c>
      <c r="AI141" s="90">
        <f t="shared" si="102"/>
        <v>647500000</v>
      </c>
      <c r="AJ141" s="90">
        <f t="shared" si="102"/>
        <v>649312500</v>
      </c>
      <c r="AK141" s="90">
        <f t="shared" si="102"/>
        <v>651125000</v>
      </c>
      <c r="AL141" s="90">
        <f t="shared" si="102"/>
        <v>652937500</v>
      </c>
      <c r="AM141" s="90">
        <f t="shared" si="102"/>
        <v>654750000</v>
      </c>
      <c r="AN141" s="90">
        <f t="shared" si="102"/>
        <v>656562500</v>
      </c>
      <c r="AO141" s="90">
        <f t="shared" si="102"/>
        <v>658375000</v>
      </c>
      <c r="AP141" s="90">
        <f t="shared" si="102"/>
        <v>660187500</v>
      </c>
      <c r="AQ141" s="90">
        <f t="shared" si="102"/>
        <v>662000000</v>
      </c>
      <c r="AR141" s="90">
        <f t="shared" si="102"/>
        <v>663812500</v>
      </c>
      <c r="AS141" s="90">
        <f t="shared" si="102"/>
        <v>665625000</v>
      </c>
      <c r="AT141" s="90">
        <f t="shared" si="102"/>
        <v>667437500</v>
      </c>
      <c r="AU141" s="90">
        <f t="shared" si="102"/>
        <v>669250000</v>
      </c>
      <c r="AV141" s="90">
        <f t="shared" si="102"/>
        <v>671062500</v>
      </c>
      <c r="AW141" s="90">
        <f t="shared" si="102"/>
        <v>672875000</v>
      </c>
      <c r="AX141" s="90">
        <f t="shared" si="102"/>
        <v>674687500</v>
      </c>
      <c r="AY141" s="90">
        <f t="shared" si="102"/>
        <v>676500000</v>
      </c>
      <c r="AZ141" s="90">
        <f t="shared" si="102"/>
        <v>678312500</v>
      </c>
      <c r="BA141" s="90">
        <f t="shared" si="102"/>
        <v>680125000</v>
      </c>
      <c r="BB141" s="90">
        <f t="shared" si="102"/>
        <v>681937500</v>
      </c>
      <c r="BC141" s="90">
        <f t="shared" si="102"/>
        <v>683750000</v>
      </c>
      <c r="BD141" s="90">
        <f t="shared" si="102"/>
        <v>685562500</v>
      </c>
      <c r="BE141" s="90">
        <f t="shared" si="102"/>
        <v>687375000</v>
      </c>
      <c r="BF141" s="90">
        <f t="shared" si="102"/>
        <v>689187500</v>
      </c>
      <c r="BG141" s="90">
        <f t="shared" si="102"/>
        <v>691000000</v>
      </c>
      <c r="BH141" s="90">
        <f t="shared" si="102"/>
        <v>692812500</v>
      </c>
      <c r="BI141" s="90">
        <f t="shared" si="102"/>
        <v>714562500</v>
      </c>
      <c r="BJ141" s="90">
        <f t="shared" ref="BJ141:BO141" si="103">BI141+BJ124</f>
        <v>736312500</v>
      </c>
      <c r="BK141" s="90">
        <f t="shared" si="103"/>
        <v>758062500</v>
      </c>
      <c r="BL141" s="90">
        <f t="shared" si="103"/>
        <v>779812500</v>
      </c>
      <c r="BM141" s="90">
        <f t="shared" si="103"/>
        <v>801562500</v>
      </c>
      <c r="BN141" s="90">
        <f t="shared" si="103"/>
        <v>823312500</v>
      </c>
      <c r="BO141" s="90">
        <f t="shared" si="103"/>
        <v>845062500</v>
      </c>
    </row>
    <row r="142" spans="1:67">
      <c r="A142" s="11"/>
      <c r="B142" s="11" t="s">
        <v>197</v>
      </c>
      <c r="C142" s="11"/>
      <c r="D142" s="11"/>
      <c r="E142" s="3"/>
      <c r="F142" s="3"/>
      <c r="G142" s="90">
        <f t="shared" si="96"/>
        <v>0</v>
      </c>
      <c r="H142" s="90">
        <f t="shared" si="97"/>
        <v>0</v>
      </c>
      <c r="I142" s="90">
        <f t="shared" ref="I142:BI142" si="104">H142+I125</f>
        <v>0</v>
      </c>
      <c r="J142" s="90">
        <f t="shared" si="104"/>
        <v>40800000</v>
      </c>
      <c r="K142" s="90">
        <f t="shared" si="104"/>
        <v>46400000</v>
      </c>
      <c r="L142" s="90">
        <f t="shared" si="104"/>
        <v>52000000</v>
      </c>
      <c r="M142" s="90">
        <f t="shared" si="104"/>
        <v>57600000</v>
      </c>
      <c r="N142" s="90">
        <f t="shared" si="104"/>
        <v>63200000</v>
      </c>
      <c r="O142" s="90">
        <f t="shared" si="104"/>
        <v>68800000</v>
      </c>
      <c r="P142" s="90">
        <f t="shared" si="104"/>
        <v>74400000</v>
      </c>
      <c r="Q142" s="90">
        <f t="shared" si="104"/>
        <v>80000000</v>
      </c>
      <c r="R142" s="90">
        <f t="shared" si="104"/>
        <v>85600000</v>
      </c>
      <c r="S142" s="90">
        <f t="shared" si="104"/>
        <v>91200000</v>
      </c>
      <c r="T142" s="90">
        <f t="shared" si="104"/>
        <v>96800000</v>
      </c>
      <c r="U142" s="90">
        <f t="shared" si="104"/>
        <v>102400000</v>
      </c>
      <c r="V142" s="90">
        <f t="shared" si="104"/>
        <v>108000000</v>
      </c>
      <c r="W142" s="90">
        <f t="shared" si="104"/>
        <v>113600000</v>
      </c>
      <c r="X142" s="90">
        <f t="shared" si="104"/>
        <v>119200000</v>
      </c>
      <c r="Y142" s="90">
        <f t="shared" si="104"/>
        <v>124800000</v>
      </c>
      <c r="Z142" s="90">
        <f t="shared" si="104"/>
        <v>130400000</v>
      </c>
      <c r="AA142" s="90">
        <f t="shared" si="104"/>
        <v>136000000</v>
      </c>
      <c r="AB142" s="90">
        <f t="shared" si="104"/>
        <v>136000000</v>
      </c>
      <c r="AC142" s="90">
        <f t="shared" si="104"/>
        <v>136000000</v>
      </c>
      <c r="AD142" s="90">
        <f t="shared" si="104"/>
        <v>136000000</v>
      </c>
      <c r="AE142" s="90">
        <f t="shared" si="104"/>
        <v>136000000</v>
      </c>
      <c r="AF142" s="90">
        <f t="shared" si="104"/>
        <v>136000000</v>
      </c>
      <c r="AG142" s="90">
        <f t="shared" si="104"/>
        <v>136000000</v>
      </c>
      <c r="AH142" s="90">
        <f t="shared" si="104"/>
        <v>136000000</v>
      </c>
      <c r="AI142" s="90">
        <f t="shared" si="104"/>
        <v>136000000</v>
      </c>
      <c r="AJ142" s="90">
        <f t="shared" si="104"/>
        <v>136000000</v>
      </c>
      <c r="AK142" s="90">
        <f t="shared" si="104"/>
        <v>136000000</v>
      </c>
      <c r="AL142" s="90">
        <f t="shared" si="104"/>
        <v>136000000</v>
      </c>
      <c r="AM142" s="90">
        <f t="shared" si="104"/>
        <v>136000000</v>
      </c>
      <c r="AN142" s="90">
        <f t="shared" si="104"/>
        <v>136000000</v>
      </c>
      <c r="AO142" s="90">
        <f t="shared" si="104"/>
        <v>136000000</v>
      </c>
      <c r="AP142" s="90">
        <f t="shared" si="104"/>
        <v>136000000</v>
      </c>
      <c r="AQ142" s="90">
        <f t="shared" si="104"/>
        <v>136000000</v>
      </c>
      <c r="AR142" s="90">
        <f t="shared" si="104"/>
        <v>136000000</v>
      </c>
      <c r="AS142" s="90">
        <f t="shared" si="104"/>
        <v>136000000</v>
      </c>
      <c r="AT142" s="90">
        <f t="shared" si="104"/>
        <v>136000000</v>
      </c>
      <c r="AU142" s="90">
        <f t="shared" si="104"/>
        <v>136000000</v>
      </c>
      <c r="AV142" s="90">
        <f t="shared" si="104"/>
        <v>136000000</v>
      </c>
      <c r="AW142" s="90">
        <f t="shared" si="104"/>
        <v>136000000</v>
      </c>
      <c r="AX142" s="90">
        <f t="shared" si="104"/>
        <v>136000000</v>
      </c>
      <c r="AY142" s="90">
        <f t="shared" si="104"/>
        <v>136000000</v>
      </c>
      <c r="AZ142" s="90">
        <f t="shared" si="104"/>
        <v>136000000</v>
      </c>
      <c r="BA142" s="90">
        <f t="shared" si="104"/>
        <v>136000000</v>
      </c>
      <c r="BB142" s="90">
        <f t="shared" si="104"/>
        <v>136000000</v>
      </c>
      <c r="BC142" s="90">
        <f t="shared" si="104"/>
        <v>136000000</v>
      </c>
      <c r="BD142" s="90">
        <f t="shared" si="104"/>
        <v>136000000</v>
      </c>
      <c r="BE142" s="90">
        <f t="shared" si="104"/>
        <v>136000000</v>
      </c>
      <c r="BF142" s="90">
        <f t="shared" si="104"/>
        <v>136000000</v>
      </c>
      <c r="BG142" s="90">
        <f t="shared" si="104"/>
        <v>136000000</v>
      </c>
      <c r="BH142" s="90">
        <f t="shared" si="104"/>
        <v>136000000</v>
      </c>
      <c r="BI142" s="90">
        <f t="shared" si="104"/>
        <v>136000000</v>
      </c>
      <c r="BJ142" s="90">
        <f t="shared" ref="BJ142:BO142" si="105">BI142+BJ125</f>
        <v>136000000</v>
      </c>
      <c r="BK142" s="90">
        <f t="shared" si="105"/>
        <v>136000000</v>
      </c>
      <c r="BL142" s="90">
        <f t="shared" si="105"/>
        <v>136000000</v>
      </c>
      <c r="BM142" s="90">
        <f t="shared" si="105"/>
        <v>136000000</v>
      </c>
      <c r="BN142" s="90">
        <f t="shared" si="105"/>
        <v>136000000</v>
      </c>
      <c r="BO142" s="90">
        <f t="shared" si="105"/>
        <v>136000000</v>
      </c>
    </row>
    <row r="143" spans="1:67">
      <c r="A143" s="11"/>
      <c r="B143" s="11" t="s">
        <v>323</v>
      </c>
      <c r="C143" s="11"/>
      <c r="D143" s="11"/>
      <c r="E143" s="3"/>
      <c r="F143" s="3"/>
      <c r="G143" s="90">
        <f t="shared" si="96"/>
        <v>0</v>
      </c>
      <c r="H143" s="90">
        <f t="shared" si="97"/>
        <v>0</v>
      </c>
      <c r="I143" s="90">
        <f t="shared" ref="I143:BI143" si="106">H143+I126</f>
        <v>0</v>
      </c>
      <c r="J143" s="90">
        <f t="shared" si="106"/>
        <v>13200000</v>
      </c>
      <c r="K143" s="90">
        <f t="shared" si="106"/>
        <v>15011764.705882352</v>
      </c>
      <c r="L143" s="90">
        <f t="shared" si="106"/>
        <v>16823529.411764704</v>
      </c>
      <c r="M143" s="90">
        <f t="shared" si="106"/>
        <v>18635294.117647056</v>
      </c>
      <c r="N143" s="90">
        <f t="shared" si="106"/>
        <v>20447058.823529407</v>
      </c>
      <c r="O143" s="90">
        <f t="shared" si="106"/>
        <v>22258823.529411759</v>
      </c>
      <c r="P143" s="90">
        <f t="shared" si="106"/>
        <v>24070588.235294111</v>
      </c>
      <c r="Q143" s="90">
        <f t="shared" si="106"/>
        <v>25882352.941176463</v>
      </c>
      <c r="R143" s="90">
        <f t="shared" si="106"/>
        <v>27694117.647058815</v>
      </c>
      <c r="S143" s="90">
        <f t="shared" si="106"/>
        <v>29505882.352941167</v>
      </c>
      <c r="T143" s="90">
        <f t="shared" si="106"/>
        <v>31317647.058823518</v>
      </c>
      <c r="U143" s="90">
        <f t="shared" si="106"/>
        <v>33129411.76470587</v>
      </c>
      <c r="V143" s="90">
        <f t="shared" si="106"/>
        <v>34941176.470588222</v>
      </c>
      <c r="W143" s="90">
        <f t="shared" si="106"/>
        <v>36752941.176470578</v>
      </c>
      <c r="X143" s="90">
        <f t="shared" si="106"/>
        <v>38564705.882352933</v>
      </c>
      <c r="Y143" s="90">
        <f t="shared" si="106"/>
        <v>40376470.588235289</v>
      </c>
      <c r="Z143" s="90">
        <f t="shared" si="106"/>
        <v>42188235.294117644</v>
      </c>
      <c r="AA143" s="90">
        <f t="shared" si="106"/>
        <v>44000000</v>
      </c>
      <c r="AB143" s="90">
        <f t="shared" si="106"/>
        <v>44000000</v>
      </c>
      <c r="AC143" s="90">
        <f t="shared" si="106"/>
        <v>44000000</v>
      </c>
      <c r="AD143" s="90">
        <f t="shared" si="106"/>
        <v>44000000</v>
      </c>
      <c r="AE143" s="90">
        <f t="shared" si="106"/>
        <v>44000000</v>
      </c>
      <c r="AF143" s="90">
        <f t="shared" si="106"/>
        <v>44000000</v>
      </c>
      <c r="AG143" s="90">
        <f t="shared" si="106"/>
        <v>44000000</v>
      </c>
      <c r="AH143" s="90">
        <f t="shared" si="106"/>
        <v>44000000</v>
      </c>
      <c r="AI143" s="90">
        <f t="shared" si="106"/>
        <v>44000000</v>
      </c>
      <c r="AJ143" s="90">
        <f t="shared" si="106"/>
        <v>44000000</v>
      </c>
      <c r="AK143" s="90">
        <f t="shared" si="106"/>
        <v>44000000</v>
      </c>
      <c r="AL143" s="90">
        <f t="shared" si="106"/>
        <v>44000000</v>
      </c>
      <c r="AM143" s="90">
        <f t="shared" si="106"/>
        <v>44000000</v>
      </c>
      <c r="AN143" s="90">
        <f t="shared" si="106"/>
        <v>44000000</v>
      </c>
      <c r="AO143" s="90">
        <f t="shared" si="106"/>
        <v>44000000</v>
      </c>
      <c r="AP143" s="90">
        <f t="shared" si="106"/>
        <v>44000000</v>
      </c>
      <c r="AQ143" s="90">
        <f t="shared" si="106"/>
        <v>44000000</v>
      </c>
      <c r="AR143" s="90">
        <f t="shared" si="106"/>
        <v>44000000</v>
      </c>
      <c r="AS143" s="90">
        <f t="shared" si="106"/>
        <v>44000000</v>
      </c>
      <c r="AT143" s="90">
        <f t="shared" si="106"/>
        <v>44000000</v>
      </c>
      <c r="AU143" s="90">
        <f t="shared" si="106"/>
        <v>44000000</v>
      </c>
      <c r="AV143" s="90">
        <f t="shared" si="106"/>
        <v>44000000</v>
      </c>
      <c r="AW143" s="90">
        <f t="shared" si="106"/>
        <v>44000000</v>
      </c>
      <c r="AX143" s="90">
        <f t="shared" si="106"/>
        <v>44000000</v>
      </c>
      <c r="AY143" s="90">
        <f t="shared" si="106"/>
        <v>44000000</v>
      </c>
      <c r="AZ143" s="90">
        <f t="shared" si="106"/>
        <v>44000000</v>
      </c>
      <c r="BA143" s="90">
        <f t="shared" si="106"/>
        <v>44000000</v>
      </c>
      <c r="BB143" s="90">
        <f t="shared" si="106"/>
        <v>44000000</v>
      </c>
      <c r="BC143" s="90">
        <f t="shared" si="106"/>
        <v>44000000</v>
      </c>
      <c r="BD143" s="90">
        <f t="shared" si="106"/>
        <v>44000000</v>
      </c>
      <c r="BE143" s="90">
        <f t="shared" si="106"/>
        <v>44000000</v>
      </c>
      <c r="BF143" s="90">
        <f t="shared" si="106"/>
        <v>44000000</v>
      </c>
      <c r="BG143" s="90">
        <f t="shared" si="106"/>
        <v>44000000</v>
      </c>
      <c r="BH143" s="90">
        <f t="shared" si="106"/>
        <v>44000000</v>
      </c>
      <c r="BI143" s="90">
        <f t="shared" si="106"/>
        <v>44000000</v>
      </c>
      <c r="BJ143" s="90">
        <f t="shared" ref="BJ143:BO143" si="107">BI143+BJ126</f>
        <v>44000000</v>
      </c>
      <c r="BK143" s="90">
        <f t="shared" si="107"/>
        <v>44000000</v>
      </c>
      <c r="BL143" s="90">
        <f t="shared" si="107"/>
        <v>44000000</v>
      </c>
      <c r="BM143" s="90">
        <f t="shared" si="107"/>
        <v>44000000</v>
      </c>
      <c r="BN143" s="90">
        <f t="shared" si="107"/>
        <v>44000000</v>
      </c>
      <c r="BO143" s="90">
        <f t="shared" si="107"/>
        <v>44000000</v>
      </c>
    </row>
    <row r="144" spans="1:67">
      <c r="A144" s="11"/>
      <c r="B144" s="11" t="s">
        <v>194</v>
      </c>
      <c r="C144" s="11"/>
      <c r="D144" s="11"/>
      <c r="E144" s="3"/>
      <c r="F144" s="3"/>
      <c r="G144" s="90">
        <f t="shared" si="96"/>
        <v>0</v>
      </c>
      <c r="H144" s="90">
        <f t="shared" si="97"/>
        <v>0</v>
      </c>
      <c r="I144" s="90">
        <f t="shared" ref="I144:BI144" si="108">H144+I127</f>
        <v>0</v>
      </c>
      <c r="J144" s="90">
        <f t="shared" si="108"/>
        <v>11700000</v>
      </c>
      <c r="K144" s="90">
        <f t="shared" si="108"/>
        <v>13305882.352941176</v>
      </c>
      <c r="L144" s="90">
        <f t="shared" si="108"/>
        <v>14911764.705882352</v>
      </c>
      <c r="M144" s="90">
        <f t="shared" si="108"/>
        <v>16517647.058823528</v>
      </c>
      <c r="N144" s="90">
        <f t="shared" si="108"/>
        <v>18123529.411764704</v>
      </c>
      <c r="O144" s="90">
        <f t="shared" si="108"/>
        <v>19729411.764705881</v>
      </c>
      <c r="P144" s="90">
        <f t="shared" si="108"/>
        <v>21335294.117647059</v>
      </c>
      <c r="Q144" s="90">
        <f t="shared" si="108"/>
        <v>22941176.470588237</v>
      </c>
      <c r="R144" s="90">
        <f t="shared" si="108"/>
        <v>24547058.823529415</v>
      </c>
      <c r="S144" s="90">
        <f t="shared" si="108"/>
        <v>26152941.176470593</v>
      </c>
      <c r="T144" s="90">
        <f t="shared" si="108"/>
        <v>27758823.52941177</v>
      </c>
      <c r="U144" s="90">
        <f t="shared" si="108"/>
        <v>29364705.882352948</v>
      </c>
      <c r="V144" s="90">
        <f t="shared" si="108"/>
        <v>30970588.235294126</v>
      </c>
      <c r="W144" s="90">
        <f t="shared" si="108"/>
        <v>32576470.588235304</v>
      </c>
      <c r="X144" s="90">
        <f t="shared" si="108"/>
        <v>34182352.941176482</v>
      </c>
      <c r="Y144" s="90">
        <f t="shared" si="108"/>
        <v>35788235.294117659</v>
      </c>
      <c r="Z144" s="90">
        <f t="shared" si="108"/>
        <v>37394117.647058837</v>
      </c>
      <c r="AA144" s="90">
        <f t="shared" si="108"/>
        <v>39000000.000000015</v>
      </c>
      <c r="AB144" s="90">
        <f t="shared" si="108"/>
        <v>39000000.000000015</v>
      </c>
      <c r="AC144" s="90">
        <f t="shared" si="108"/>
        <v>39000000.000000015</v>
      </c>
      <c r="AD144" s="90">
        <f t="shared" si="108"/>
        <v>39000000.000000015</v>
      </c>
      <c r="AE144" s="90">
        <f t="shared" si="108"/>
        <v>39000000.000000015</v>
      </c>
      <c r="AF144" s="90">
        <f t="shared" si="108"/>
        <v>39000000.000000015</v>
      </c>
      <c r="AG144" s="90">
        <f t="shared" si="108"/>
        <v>39000000.000000015</v>
      </c>
      <c r="AH144" s="90">
        <f t="shared" si="108"/>
        <v>39000000.000000015</v>
      </c>
      <c r="AI144" s="90">
        <f t="shared" si="108"/>
        <v>39000000.000000015</v>
      </c>
      <c r="AJ144" s="90">
        <f t="shared" si="108"/>
        <v>39000000.000000015</v>
      </c>
      <c r="AK144" s="90">
        <f t="shared" si="108"/>
        <v>39000000.000000015</v>
      </c>
      <c r="AL144" s="90">
        <f t="shared" si="108"/>
        <v>39000000.000000015</v>
      </c>
      <c r="AM144" s="90">
        <f t="shared" si="108"/>
        <v>39000000.000000015</v>
      </c>
      <c r="AN144" s="90">
        <f t="shared" si="108"/>
        <v>39000000.000000015</v>
      </c>
      <c r="AO144" s="90">
        <f t="shared" si="108"/>
        <v>39000000.000000015</v>
      </c>
      <c r="AP144" s="90">
        <f t="shared" si="108"/>
        <v>39000000.000000015</v>
      </c>
      <c r="AQ144" s="90">
        <f t="shared" si="108"/>
        <v>39000000.000000015</v>
      </c>
      <c r="AR144" s="90">
        <f t="shared" si="108"/>
        <v>39000000.000000015</v>
      </c>
      <c r="AS144" s="90">
        <f t="shared" si="108"/>
        <v>39000000.000000015</v>
      </c>
      <c r="AT144" s="90">
        <f t="shared" si="108"/>
        <v>39000000.000000015</v>
      </c>
      <c r="AU144" s="90">
        <f t="shared" si="108"/>
        <v>39000000.000000015</v>
      </c>
      <c r="AV144" s="90">
        <f t="shared" si="108"/>
        <v>39000000.000000015</v>
      </c>
      <c r="AW144" s="90">
        <f t="shared" si="108"/>
        <v>39000000.000000015</v>
      </c>
      <c r="AX144" s="90">
        <f t="shared" si="108"/>
        <v>39000000.000000015</v>
      </c>
      <c r="AY144" s="90">
        <f t="shared" si="108"/>
        <v>39000000.000000015</v>
      </c>
      <c r="AZ144" s="90">
        <f t="shared" si="108"/>
        <v>39000000.000000015</v>
      </c>
      <c r="BA144" s="90">
        <f t="shared" si="108"/>
        <v>39000000.000000015</v>
      </c>
      <c r="BB144" s="90">
        <f t="shared" si="108"/>
        <v>39000000.000000015</v>
      </c>
      <c r="BC144" s="90">
        <f t="shared" si="108"/>
        <v>39000000.000000015</v>
      </c>
      <c r="BD144" s="90">
        <f t="shared" si="108"/>
        <v>39000000.000000015</v>
      </c>
      <c r="BE144" s="90">
        <f t="shared" si="108"/>
        <v>39000000.000000015</v>
      </c>
      <c r="BF144" s="90">
        <f t="shared" si="108"/>
        <v>39000000.000000015</v>
      </c>
      <c r="BG144" s="90">
        <f t="shared" si="108"/>
        <v>39000000.000000015</v>
      </c>
      <c r="BH144" s="90">
        <f t="shared" si="108"/>
        <v>39000000.000000015</v>
      </c>
      <c r="BI144" s="90">
        <f t="shared" si="108"/>
        <v>39000000.000000015</v>
      </c>
      <c r="BJ144" s="90">
        <f t="shared" ref="BJ144:BO144" si="109">BI144+BJ127</f>
        <v>39000000.000000015</v>
      </c>
      <c r="BK144" s="90">
        <f t="shared" si="109"/>
        <v>39000000.000000015</v>
      </c>
      <c r="BL144" s="90">
        <f t="shared" si="109"/>
        <v>39000000.000000015</v>
      </c>
      <c r="BM144" s="90">
        <f t="shared" si="109"/>
        <v>39000000.000000015</v>
      </c>
      <c r="BN144" s="90">
        <f t="shared" si="109"/>
        <v>39000000.000000015</v>
      </c>
      <c r="BO144" s="90">
        <f t="shared" si="109"/>
        <v>39000000.000000015</v>
      </c>
    </row>
    <row r="145" spans="1:67">
      <c r="A145" s="11"/>
      <c r="B145" s="11" t="s">
        <v>195</v>
      </c>
      <c r="C145" s="11"/>
      <c r="D145" s="11"/>
      <c r="E145" s="3"/>
      <c r="F145" s="3"/>
      <c r="G145" s="90">
        <f t="shared" si="96"/>
        <v>0</v>
      </c>
      <c r="H145" s="90">
        <f t="shared" si="97"/>
        <v>0</v>
      </c>
      <c r="I145" s="90">
        <f t="shared" ref="I145:BI145" si="110">H145+I128</f>
        <v>0</v>
      </c>
      <c r="J145" s="90">
        <f t="shared" si="110"/>
        <v>47700000</v>
      </c>
      <c r="K145" s="90">
        <f t="shared" si="110"/>
        <v>54247058.823529415</v>
      </c>
      <c r="L145" s="90">
        <f t="shared" si="110"/>
        <v>60794117.64705883</v>
      </c>
      <c r="M145" s="90">
        <f t="shared" si="110"/>
        <v>67341176.470588237</v>
      </c>
      <c r="N145" s="90">
        <f t="shared" si="110"/>
        <v>73888235.294117644</v>
      </c>
      <c r="O145" s="90">
        <f t="shared" si="110"/>
        <v>80435294.117647052</v>
      </c>
      <c r="P145" s="90">
        <f t="shared" si="110"/>
        <v>86982352.941176459</v>
      </c>
      <c r="Q145" s="90">
        <f t="shared" si="110"/>
        <v>93529411.764705867</v>
      </c>
      <c r="R145" s="90">
        <f t="shared" si="110"/>
        <v>100076470.58823527</v>
      </c>
      <c r="S145" s="90">
        <f t="shared" si="110"/>
        <v>106623529.41176468</v>
      </c>
      <c r="T145" s="90">
        <f t="shared" si="110"/>
        <v>113170588.23529409</v>
      </c>
      <c r="U145" s="90">
        <f t="shared" si="110"/>
        <v>119717647.0588235</v>
      </c>
      <c r="V145" s="90">
        <f t="shared" si="110"/>
        <v>126264705.8823529</v>
      </c>
      <c r="W145" s="90">
        <f t="shared" si="110"/>
        <v>132811764.70588231</v>
      </c>
      <c r="X145" s="90">
        <f t="shared" si="110"/>
        <v>139358823.52941173</v>
      </c>
      <c r="Y145" s="90">
        <f t="shared" si="110"/>
        <v>145905882.35294116</v>
      </c>
      <c r="Z145" s="90">
        <f t="shared" si="110"/>
        <v>152452941.17647058</v>
      </c>
      <c r="AA145" s="90">
        <f t="shared" si="110"/>
        <v>159000000</v>
      </c>
      <c r="AB145" s="90">
        <f t="shared" si="110"/>
        <v>159000000</v>
      </c>
      <c r="AC145" s="90">
        <f t="shared" si="110"/>
        <v>159000000</v>
      </c>
      <c r="AD145" s="90">
        <f t="shared" si="110"/>
        <v>159000000</v>
      </c>
      <c r="AE145" s="90">
        <f t="shared" si="110"/>
        <v>159000000</v>
      </c>
      <c r="AF145" s="90">
        <f t="shared" si="110"/>
        <v>159000000</v>
      </c>
      <c r="AG145" s="90">
        <f t="shared" si="110"/>
        <v>159000000</v>
      </c>
      <c r="AH145" s="90">
        <f t="shared" si="110"/>
        <v>159000000</v>
      </c>
      <c r="AI145" s="90">
        <f t="shared" si="110"/>
        <v>159000000</v>
      </c>
      <c r="AJ145" s="90">
        <f t="shared" si="110"/>
        <v>159000000</v>
      </c>
      <c r="AK145" s="90">
        <f t="shared" si="110"/>
        <v>159000000</v>
      </c>
      <c r="AL145" s="90">
        <f t="shared" si="110"/>
        <v>159000000</v>
      </c>
      <c r="AM145" s="90">
        <f t="shared" si="110"/>
        <v>159000000</v>
      </c>
      <c r="AN145" s="90">
        <f t="shared" si="110"/>
        <v>159000000</v>
      </c>
      <c r="AO145" s="90">
        <f t="shared" si="110"/>
        <v>159000000</v>
      </c>
      <c r="AP145" s="90">
        <f t="shared" si="110"/>
        <v>159000000</v>
      </c>
      <c r="AQ145" s="90">
        <f t="shared" si="110"/>
        <v>159000000</v>
      </c>
      <c r="AR145" s="90">
        <f t="shared" si="110"/>
        <v>159000000</v>
      </c>
      <c r="AS145" s="90">
        <f t="shared" si="110"/>
        <v>159000000</v>
      </c>
      <c r="AT145" s="90">
        <f t="shared" si="110"/>
        <v>159000000</v>
      </c>
      <c r="AU145" s="90">
        <f t="shared" si="110"/>
        <v>159000000</v>
      </c>
      <c r="AV145" s="90">
        <f t="shared" si="110"/>
        <v>159000000</v>
      </c>
      <c r="AW145" s="90">
        <f t="shared" si="110"/>
        <v>159000000</v>
      </c>
      <c r="AX145" s="90">
        <f t="shared" si="110"/>
        <v>159000000</v>
      </c>
      <c r="AY145" s="90">
        <f t="shared" si="110"/>
        <v>159000000</v>
      </c>
      <c r="AZ145" s="90">
        <f t="shared" si="110"/>
        <v>159000000</v>
      </c>
      <c r="BA145" s="90">
        <f t="shared" si="110"/>
        <v>159000000</v>
      </c>
      <c r="BB145" s="90">
        <f t="shared" si="110"/>
        <v>159000000</v>
      </c>
      <c r="BC145" s="90">
        <f t="shared" si="110"/>
        <v>159000000</v>
      </c>
      <c r="BD145" s="90">
        <f t="shared" si="110"/>
        <v>159000000</v>
      </c>
      <c r="BE145" s="90">
        <f t="shared" si="110"/>
        <v>159000000</v>
      </c>
      <c r="BF145" s="90">
        <f t="shared" si="110"/>
        <v>159000000</v>
      </c>
      <c r="BG145" s="90">
        <f t="shared" si="110"/>
        <v>159000000</v>
      </c>
      <c r="BH145" s="90">
        <f t="shared" si="110"/>
        <v>159000000</v>
      </c>
      <c r="BI145" s="90">
        <f t="shared" si="110"/>
        <v>159000000</v>
      </c>
      <c r="BJ145" s="90">
        <f t="shared" ref="BJ145:BO145" si="111">BI145+BJ128</f>
        <v>159000000</v>
      </c>
      <c r="BK145" s="90">
        <f t="shared" si="111"/>
        <v>159000000</v>
      </c>
      <c r="BL145" s="90">
        <f t="shared" si="111"/>
        <v>159000000</v>
      </c>
      <c r="BM145" s="90">
        <f t="shared" si="111"/>
        <v>159000000</v>
      </c>
      <c r="BN145" s="90">
        <f t="shared" si="111"/>
        <v>159000000</v>
      </c>
      <c r="BO145" s="90">
        <f t="shared" si="111"/>
        <v>159000000</v>
      </c>
    </row>
    <row r="146" spans="1:67">
      <c r="A146" s="11"/>
      <c r="B146" s="11" t="s">
        <v>198</v>
      </c>
      <c r="C146" s="11"/>
      <c r="D146" s="11"/>
      <c r="E146" s="3"/>
      <c r="F146" s="3"/>
      <c r="G146" s="90">
        <f t="shared" si="96"/>
        <v>960000</v>
      </c>
      <c r="H146" s="90">
        <f t="shared" si="97"/>
        <v>1920000</v>
      </c>
      <c r="I146" s="90">
        <f t="shared" ref="I146:BI146" si="112">H146+I129</f>
        <v>2880000</v>
      </c>
      <c r="J146" s="90">
        <f t="shared" si="112"/>
        <v>3720000</v>
      </c>
      <c r="K146" s="90">
        <f t="shared" si="112"/>
        <v>4560000</v>
      </c>
      <c r="L146" s="90">
        <f t="shared" si="112"/>
        <v>5400000</v>
      </c>
      <c r="M146" s="90">
        <f t="shared" si="112"/>
        <v>6240000</v>
      </c>
      <c r="N146" s="90">
        <f t="shared" si="112"/>
        <v>7080000</v>
      </c>
      <c r="O146" s="90">
        <f t="shared" si="112"/>
        <v>7920000</v>
      </c>
      <c r="P146" s="90">
        <f t="shared" si="112"/>
        <v>8260000</v>
      </c>
      <c r="Q146" s="90">
        <f t="shared" si="112"/>
        <v>8600000</v>
      </c>
      <c r="R146" s="90">
        <f t="shared" si="112"/>
        <v>8940000</v>
      </c>
      <c r="S146" s="90">
        <f t="shared" si="112"/>
        <v>9280000</v>
      </c>
      <c r="T146" s="90">
        <f t="shared" si="112"/>
        <v>9620000</v>
      </c>
      <c r="U146" s="90">
        <f t="shared" si="112"/>
        <v>9960000</v>
      </c>
      <c r="V146" s="90">
        <f t="shared" si="112"/>
        <v>10300000</v>
      </c>
      <c r="W146" s="90">
        <f t="shared" si="112"/>
        <v>10640000</v>
      </c>
      <c r="X146" s="90">
        <f t="shared" si="112"/>
        <v>10980000</v>
      </c>
      <c r="Y146" s="90">
        <f t="shared" si="112"/>
        <v>11320000</v>
      </c>
      <c r="Z146" s="90">
        <f t="shared" si="112"/>
        <v>11660000</v>
      </c>
      <c r="AA146" s="90">
        <f t="shared" si="112"/>
        <v>12000000</v>
      </c>
      <c r="AB146" s="90">
        <f t="shared" si="112"/>
        <v>12000000</v>
      </c>
      <c r="AC146" s="90">
        <f t="shared" si="112"/>
        <v>12000000</v>
      </c>
      <c r="AD146" s="90">
        <f t="shared" si="112"/>
        <v>12000000</v>
      </c>
      <c r="AE146" s="90">
        <f t="shared" si="112"/>
        <v>12000000</v>
      </c>
      <c r="AF146" s="90">
        <f t="shared" si="112"/>
        <v>12000000</v>
      </c>
      <c r="AG146" s="90">
        <f t="shared" si="112"/>
        <v>12000000</v>
      </c>
      <c r="AH146" s="90">
        <f t="shared" si="112"/>
        <v>12000000</v>
      </c>
      <c r="AI146" s="90">
        <f t="shared" si="112"/>
        <v>12000000</v>
      </c>
      <c r="AJ146" s="90">
        <f t="shared" si="112"/>
        <v>12000000</v>
      </c>
      <c r="AK146" s="90">
        <f t="shared" si="112"/>
        <v>12000000</v>
      </c>
      <c r="AL146" s="90">
        <f t="shared" si="112"/>
        <v>12000000</v>
      </c>
      <c r="AM146" s="90">
        <f t="shared" si="112"/>
        <v>12000000</v>
      </c>
      <c r="AN146" s="90">
        <f t="shared" si="112"/>
        <v>12000000</v>
      </c>
      <c r="AO146" s="90">
        <f t="shared" si="112"/>
        <v>12000000</v>
      </c>
      <c r="AP146" s="90">
        <f t="shared" si="112"/>
        <v>12000000</v>
      </c>
      <c r="AQ146" s="90">
        <f t="shared" si="112"/>
        <v>12000000</v>
      </c>
      <c r="AR146" s="90">
        <f t="shared" si="112"/>
        <v>12000000</v>
      </c>
      <c r="AS146" s="90">
        <f t="shared" si="112"/>
        <v>12000000</v>
      </c>
      <c r="AT146" s="90">
        <f t="shared" si="112"/>
        <v>12000000</v>
      </c>
      <c r="AU146" s="90">
        <f t="shared" si="112"/>
        <v>12000000</v>
      </c>
      <c r="AV146" s="90">
        <f t="shared" si="112"/>
        <v>12000000</v>
      </c>
      <c r="AW146" s="90">
        <f t="shared" si="112"/>
        <v>12000000</v>
      </c>
      <c r="AX146" s="90">
        <f t="shared" si="112"/>
        <v>12000000</v>
      </c>
      <c r="AY146" s="90">
        <f t="shared" si="112"/>
        <v>12000000</v>
      </c>
      <c r="AZ146" s="90">
        <f t="shared" si="112"/>
        <v>12000000</v>
      </c>
      <c r="BA146" s="90">
        <f t="shared" si="112"/>
        <v>12000000</v>
      </c>
      <c r="BB146" s="90">
        <f t="shared" si="112"/>
        <v>12000000</v>
      </c>
      <c r="BC146" s="90">
        <f t="shared" si="112"/>
        <v>12000000</v>
      </c>
      <c r="BD146" s="90">
        <f t="shared" si="112"/>
        <v>12000000</v>
      </c>
      <c r="BE146" s="90">
        <f t="shared" si="112"/>
        <v>12000000</v>
      </c>
      <c r="BF146" s="90">
        <f t="shared" si="112"/>
        <v>12000000</v>
      </c>
      <c r="BG146" s="90">
        <f t="shared" si="112"/>
        <v>12000000</v>
      </c>
      <c r="BH146" s="90">
        <f t="shared" si="112"/>
        <v>12000000</v>
      </c>
      <c r="BI146" s="90">
        <f t="shared" si="112"/>
        <v>12000000</v>
      </c>
      <c r="BJ146" s="90">
        <f t="shared" ref="BJ146:BO146" si="113">BI146+BJ129</f>
        <v>12000000</v>
      </c>
      <c r="BK146" s="90">
        <f t="shared" si="113"/>
        <v>12000000</v>
      </c>
      <c r="BL146" s="90">
        <f t="shared" si="113"/>
        <v>12000000</v>
      </c>
      <c r="BM146" s="90">
        <f t="shared" si="113"/>
        <v>12000000</v>
      </c>
      <c r="BN146" s="90">
        <f t="shared" si="113"/>
        <v>12000000</v>
      </c>
      <c r="BO146" s="90">
        <f t="shared" si="113"/>
        <v>12000000</v>
      </c>
    </row>
    <row r="147" spans="1:67">
      <c r="A147" s="11"/>
      <c r="B147" s="11" t="s">
        <v>310</v>
      </c>
      <c r="C147" s="11"/>
      <c r="D147" s="11"/>
      <c r="E147" s="3"/>
      <c r="F147" s="3"/>
      <c r="G147" s="90">
        <f t="shared" si="96"/>
        <v>0</v>
      </c>
      <c r="H147" s="90">
        <f t="shared" si="97"/>
        <v>0</v>
      </c>
      <c r="I147" s="90">
        <f t="shared" ref="I147:BI147" si="114">H147+I130</f>
        <v>0</v>
      </c>
      <c r="J147" s="90">
        <f t="shared" si="114"/>
        <v>0</v>
      </c>
      <c r="K147" s="90">
        <f t="shared" si="114"/>
        <v>0</v>
      </c>
      <c r="L147" s="90">
        <f t="shared" si="114"/>
        <v>0</v>
      </c>
      <c r="M147" s="90">
        <f t="shared" si="114"/>
        <v>10000</v>
      </c>
      <c r="N147" s="90">
        <f t="shared" si="114"/>
        <v>20000</v>
      </c>
      <c r="O147" s="90">
        <f t="shared" si="114"/>
        <v>30000</v>
      </c>
      <c r="P147" s="90">
        <f t="shared" si="114"/>
        <v>40000</v>
      </c>
      <c r="Q147" s="90">
        <f t="shared" si="114"/>
        <v>50000</v>
      </c>
      <c r="R147" s="90">
        <f t="shared" si="114"/>
        <v>60000</v>
      </c>
      <c r="S147" s="90">
        <f t="shared" si="114"/>
        <v>736666.66666666663</v>
      </c>
      <c r="T147" s="90">
        <f t="shared" si="114"/>
        <v>1413333.3333333333</v>
      </c>
      <c r="U147" s="90">
        <f t="shared" si="114"/>
        <v>2090000</v>
      </c>
      <c r="V147" s="90">
        <f t="shared" si="114"/>
        <v>2766666.6666666665</v>
      </c>
      <c r="W147" s="90">
        <f t="shared" si="114"/>
        <v>3443333.333333333</v>
      </c>
      <c r="X147" s="90">
        <f t="shared" si="114"/>
        <v>4119999.9999999995</v>
      </c>
      <c r="Y147" s="90">
        <f t="shared" si="114"/>
        <v>4796666.666666666</v>
      </c>
      <c r="Z147" s="90">
        <f t="shared" si="114"/>
        <v>5473333.333333333</v>
      </c>
      <c r="AA147" s="90">
        <f t="shared" si="114"/>
        <v>6150000</v>
      </c>
      <c r="AB147" s="90">
        <f t="shared" si="114"/>
        <v>6150000</v>
      </c>
      <c r="AC147" s="90">
        <f t="shared" si="114"/>
        <v>6150000</v>
      </c>
      <c r="AD147" s="90">
        <f t="shared" si="114"/>
        <v>6150000</v>
      </c>
      <c r="AE147" s="90">
        <f t="shared" si="114"/>
        <v>6150000</v>
      </c>
      <c r="AF147" s="90">
        <f t="shared" si="114"/>
        <v>6150000</v>
      </c>
      <c r="AG147" s="90">
        <f t="shared" si="114"/>
        <v>6150000</v>
      </c>
      <c r="AH147" s="90">
        <f t="shared" si="114"/>
        <v>6150000</v>
      </c>
      <c r="AI147" s="90">
        <f t="shared" si="114"/>
        <v>6150000</v>
      </c>
      <c r="AJ147" s="90">
        <f t="shared" si="114"/>
        <v>6150000</v>
      </c>
      <c r="AK147" s="90">
        <f t="shared" si="114"/>
        <v>6150000</v>
      </c>
      <c r="AL147" s="90">
        <f t="shared" si="114"/>
        <v>6150000</v>
      </c>
      <c r="AM147" s="90">
        <f t="shared" si="114"/>
        <v>6150000</v>
      </c>
      <c r="AN147" s="90">
        <f t="shared" si="114"/>
        <v>6150000</v>
      </c>
      <c r="AO147" s="90">
        <f t="shared" si="114"/>
        <v>6150000</v>
      </c>
      <c r="AP147" s="90">
        <f t="shared" si="114"/>
        <v>6150000</v>
      </c>
      <c r="AQ147" s="90">
        <f t="shared" si="114"/>
        <v>6150000</v>
      </c>
      <c r="AR147" s="90">
        <f t="shared" si="114"/>
        <v>6150000</v>
      </c>
      <c r="AS147" s="90">
        <f t="shared" si="114"/>
        <v>6150000</v>
      </c>
      <c r="AT147" s="90">
        <f t="shared" si="114"/>
        <v>6150000</v>
      </c>
      <c r="AU147" s="90">
        <f t="shared" si="114"/>
        <v>6150000</v>
      </c>
      <c r="AV147" s="90">
        <f t="shared" si="114"/>
        <v>6150000</v>
      </c>
      <c r="AW147" s="90">
        <f t="shared" si="114"/>
        <v>6150000</v>
      </c>
      <c r="AX147" s="90">
        <f t="shared" si="114"/>
        <v>6150000</v>
      </c>
      <c r="AY147" s="90">
        <f t="shared" si="114"/>
        <v>6150000</v>
      </c>
      <c r="AZ147" s="90">
        <f t="shared" si="114"/>
        <v>6150000</v>
      </c>
      <c r="BA147" s="90">
        <f t="shared" si="114"/>
        <v>6150000</v>
      </c>
      <c r="BB147" s="90">
        <f t="shared" si="114"/>
        <v>6150000</v>
      </c>
      <c r="BC147" s="90">
        <f t="shared" si="114"/>
        <v>6150000</v>
      </c>
      <c r="BD147" s="90">
        <f t="shared" si="114"/>
        <v>6150000</v>
      </c>
      <c r="BE147" s="90">
        <f t="shared" si="114"/>
        <v>6150000</v>
      </c>
      <c r="BF147" s="90">
        <f t="shared" si="114"/>
        <v>6150000</v>
      </c>
      <c r="BG147" s="90">
        <f t="shared" si="114"/>
        <v>6150000</v>
      </c>
      <c r="BH147" s="90">
        <f t="shared" si="114"/>
        <v>6150000</v>
      </c>
      <c r="BI147" s="90">
        <f t="shared" si="114"/>
        <v>6150000</v>
      </c>
      <c r="BJ147" s="90">
        <f t="shared" ref="BJ147:BO147" si="115">BI147+BJ130</f>
        <v>6150000</v>
      </c>
      <c r="BK147" s="90">
        <f t="shared" si="115"/>
        <v>6150000</v>
      </c>
      <c r="BL147" s="90">
        <f t="shared" si="115"/>
        <v>6150000</v>
      </c>
      <c r="BM147" s="90">
        <f t="shared" si="115"/>
        <v>6150000</v>
      </c>
      <c r="BN147" s="90">
        <f t="shared" si="115"/>
        <v>6150000</v>
      </c>
      <c r="BO147" s="90">
        <f t="shared" si="115"/>
        <v>6150000</v>
      </c>
    </row>
    <row r="148" spans="1:67">
      <c r="A148" s="11"/>
      <c r="B148" s="11" t="s">
        <v>324</v>
      </c>
      <c r="C148" s="11"/>
      <c r="D148" s="11"/>
      <c r="E148" s="3"/>
      <c r="F148" s="3"/>
      <c r="G148" s="90">
        <f t="shared" si="96"/>
        <v>4767000</v>
      </c>
      <c r="H148" s="90">
        <f t="shared" si="97"/>
        <v>9534000</v>
      </c>
      <c r="I148" s="90">
        <f t="shared" ref="I148:BI148" si="116">H148+I131</f>
        <v>14301000</v>
      </c>
      <c r="J148" s="90">
        <f t="shared" si="116"/>
        <v>18528000</v>
      </c>
      <c r="K148" s="90">
        <f t="shared" si="116"/>
        <v>22755000</v>
      </c>
      <c r="L148" s="90">
        <f t="shared" si="116"/>
        <v>26982000</v>
      </c>
      <c r="M148" s="90">
        <f t="shared" si="116"/>
        <v>31209000</v>
      </c>
      <c r="N148" s="90">
        <f t="shared" si="116"/>
        <v>35436000</v>
      </c>
      <c r="O148" s="90">
        <f t="shared" si="116"/>
        <v>39663000</v>
      </c>
      <c r="P148" s="90">
        <f t="shared" si="116"/>
        <v>41640000</v>
      </c>
      <c r="Q148" s="90">
        <f t="shared" si="116"/>
        <v>43617000</v>
      </c>
      <c r="R148" s="90">
        <f t="shared" si="116"/>
        <v>45594000</v>
      </c>
      <c r="S148" s="90">
        <f t="shared" si="116"/>
        <v>47571000</v>
      </c>
      <c r="T148" s="90">
        <f t="shared" si="116"/>
        <v>49548000</v>
      </c>
      <c r="U148" s="90">
        <f t="shared" si="116"/>
        <v>51525000</v>
      </c>
      <c r="V148" s="90">
        <f t="shared" si="116"/>
        <v>53502000</v>
      </c>
      <c r="W148" s="90">
        <f t="shared" si="116"/>
        <v>55479000</v>
      </c>
      <c r="X148" s="90">
        <f t="shared" si="116"/>
        <v>57456000</v>
      </c>
      <c r="Y148" s="90">
        <f t="shared" si="116"/>
        <v>59433000</v>
      </c>
      <c r="Z148" s="90">
        <f t="shared" si="116"/>
        <v>61410000</v>
      </c>
      <c r="AA148" s="90">
        <f t="shared" si="116"/>
        <v>63850000</v>
      </c>
      <c r="AB148" s="90">
        <f t="shared" si="116"/>
        <v>63850000</v>
      </c>
      <c r="AC148" s="90">
        <f t="shared" si="116"/>
        <v>63850000</v>
      </c>
      <c r="AD148" s="90">
        <f t="shared" si="116"/>
        <v>63850000</v>
      </c>
      <c r="AE148" s="90">
        <f t="shared" si="116"/>
        <v>63850000</v>
      </c>
      <c r="AF148" s="90">
        <f t="shared" si="116"/>
        <v>63850000</v>
      </c>
      <c r="AG148" s="90">
        <f t="shared" si="116"/>
        <v>63850000</v>
      </c>
      <c r="AH148" s="90">
        <f t="shared" si="116"/>
        <v>63850000</v>
      </c>
      <c r="AI148" s="90">
        <f t="shared" si="116"/>
        <v>63850000</v>
      </c>
      <c r="AJ148" s="90">
        <f t="shared" si="116"/>
        <v>63850000</v>
      </c>
      <c r="AK148" s="90">
        <f t="shared" si="116"/>
        <v>63850000</v>
      </c>
      <c r="AL148" s="90">
        <f t="shared" si="116"/>
        <v>63850000</v>
      </c>
      <c r="AM148" s="90">
        <f t="shared" si="116"/>
        <v>63850000</v>
      </c>
      <c r="AN148" s="90">
        <f t="shared" si="116"/>
        <v>63850000</v>
      </c>
      <c r="AO148" s="90">
        <f t="shared" si="116"/>
        <v>63850000</v>
      </c>
      <c r="AP148" s="90">
        <f t="shared" si="116"/>
        <v>63850000</v>
      </c>
      <c r="AQ148" s="90">
        <f t="shared" si="116"/>
        <v>63850000</v>
      </c>
      <c r="AR148" s="90">
        <f t="shared" si="116"/>
        <v>63850000</v>
      </c>
      <c r="AS148" s="90">
        <f t="shared" si="116"/>
        <v>63850000</v>
      </c>
      <c r="AT148" s="90">
        <f t="shared" si="116"/>
        <v>63850000</v>
      </c>
      <c r="AU148" s="90">
        <f t="shared" si="116"/>
        <v>63850000</v>
      </c>
      <c r="AV148" s="90">
        <f t="shared" si="116"/>
        <v>63850000</v>
      </c>
      <c r="AW148" s="90">
        <f t="shared" si="116"/>
        <v>63850000</v>
      </c>
      <c r="AX148" s="90">
        <f t="shared" si="116"/>
        <v>63850000</v>
      </c>
      <c r="AY148" s="90">
        <f t="shared" si="116"/>
        <v>63850000</v>
      </c>
      <c r="AZ148" s="90">
        <f t="shared" si="116"/>
        <v>63850000</v>
      </c>
      <c r="BA148" s="90">
        <f t="shared" si="116"/>
        <v>63850000</v>
      </c>
      <c r="BB148" s="90">
        <f t="shared" si="116"/>
        <v>63850000</v>
      </c>
      <c r="BC148" s="90">
        <f t="shared" si="116"/>
        <v>63850000</v>
      </c>
      <c r="BD148" s="90">
        <f t="shared" si="116"/>
        <v>63850000</v>
      </c>
      <c r="BE148" s="90">
        <f t="shared" si="116"/>
        <v>63850000</v>
      </c>
      <c r="BF148" s="90">
        <f t="shared" si="116"/>
        <v>63850000</v>
      </c>
      <c r="BG148" s="90">
        <f t="shared" si="116"/>
        <v>63850000</v>
      </c>
      <c r="BH148" s="90">
        <f t="shared" si="116"/>
        <v>63850000</v>
      </c>
      <c r="BI148" s="90">
        <f t="shared" si="116"/>
        <v>63850000</v>
      </c>
      <c r="BJ148" s="90">
        <f t="shared" ref="BJ148:BO148" si="117">BI148+BJ131</f>
        <v>63850000</v>
      </c>
      <c r="BK148" s="90">
        <f t="shared" si="117"/>
        <v>63850000</v>
      </c>
      <c r="BL148" s="90">
        <f t="shared" si="117"/>
        <v>63850000</v>
      </c>
      <c r="BM148" s="90">
        <f t="shared" si="117"/>
        <v>63850000</v>
      </c>
      <c r="BN148" s="90">
        <f t="shared" si="117"/>
        <v>63850000</v>
      </c>
      <c r="BO148" s="90">
        <f t="shared" si="117"/>
        <v>63850000</v>
      </c>
    </row>
    <row r="149" spans="1:67">
      <c r="A149" s="11"/>
      <c r="B149" s="11" t="s">
        <v>325</v>
      </c>
      <c r="C149" s="11"/>
      <c r="D149" s="11"/>
      <c r="E149" s="3"/>
      <c r="F149" s="3"/>
      <c r="G149" s="90">
        <f t="shared" si="96"/>
        <v>1520000</v>
      </c>
      <c r="H149" s="90">
        <f t="shared" si="97"/>
        <v>3040000</v>
      </c>
      <c r="I149" s="90">
        <f t="shared" ref="I149:BI149" si="118">H149+I132</f>
        <v>4560000</v>
      </c>
      <c r="J149" s="90">
        <f t="shared" si="118"/>
        <v>5890000</v>
      </c>
      <c r="K149" s="90">
        <f t="shared" si="118"/>
        <v>7220000</v>
      </c>
      <c r="L149" s="90">
        <f t="shared" si="118"/>
        <v>8550000</v>
      </c>
      <c r="M149" s="90">
        <f t="shared" si="118"/>
        <v>9880000</v>
      </c>
      <c r="N149" s="90">
        <f t="shared" si="118"/>
        <v>11210000</v>
      </c>
      <c r="O149" s="90">
        <f t="shared" si="118"/>
        <v>12540000</v>
      </c>
      <c r="P149" s="90">
        <f t="shared" si="118"/>
        <v>13078333.333333334</v>
      </c>
      <c r="Q149" s="90">
        <f t="shared" si="118"/>
        <v>13616666.666666668</v>
      </c>
      <c r="R149" s="90">
        <f t="shared" si="118"/>
        <v>14155000.000000002</v>
      </c>
      <c r="S149" s="90">
        <f t="shared" si="118"/>
        <v>14693333.333333336</v>
      </c>
      <c r="T149" s="90">
        <f t="shared" si="118"/>
        <v>15231666.66666667</v>
      </c>
      <c r="U149" s="90">
        <f t="shared" si="118"/>
        <v>15770000.000000004</v>
      </c>
      <c r="V149" s="90">
        <f t="shared" si="118"/>
        <v>16308333.333333338</v>
      </c>
      <c r="W149" s="90">
        <f t="shared" si="118"/>
        <v>16846666.666666672</v>
      </c>
      <c r="X149" s="90">
        <f t="shared" si="118"/>
        <v>17385000.000000004</v>
      </c>
      <c r="Y149" s="90">
        <f t="shared" si="118"/>
        <v>17923333.333333336</v>
      </c>
      <c r="Z149" s="90">
        <f t="shared" si="118"/>
        <v>18461666.666666668</v>
      </c>
      <c r="AA149" s="90">
        <f t="shared" si="118"/>
        <v>19000000</v>
      </c>
      <c r="AB149" s="90">
        <f t="shared" si="118"/>
        <v>19000000</v>
      </c>
      <c r="AC149" s="90">
        <f t="shared" si="118"/>
        <v>19000000</v>
      </c>
      <c r="AD149" s="90">
        <f t="shared" si="118"/>
        <v>19000000</v>
      </c>
      <c r="AE149" s="90">
        <f t="shared" si="118"/>
        <v>19000000</v>
      </c>
      <c r="AF149" s="90">
        <f t="shared" si="118"/>
        <v>19000000</v>
      </c>
      <c r="AG149" s="90">
        <f t="shared" si="118"/>
        <v>19000000</v>
      </c>
      <c r="AH149" s="90">
        <f t="shared" si="118"/>
        <v>19000000</v>
      </c>
      <c r="AI149" s="90">
        <f t="shared" si="118"/>
        <v>19000000</v>
      </c>
      <c r="AJ149" s="90">
        <f t="shared" si="118"/>
        <v>19000000</v>
      </c>
      <c r="AK149" s="90">
        <f t="shared" si="118"/>
        <v>19000000</v>
      </c>
      <c r="AL149" s="90">
        <f t="shared" si="118"/>
        <v>19000000</v>
      </c>
      <c r="AM149" s="90">
        <f t="shared" si="118"/>
        <v>19000000</v>
      </c>
      <c r="AN149" s="90">
        <f t="shared" si="118"/>
        <v>19000000</v>
      </c>
      <c r="AO149" s="90">
        <f t="shared" si="118"/>
        <v>19000000</v>
      </c>
      <c r="AP149" s="90">
        <f t="shared" si="118"/>
        <v>19000000</v>
      </c>
      <c r="AQ149" s="90">
        <f t="shared" si="118"/>
        <v>19000000</v>
      </c>
      <c r="AR149" s="90">
        <f t="shared" si="118"/>
        <v>19000000</v>
      </c>
      <c r="AS149" s="90">
        <f t="shared" si="118"/>
        <v>19000000</v>
      </c>
      <c r="AT149" s="90">
        <f t="shared" si="118"/>
        <v>19000000</v>
      </c>
      <c r="AU149" s="90">
        <f t="shared" si="118"/>
        <v>19000000</v>
      </c>
      <c r="AV149" s="90">
        <f t="shared" si="118"/>
        <v>19000000</v>
      </c>
      <c r="AW149" s="90">
        <f t="shared" si="118"/>
        <v>19000000</v>
      </c>
      <c r="AX149" s="90">
        <f t="shared" si="118"/>
        <v>19000000</v>
      </c>
      <c r="AY149" s="90">
        <f t="shared" si="118"/>
        <v>19000000</v>
      </c>
      <c r="AZ149" s="90">
        <f t="shared" si="118"/>
        <v>19000000</v>
      </c>
      <c r="BA149" s="90">
        <f t="shared" si="118"/>
        <v>19000000</v>
      </c>
      <c r="BB149" s="90">
        <f t="shared" si="118"/>
        <v>19000000</v>
      </c>
      <c r="BC149" s="90">
        <f t="shared" si="118"/>
        <v>19000000</v>
      </c>
      <c r="BD149" s="90">
        <f t="shared" si="118"/>
        <v>19000000</v>
      </c>
      <c r="BE149" s="90">
        <f t="shared" si="118"/>
        <v>19000000</v>
      </c>
      <c r="BF149" s="90">
        <f t="shared" si="118"/>
        <v>19000000</v>
      </c>
      <c r="BG149" s="90">
        <f t="shared" si="118"/>
        <v>19000000</v>
      </c>
      <c r="BH149" s="90">
        <f t="shared" si="118"/>
        <v>19000000</v>
      </c>
      <c r="BI149" s="90">
        <f t="shared" si="118"/>
        <v>19000000</v>
      </c>
      <c r="BJ149" s="90">
        <f t="shared" ref="BJ149:BO149" si="119">BI149+BJ132</f>
        <v>19000000</v>
      </c>
      <c r="BK149" s="90">
        <f t="shared" si="119"/>
        <v>19000000</v>
      </c>
      <c r="BL149" s="90">
        <f t="shared" si="119"/>
        <v>19000000</v>
      </c>
      <c r="BM149" s="90">
        <f t="shared" si="119"/>
        <v>19000000</v>
      </c>
      <c r="BN149" s="90">
        <f t="shared" si="119"/>
        <v>19000000</v>
      </c>
      <c r="BO149" s="90">
        <f t="shared" si="119"/>
        <v>19000000</v>
      </c>
    </row>
    <row r="150" spans="1:67">
      <c r="A150" s="11"/>
      <c r="B150" s="11" t="s">
        <v>326</v>
      </c>
      <c r="C150" s="11"/>
      <c r="D150" s="11"/>
      <c r="E150" s="3"/>
      <c r="F150" s="3"/>
      <c r="G150" s="90">
        <f t="shared" si="96"/>
        <v>0</v>
      </c>
      <c r="H150" s="90">
        <f t="shared" si="97"/>
        <v>0</v>
      </c>
      <c r="I150" s="90">
        <f t="shared" ref="I150:BI150" si="120">H150+I133</f>
        <v>0</v>
      </c>
      <c r="J150" s="90">
        <f t="shared" si="120"/>
        <v>0</v>
      </c>
      <c r="K150" s="90">
        <f t="shared" si="120"/>
        <v>0</v>
      </c>
      <c r="L150" s="90">
        <f t="shared" si="120"/>
        <v>0</v>
      </c>
      <c r="M150" s="90">
        <f t="shared" si="120"/>
        <v>0</v>
      </c>
      <c r="N150" s="90">
        <f t="shared" si="120"/>
        <v>0</v>
      </c>
      <c r="O150" s="90">
        <f t="shared" si="120"/>
        <v>0</v>
      </c>
      <c r="P150" s="90">
        <f t="shared" si="120"/>
        <v>0</v>
      </c>
      <c r="Q150" s="90">
        <f t="shared" si="120"/>
        <v>21378354.166666668</v>
      </c>
      <c r="R150" s="90">
        <f t="shared" si="120"/>
        <v>22011721.567095589</v>
      </c>
      <c r="S150" s="90">
        <f t="shared" si="120"/>
        <v>23003257.95107422</v>
      </c>
      <c r="T150" s="90">
        <f t="shared" si="120"/>
        <v>24358514.511707898</v>
      </c>
      <c r="U150" s="90">
        <f t="shared" si="120"/>
        <v>26079461.399953507</v>
      </c>
      <c r="V150" s="90">
        <f t="shared" si="120"/>
        <v>28168079.43841894</v>
      </c>
      <c r="W150" s="90">
        <f t="shared" si="120"/>
        <v>30626360.179167893</v>
      </c>
      <c r="X150" s="90">
        <f t="shared" si="120"/>
        <v>33456305.961837731</v>
      </c>
      <c r="Y150" s="90">
        <f t="shared" si="120"/>
        <v>36659929.972072199</v>
      </c>
      <c r="Z150" s="90">
        <f t="shared" si="120"/>
        <v>40239256.300270595</v>
      </c>
      <c r="AA150" s="90">
        <f t="shared" si="120"/>
        <v>44000000</v>
      </c>
      <c r="AB150" s="90">
        <f t="shared" si="120"/>
        <v>44000000</v>
      </c>
      <c r="AC150" s="90">
        <f t="shared" si="120"/>
        <v>44000000</v>
      </c>
      <c r="AD150" s="90">
        <f t="shared" si="120"/>
        <v>44000000</v>
      </c>
      <c r="AE150" s="90">
        <f t="shared" si="120"/>
        <v>44000000</v>
      </c>
      <c r="AF150" s="90">
        <f t="shared" si="120"/>
        <v>44000000</v>
      </c>
      <c r="AG150" s="90">
        <f t="shared" si="120"/>
        <v>44000000</v>
      </c>
      <c r="AH150" s="90">
        <f t="shared" si="120"/>
        <v>44000000</v>
      </c>
      <c r="AI150" s="90">
        <f t="shared" si="120"/>
        <v>44000000</v>
      </c>
      <c r="AJ150" s="90">
        <f t="shared" si="120"/>
        <v>44000000</v>
      </c>
      <c r="AK150" s="90">
        <f t="shared" si="120"/>
        <v>44000000</v>
      </c>
      <c r="AL150" s="90">
        <f t="shared" si="120"/>
        <v>44000000</v>
      </c>
      <c r="AM150" s="90">
        <f t="shared" si="120"/>
        <v>44000000</v>
      </c>
      <c r="AN150" s="90">
        <f t="shared" si="120"/>
        <v>44000000</v>
      </c>
      <c r="AO150" s="90">
        <f t="shared" si="120"/>
        <v>44000000</v>
      </c>
      <c r="AP150" s="90">
        <f t="shared" si="120"/>
        <v>44000000</v>
      </c>
      <c r="AQ150" s="90">
        <f t="shared" si="120"/>
        <v>44000000</v>
      </c>
      <c r="AR150" s="90">
        <f t="shared" si="120"/>
        <v>44000000</v>
      </c>
      <c r="AS150" s="90">
        <f t="shared" si="120"/>
        <v>44000000</v>
      </c>
      <c r="AT150" s="90">
        <f t="shared" si="120"/>
        <v>44000000</v>
      </c>
      <c r="AU150" s="90">
        <f t="shared" si="120"/>
        <v>44000000</v>
      </c>
      <c r="AV150" s="90">
        <f t="shared" si="120"/>
        <v>44000000</v>
      </c>
      <c r="AW150" s="90">
        <f t="shared" si="120"/>
        <v>44000000</v>
      </c>
      <c r="AX150" s="90">
        <f t="shared" si="120"/>
        <v>44000000</v>
      </c>
      <c r="AY150" s="90">
        <f t="shared" si="120"/>
        <v>44000000</v>
      </c>
      <c r="AZ150" s="90">
        <f t="shared" si="120"/>
        <v>44000000</v>
      </c>
      <c r="BA150" s="90">
        <f t="shared" si="120"/>
        <v>44000000</v>
      </c>
      <c r="BB150" s="90">
        <f t="shared" si="120"/>
        <v>44000000</v>
      </c>
      <c r="BC150" s="90">
        <f t="shared" si="120"/>
        <v>44000000</v>
      </c>
      <c r="BD150" s="90">
        <f t="shared" si="120"/>
        <v>44000000</v>
      </c>
      <c r="BE150" s="90">
        <f t="shared" si="120"/>
        <v>44000000</v>
      </c>
      <c r="BF150" s="90">
        <f t="shared" si="120"/>
        <v>44000000</v>
      </c>
      <c r="BG150" s="90">
        <f t="shared" si="120"/>
        <v>44000000</v>
      </c>
      <c r="BH150" s="90">
        <f t="shared" si="120"/>
        <v>44000000</v>
      </c>
      <c r="BI150" s="90">
        <f t="shared" si="120"/>
        <v>44000000</v>
      </c>
      <c r="BJ150" s="90">
        <f t="shared" ref="BJ150:BO150" si="121">BI150+BJ133</f>
        <v>44000000</v>
      </c>
      <c r="BK150" s="90">
        <f t="shared" si="121"/>
        <v>44000000</v>
      </c>
      <c r="BL150" s="90">
        <f t="shared" si="121"/>
        <v>44000000</v>
      </c>
      <c r="BM150" s="90">
        <f t="shared" si="121"/>
        <v>44000000</v>
      </c>
      <c r="BN150" s="90">
        <f t="shared" si="121"/>
        <v>44000000</v>
      </c>
      <c r="BO150" s="90">
        <f t="shared" si="121"/>
        <v>44000000</v>
      </c>
    </row>
    <row r="151" spans="1:67">
      <c r="A151" s="11"/>
      <c r="B151" s="22" t="s">
        <v>329</v>
      </c>
      <c r="C151" s="22"/>
      <c r="D151" s="11"/>
      <c r="E151" s="3"/>
      <c r="F151" s="3"/>
      <c r="G151" s="89">
        <f>SUM(G139:G150)</f>
        <v>23407000</v>
      </c>
      <c r="H151" s="89">
        <f t="shared" ref="H151:BI151" si="122">SUM(H139:H150)</f>
        <v>46814000</v>
      </c>
      <c r="I151" s="89">
        <f t="shared" si="122"/>
        <v>70221000</v>
      </c>
      <c r="J151" s="89">
        <f t="shared" si="122"/>
        <v>339758000</v>
      </c>
      <c r="K151" s="89">
        <f t="shared" si="122"/>
        <v>394471470.58823526</v>
      </c>
      <c r="L151" s="89">
        <f t="shared" si="122"/>
        <v>449184941.17647058</v>
      </c>
      <c r="M151" s="89">
        <f t="shared" si="122"/>
        <v>503908411.7647059</v>
      </c>
      <c r="N151" s="89">
        <f t="shared" si="122"/>
        <v>558631882.35294116</v>
      </c>
      <c r="O151" s="89">
        <f t="shared" si="122"/>
        <v>613355352.94117641</v>
      </c>
      <c r="P151" s="89">
        <f t="shared" si="122"/>
        <v>678845490.19607842</v>
      </c>
      <c r="Q151" s="89">
        <f t="shared" si="122"/>
        <v>765713981.61764693</v>
      </c>
      <c r="R151" s="89">
        <f t="shared" si="122"/>
        <v>831837486.27297795</v>
      </c>
      <c r="S151" s="89">
        <f t="shared" si="122"/>
        <v>898985826.57852519</v>
      </c>
      <c r="T151" s="89">
        <f t="shared" si="122"/>
        <v>966497887.06072748</v>
      </c>
      <c r="U151" s="89">
        <f t="shared" si="122"/>
        <v>1034375637.8705417</v>
      </c>
      <c r="V151" s="89">
        <f t="shared" si="122"/>
        <v>1102621059.8305757</v>
      </c>
      <c r="W151" s="89">
        <f t="shared" si="122"/>
        <v>1171236144.4928935</v>
      </c>
      <c r="X151" s="89">
        <f t="shared" si="122"/>
        <v>1240222894.1971319</v>
      </c>
      <c r="Y151" s="89">
        <f t="shared" si="122"/>
        <v>1309583322.1289349</v>
      </c>
      <c r="Z151" s="89">
        <f t="shared" si="122"/>
        <v>1379319452.3787019</v>
      </c>
      <c r="AA151" s="89">
        <f t="shared" si="122"/>
        <v>1449700000</v>
      </c>
      <c r="AB151" s="89">
        <f t="shared" si="122"/>
        <v>1451512500</v>
      </c>
      <c r="AC151" s="89">
        <f t="shared" si="122"/>
        <v>1453325000</v>
      </c>
      <c r="AD151" s="89">
        <f t="shared" si="122"/>
        <v>1455137500</v>
      </c>
      <c r="AE151" s="89">
        <f t="shared" si="122"/>
        <v>1456950000</v>
      </c>
      <c r="AF151" s="89">
        <f t="shared" si="122"/>
        <v>1458762500</v>
      </c>
      <c r="AG151" s="89">
        <f t="shared" si="122"/>
        <v>1460575000</v>
      </c>
      <c r="AH151" s="89">
        <f t="shared" si="122"/>
        <v>1462387500</v>
      </c>
      <c r="AI151" s="89">
        <f t="shared" si="122"/>
        <v>1464200000</v>
      </c>
      <c r="AJ151" s="89">
        <f t="shared" si="122"/>
        <v>1466012500</v>
      </c>
      <c r="AK151" s="89">
        <f t="shared" si="122"/>
        <v>1467825000</v>
      </c>
      <c r="AL151" s="89">
        <f t="shared" si="122"/>
        <v>1469637500</v>
      </c>
      <c r="AM151" s="89">
        <f t="shared" si="122"/>
        <v>1471450000</v>
      </c>
      <c r="AN151" s="89">
        <f t="shared" si="122"/>
        <v>1473262500</v>
      </c>
      <c r="AO151" s="89">
        <f t="shared" si="122"/>
        <v>1475075000</v>
      </c>
      <c r="AP151" s="89">
        <f t="shared" si="122"/>
        <v>1476887500</v>
      </c>
      <c r="AQ151" s="89">
        <f t="shared" si="122"/>
        <v>1478700000</v>
      </c>
      <c r="AR151" s="89">
        <f t="shared" si="122"/>
        <v>1480512500</v>
      </c>
      <c r="AS151" s="89">
        <f t="shared" si="122"/>
        <v>1482325000</v>
      </c>
      <c r="AT151" s="89">
        <f t="shared" si="122"/>
        <v>1484137500</v>
      </c>
      <c r="AU151" s="89">
        <f t="shared" si="122"/>
        <v>1485950000</v>
      </c>
      <c r="AV151" s="89">
        <f t="shared" si="122"/>
        <v>1487762500</v>
      </c>
      <c r="AW151" s="89">
        <f t="shared" si="122"/>
        <v>1489575000</v>
      </c>
      <c r="AX151" s="89">
        <f t="shared" si="122"/>
        <v>1491387500</v>
      </c>
      <c r="AY151" s="89">
        <f t="shared" si="122"/>
        <v>1493200000</v>
      </c>
      <c r="AZ151" s="89">
        <f t="shared" si="122"/>
        <v>1495012500</v>
      </c>
      <c r="BA151" s="89">
        <f t="shared" si="122"/>
        <v>1496825000</v>
      </c>
      <c r="BB151" s="89">
        <f t="shared" si="122"/>
        <v>1498637500</v>
      </c>
      <c r="BC151" s="89">
        <f t="shared" si="122"/>
        <v>1500450000</v>
      </c>
      <c r="BD151" s="89">
        <f t="shared" si="122"/>
        <v>1502262500</v>
      </c>
      <c r="BE151" s="89">
        <f t="shared" si="122"/>
        <v>1504075000</v>
      </c>
      <c r="BF151" s="89">
        <f t="shared" si="122"/>
        <v>1505887500</v>
      </c>
      <c r="BG151" s="89">
        <f t="shared" si="122"/>
        <v>1507700000</v>
      </c>
      <c r="BH151" s="89">
        <f t="shared" si="122"/>
        <v>1509512500</v>
      </c>
      <c r="BI151" s="89">
        <f t="shared" si="122"/>
        <v>1531262500</v>
      </c>
      <c r="BJ151" s="89">
        <f t="shared" ref="BJ151" si="123">SUM(BJ139:BJ150)</f>
        <v>1553012500</v>
      </c>
      <c r="BK151" s="89">
        <f t="shared" ref="BK151" si="124">SUM(BK139:BK150)</f>
        <v>1574762500</v>
      </c>
      <c r="BL151" s="89">
        <f t="shared" ref="BL151" si="125">SUM(BL139:BL150)</f>
        <v>1596512500</v>
      </c>
      <c r="BM151" s="89">
        <f t="shared" ref="BM151" si="126">SUM(BM139:BM150)</f>
        <v>1618262500</v>
      </c>
      <c r="BN151" s="89">
        <f t="shared" ref="BN151" si="127">SUM(BN139:BN150)</f>
        <v>1640012500</v>
      </c>
      <c r="BO151" s="89">
        <f t="shared" ref="BO151" si="128">SUM(BO139:BO150)</f>
        <v>1661762500</v>
      </c>
    </row>
    <row r="152" spans="1:67">
      <c r="A152" s="20"/>
      <c r="B152" s="20"/>
      <c r="C152" s="20"/>
      <c r="D152" s="20"/>
      <c r="E152" s="20"/>
      <c r="F152" s="20"/>
      <c r="G152" s="20"/>
      <c r="H152" s="20"/>
      <c r="I152" s="20"/>
      <c r="J152" s="20"/>
      <c r="K152" s="20"/>
      <c r="L152" s="20"/>
      <c r="M152" s="20"/>
      <c r="N152" s="20"/>
      <c r="O152" s="20"/>
      <c r="P152" s="20"/>
      <c r="Q152" s="20"/>
      <c r="R152" s="20"/>
      <c r="S152" s="20"/>
      <c r="T152" s="20"/>
      <c r="U152" s="20"/>
      <c r="V152" s="20"/>
      <c r="W152" s="20"/>
      <c r="X152" s="20"/>
      <c r="Y152" s="20"/>
      <c r="Z152" s="20"/>
      <c r="AA152" s="20"/>
      <c r="AB152" s="20"/>
      <c r="AC152" s="20"/>
      <c r="AD152" s="20"/>
      <c r="AE152" s="20"/>
      <c r="AF152" s="20"/>
      <c r="AG152" s="20"/>
      <c r="AH152" s="20"/>
      <c r="AI152" s="20"/>
      <c r="AJ152" s="20"/>
      <c r="AK152" s="20"/>
      <c r="AL152" s="20"/>
      <c r="AM152" s="20"/>
      <c r="AN152" s="20"/>
      <c r="AO152" s="20"/>
      <c r="AP152" s="20"/>
      <c r="AQ152" s="20"/>
      <c r="AR152" s="20"/>
      <c r="AS152" s="20"/>
      <c r="AT152" s="20"/>
      <c r="AU152" s="20"/>
      <c r="AV152" s="20"/>
      <c r="AW152" s="20"/>
      <c r="AX152" s="20"/>
      <c r="AY152" s="20"/>
      <c r="AZ152" s="20"/>
      <c r="BA152" s="20"/>
      <c r="BB152" s="20"/>
      <c r="BC152" s="20"/>
      <c r="BD152" s="20"/>
      <c r="BE152" s="20"/>
      <c r="BF152" s="20"/>
      <c r="BG152" s="20"/>
      <c r="BH152" s="20"/>
      <c r="BI152" s="20"/>
      <c r="BJ152" s="20"/>
      <c r="BK152" s="20"/>
      <c r="BL152" s="20"/>
      <c r="BM152" s="20"/>
      <c r="BN152" s="20"/>
      <c r="BO152" s="20"/>
    </row>
    <row r="153" spans="1:67">
      <c r="A153" s="18" t="s">
        <v>1758</v>
      </c>
      <c r="B153" s="18"/>
      <c r="C153" s="18"/>
      <c r="D153" s="18"/>
      <c r="E153" s="40"/>
      <c r="F153" s="40"/>
      <c r="G153" s="40"/>
      <c r="H153" s="40"/>
      <c r="I153" s="40"/>
      <c r="J153" s="40"/>
      <c r="K153" s="40"/>
      <c r="L153" s="40"/>
      <c r="M153" s="40"/>
      <c r="N153" s="40"/>
      <c r="O153" s="40"/>
      <c r="P153" s="40"/>
      <c r="Q153" s="40"/>
      <c r="R153" s="40"/>
      <c r="S153" s="40"/>
      <c r="T153" s="40"/>
      <c r="U153" s="40"/>
      <c r="V153" s="40"/>
      <c r="W153" s="40"/>
      <c r="X153" s="40"/>
      <c r="Y153" s="40"/>
      <c r="Z153" s="40"/>
      <c r="AA153" s="40"/>
      <c r="AB153" s="40"/>
      <c r="AC153" s="40"/>
      <c r="AD153" s="40"/>
      <c r="AE153" s="40"/>
      <c r="AF153" s="40"/>
      <c r="AG153" s="40"/>
      <c r="AH153" s="40"/>
      <c r="AI153" s="40"/>
      <c r="AJ153" s="40"/>
      <c r="AK153" s="40"/>
      <c r="AL153" s="40"/>
      <c r="AM153" s="40"/>
      <c r="AN153" s="40"/>
      <c r="AO153" s="40"/>
      <c r="AP153" s="40"/>
      <c r="AQ153" s="40"/>
      <c r="AR153" s="40"/>
      <c r="AS153" s="40"/>
      <c r="AT153" s="40"/>
      <c r="AU153" s="40"/>
      <c r="AV153" s="40"/>
      <c r="AW153" s="40"/>
      <c r="AX153" s="40"/>
      <c r="AY153" s="40"/>
      <c r="AZ153" s="40"/>
      <c r="BA153" s="40"/>
      <c r="BB153" s="40"/>
      <c r="BC153" s="40"/>
      <c r="BD153" s="40"/>
      <c r="BE153" s="40"/>
      <c r="BF153" s="40"/>
      <c r="BG153" s="40"/>
      <c r="BH153" s="40"/>
      <c r="BI153" s="40"/>
      <c r="BJ153" s="40"/>
      <c r="BK153" s="40"/>
      <c r="BL153" s="40"/>
      <c r="BM153" s="40"/>
      <c r="BN153" s="40"/>
      <c r="BO153" s="40"/>
    </row>
    <row r="154" spans="1:67">
      <c r="A154" s="11"/>
      <c r="B154" s="11"/>
      <c r="C154" s="11"/>
      <c r="D154" s="11"/>
      <c r="E154" s="3"/>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c r="AW154" s="3"/>
      <c r="AX154" s="3"/>
      <c r="AY154" s="3"/>
      <c r="AZ154" s="3"/>
      <c r="BA154" s="3"/>
      <c r="BB154" s="3"/>
      <c r="BC154" s="3"/>
      <c r="BD154" s="3"/>
      <c r="BE154" s="3"/>
      <c r="BF154" s="3"/>
      <c r="BG154" s="3"/>
      <c r="BH154" s="3"/>
      <c r="BI154" s="3"/>
      <c r="BJ154" s="3"/>
      <c r="BK154" s="3"/>
      <c r="BL154" s="3"/>
      <c r="BM154" s="3"/>
      <c r="BN154" s="3"/>
      <c r="BO154" s="3"/>
    </row>
    <row r="155" spans="1:67">
      <c r="A155" s="11"/>
      <c r="B155" s="11" t="s">
        <v>191</v>
      </c>
      <c r="C155" s="11"/>
      <c r="D155" s="11"/>
      <c r="E155" s="3"/>
      <c r="F155" s="3"/>
      <c r="G155" s="90">
        <f>IF('01 Major Assumptions'!G$15=0,0,MIN(G139/$E$122*('01 Major Assumptions'!G$14/12),G139))</f>
        <v>0</v>
      </c>
      <c r="H155" s="90">
        <f>IF('01 Major Assumptions'!H$15=0,0,MIN(H139/$E$122*('01 Major Assumptions'!H$14/12),H139-G171))</f>
        <v>0</v>
      </c>
      <c r="I155" s="90">
        <f>IF('01 Major Assumptions'!I$15=0,0,MIN(I139/$E$122*('01 Major Assumptions'!I$14/12),I139-H171))</f>
        <v>0</v>
      </c>
      <c r="J155" s="90">
        <f>IF('01 Major Assumptions'!J$15=0,0,MIN(J139/$E$122*('01 Major Assumptions'!J$14/12),J139-I171))</f>
        <v>0</v>
      </c>
      <c r="K155" s="90">
        <f>IF('01 Major Assumptions'!K$15=0,0,MIN(K139/$E$122*('01 Major Assumptions'!K$14/12),K139-J171))</f>
        <v>0</v>
      </c>
      <c r="L155" s="90">
        <f>IF('01 Major Assumptions'!L$15=0,0,MIN(L139/$E$122*('01 Major Assumptions'!L$14/12),L139-K171))</f>
        <v>0</v>
      </c>
      <c r="M155" s="90">
        <f>IF('01 Major Assumptions'!M$15=0,0,MIN(M139/$E$122*('01 Major Assumptions'!M$14/12),M139-L171))</f>
        <v>0</v>
      </c>
      <c r="N155" s="90">
        <f>IF('01 Major Assumptions'!N$15=0,0,MIN(N139/$E$122*('01 Major Assumptions'!N$14/12),N139-M171))</f>
        <v>0</v>
      </c>
      <c r="O155" s="90">
        <f>IF('01 Major Assumptions'!O$15=0,0,MIN(O139/$E$122*('01 Major Assumptions'!O$14/12),O139-N171))</f>
        <v>0</v>
      </c>
      <c r="P155" s="90">
        <f>IF('01 Major Assumptions'!P$15=0,0,MIN(P139/$E$122*('01 Major Assumptions'!P$14/12),P139-O171))</f>
        <v>0</v>
      </c>
      <c r="Q155" s="90">
        <f>IF('01 Major Assumptions'!Q$15=0,0,MIN(Q139/$E$122*('01 Major Assumptions'!Q$14/12),Q139-P171))</f>
        <v>0</v>
      </c>
      <c r="R155" s="90">
        <f>IF('01 Major Assumptions'!R$15=0,0,MIN(R139/$E$122*('01 Major Assumptions'!R$14/12),R139-Q171))</f>
        <v>0</v>
      </c>
      <c r="S155" s="90">
        <f>IF('01 Major Assumptions'!S$15=0,0,MIN(S139/$E$122*('01 Major Assumptions'!S$14/12),S139-R171))</f>
        <v>0</v>
      </c>
      <c r="T155" s="90">
        <f>IF('01 Major Assumptions'!T$15=0,0,MIN(T139/$E$122*('01 Major Assumptions'!T$14/12),T139-S171))</f>
        <v>0</v>
      </c>
      <c r="U155" s="90">
        <f>IF('01 Major Assumptions'!U$15=0,0,MIN(U139/$E$122*('01 Major Assumptions'!U$14/12),U139-T171))</f>
        <v>0</v>
      </c>
      <c r="V155" s="90">
        <f>IF('01 Major Assumptions'!V$15=0,0,MIN(V139/$E$122*('01 Major Assumptions'!V$14/12),V139-U171))</f>
        <v>0</v>
      </c>
      <c r="W155" s="90">
        <f>IF('01 Major Assumptions'!W$15=0,0,MIN(W139/$E$122*('01 Major Assumptions'!W$14/12),W139-V171))</f>
        <v>0</v>
      </c>
      <c r="X155" s="90">
        <f>IF('01 Major Assumptions'!X$15=0,0,MIN(X139/$E$122*('01 Major Assumptions'!X$14/12),X139-W171))</f>
        <v>0</v>
      </c>
      <c r="Y155" s="90">
        <f>IF('01 Major Assumptions'!Y$15=0,0,MIN(Y139/$E$122*('01 Major Assumptions'!Y$14/12),Y139-X171))</f>
        <v>0</v>
      </c>
      <c r="Z155" s="90">
        <f>IF('01 Major Assumptions'!Z$15=0,0,MIN(Z139/$E$122*('01 Major Assumptions'!Z$14/12),Z139-Y171))</f>
        <v>0</v>
      </c>
      <c r="AA155" s="90">
        <f>IF('01 Major Assumptions'!AA$15=0,0,MIN(AA139/$E$122*('01 Major Assumptions'!AA$14/12),AA139-Z171))</f>
        <v>0</v>
      </c>
      <c r="AB155" s="90">
        <f>IF('01 Major Assumptions'!AB$15=0,0,MIN(AB139/$E$122*('01 Major Assumptions'!AB$14/12),AB139-AA171))</f>
        <v>87500</v>
      </c>
      <c r="AC155" s="90">
        <f>IF('01 Major Assumptions'!AC$15=0,0,MIN(AC139/$E$122*('01 Major Assumptions'!AC$14/12),AC139-AB171))</f>
        <v>87500</v>
      </c>
      <c r="AD155" s="90">
        <f>IF('01 Major Assumptions'!AD$15=0,0,MIN(AD139/$E$122*('01 Major Assumptions'!AD$14/12),AD139-AC171))</f>
        <v>87500</v>
      </c>
      <c r="AE155" s="90">
        <f>IF('01 Major Assumptions'!AE$15=0,0,MIN(AE139/$E$122*('01 Major Assumptions'!AE$14/12),AE139-AD171))</f>
        <v>87500</v>
      </c>
      <c r="AF155" s="90">
        <f>IF('01 Major Assumptions'!AF$15=0,0,MIN(AF139/$E$122*('01 Major Assumptions'!AF$14/12),AF139-AE171))</f>
        <v>87500</v>
      </c>
      <c r="AG155" s="90">
        <f>IF('01 Major Assumptions'!AG$15=0,0,MIN(AG139/$E$122*('01 Major Assumptions'!AG$14/12),AG139-AF171))</f>
        <v>87500</v>
      </c>
      <c r="AH155" s="90">
        <f>IF('01 Major Assumptions'!AH$15=0,0,MIN(AH139/$E$122*('01 Major Assumptions'!AH$14/12),AH139-AG171))</f>
        <v>87500</v>
      </c>
      <c r="AI155" s="90">
        <f>IF('01 Major Assumptions'!AI$15=0,0,MIN(AI139/$E$122*('01 Major Assumptions'!AI$14/12),AI139-AH171))</f>
        <v>87500</v>
      </c>
      <c r="AJ155" s="90">
        <f>IF('01 Major Assumptions'!AJ$15=0,0,MIN(AJ139/$E$122*('01 Major Assumptions'!AJ$14/12),AJ139-AI171))</f>
        <v>87500</v>
      </c>
      <c r="AK155" s="90">
        <f>IF('01 Major Assumptions'!AK$15=0,0,MIN(AK139/$E$122*('01 Major Assumptions'!AK$14/12),AK139-AJ171))</f>
        <v>87500</v>
      </c>
      <c r="AL155" s="90">
        <f>IF('01 Major Assumptions'!AL$15=0,0,MIN(AL139/$E$122*('01 Major Assumptions'!AL$14/12),AL139-AK171))</f>
        <v>87500</v>
      </c>
      <c r="AM155" s="90">
        <f>IF('01 Major Assumptions'!AM$15=0,0,MIN(AM139/$E$122*('01 Major Assumptions'!AM$14/12),AM139-AL171))</f>
        <v>87500</v>
      </c>
      <c r="AN155" s="90">
        <f>IF('01 Major Assumptions'!AN$15=0,0,MIN(AN139/$E$122*('01 Major Assumptions'!AN$14/12),AN139-AM171))</f>
        <v>87500</v>
      </c>
      <c r="AO155" s="90">
        <f>IF('01 Major Assumptions'!AO$15=0,0,MIN(AO139/$E$122*('01 Major Assumptions'!AO$14/12),AO139-AN171))</f>
        <v>87500</v>
      </c>
      <c r="AP155" s="90">
        <f>IF('01 Major Assumptions'!AP$15=0,0,MIN(AP139/$E$122*('01 Major Assumptions'!AP$14/12),AP139-AO171))</f>
        <v>87500</v>
      </c>
      <c r="AQ155" s="90">
        <f>IF('01 Major Assumptions'!AQ$15=0,0,MIN(AQ139/$E$122*('01 Major Assumptions'!AQ$14/12),AQ139-AP171))</f>
        <v>87500</v>
      </c>
      <c r="AR155" s="90">
        <f>IF('01 Major Assumptions'!AR$15=0,0,MIN(AR139/$E$122*('01 Major Assumptions'!AR$14/12),AR139-AQ171))</f>
        <v>87500</v>
      </c>
      <c r="AS155" s="90">
        <f>IF('01 Major Assumptions'!AS$15=0,0,MIN(AS139/$E$122*('01 Major Assumptions'!AS$14/12),AS139-AR171))</f>
        <v>87500</v>
      </c>
      <c r="AT155" s="90">
        <f>IF('01 Major Assumptions'!AT$15=0,0,MIN(AT139/$E$122*('01 Major Assumptions'!AT$14/12),AT139-AS171))</f>
        <v>87500</v>
      </c>
      <c r="AU155" s="90">
        <f>IF('01 Major Assumptions'!AU$15=0,0,MIN(AU139/$E$122*('01 Major Assumptions'!AU$14/12),AU139-AT171))</f>
        <v>87500</v>
      </c>
      <c r="AV155" s="90">
        <f>IF('01 Major Assumptions'!AV$15=0,0,MIN(AV139/$E$122*('01 Major Assumptions'!AV$14/12),AV139-AU171))</f>
        <v>87500</v>
      </c>
      <c r="AW155" s="90">
        <f>IF('01 Major Assumptions'!AW$15=0,0,MIN(AW139/$E$122*('01 Major Assumptions'!AW$14/12),AW139-AV171))</f>
        <v>87500</v>
      </c>
      <c r="AX155" s="90">
        <f>IF('01 Major Assumptions'!AX$15=0,0,MIN(AX139/$E$122*('01 Major Assumptions'!AX$14/12),AX139-AW171))</f>
        <v>87500</v>
      </c>
      <c r="AY155" s="90">
        <f>IF('01 Major Assumptions'!AY$15=0,0,MIN(AY139/$E$122*('01 Major Assumptions'!AY$14/12),AY139-AX171))</f>
        <v>87500</v>
      </c>
      <c r="AZ155" s="90">
        <f>IF('01 Major Assumptions'!AZ$15=0,0,MIN(AZ139/$E$122*('01 Major Assumptions'!AZ$14/12),AZ139-AY171))</f>
        <v>87500</v>
      </c>
      <c r="BA155" s="90">
        <f>IF('01 Major Assumptions'!BA$15=0,0,MIN(BA139/$E$122*('01 Major Assumptions'!BA$14/12),BA139-AZ171))</f>
        <v>87500</v>
      </c>
      <c r="BB155" s="90">
        <f>IF('01 Major Assumptions'!BB$15=0,0,MIN(BB139/$E$122*('01 Major Assumptions'!BB$14/12),BB139-BA171))</f>
        <v>87500</v>
      </c>
      <c r="BC155" s="90">
        <f>IF('01 Major Assumptions'!BC$15=0,0,MIN(BC139/$E$122*('01 Major Assumptions'!BC$14/12),BC139-BB171))</f>
        <v>87500</v>
      </c>
      <c r="BD155" s="90">
        <f>IF('01 Major Assumptions'!BD$15=0,0,MIN(BD139/$E$122*('01 Major Assumptions'!BD$14/12),BD139-BC171))</f>
        <v>87500</v>
      </c>
      <c r="BE155" s="90">
        <f>IF('01 Major Assumptions'!BE$15=0,0,MIN(BE139/$E$122*('01 Major Assumptions'!BE$14/12),BE139-BD171))</f>
        <v>87500</v>
      </c>
      <c r="BF155" s="90">
        <f>IF('01 Major Assumptions'!BF$15=0,0,MIN(BF139/$E$122*('01 Major Assumptions'!BF$14/12),BF139-BE171))</f>
        <v>87500</v>
      </c>
      <c r="BG155" s="90">
        <f>IF('01 Major Assumptions'!BG$15=0,0,MIN(BG139/$E$122*('01 Major Assumptions'!BG$14/12),BG139-BF171))</f>
        <v>87500</v>
      </c>
      <c r="BH155" s="90">
        <f>IF('01 Major Assumptions'!BH$15=0,0,MIN(BH139/$E$122*('01 Major Assumptions'!BH$14/12),BH139-BG171))</f>
        <v>87500</v>
      </c>
      <c r="BI155" s="90">
        <f>IF('01 Major Assumptions'!BI$15=0,0,MIN(BI139/$E$122*('01 Major Assumptions'!BI$14/12),BI139-BH171))</f>
        <v>1050000</v>
      </c>
      <c r="BJ155" s="90">
        <f>IF('01 Major Assumptions'!BJ$15=0,0,MIN(BJ139/$E$122*('01 Major Assumptions'!BJ$14/12),BJ139-BI171))</f>
        <v>1050000</v>
      </c>
      <c r="BK155" s="90">
        <f>IF('01 Major Assumptions'!BK$15=0,0,MIN(BK139/$E$122*('01 Major Assumptions'!BK$14/12),BK139-BJ171))</f>
        <v>1050000</v>
      </c>
      <c r="BL155" s="90">
        <f>IF('01 Major Assumptions'!BL$15=0,0,MIN(BL139/$E$122*('01 Major Assumptions'!BL$14/12),BL139-BK171))</f>
        <v>1050000</v>
      </c>
      <c r="BM155" s="90">
        <f>IF('01 Major Assumptions'!BM$15=0,0,MIN(BM139/$E$122*('01 Major Assumptions'!BM$14/12),BM139-BL171))</f>
        <v>1050000</v>
      </c>
      <c r="BN155" s="90">
        <f>IF('01 Major Assumptions'!BN$15=0,0,MIN(BN139/$E$122*('01 Major Assumptions'!BN$14/12),BN139-BM171))</f>
        <v>1050000</v>
      </c>
      <c r="BO155" s="90">
        <f>IF('01 Major Assumptions'!BO$15=0,0,MIN(BO139/$E$122*('01 Major Assumptions'!BO$14/12),BO139-BN171))</f>
        <v>1050000</v>
      </c>
    </row>
    <row r="156" spans="1:67">
      <c r="A156" s="11"/>
      <c r="B156" s="11" t="s">
        <v>192</v>
      </c>
      <c r="C156" s="11"/>
      <c r="D156" s="11"/>
      <c r="E156" s="3"/>
      <c r="F156" s="3"/>
      <c r="G156" s="90">
        <f>IF('01 Major Assumptions'!G$15=0,0,MIN(G140/$E$123*('01 Major Assumptions'!G$14/12),G140))</f>
        <v>0</v>
      </c>
      <c r="H156" s="90">
        <f>IF('01 Major Assumptions'!H$15=0,0,MIN(H140/$E$123*('01 Major Assumptions'!H$14/12),H140-G172))</f>
        <v>0</v>
      </c>
      <c r="I156" s="90">
        <f>IF('01 Major Assumptions'!I$15=0,0,MIN(I140/$E$123*('01 Major Assumptions'!I$14/12),I140-H172))</f>
        <v>0</v>
      </c>
      <c r="J156" s="90">
        <f>IF('01 Major Assumptions'!J$15=0,0,MIN(J140/$E$123*('01 Major Assumptions'!J$14/12),J140-I172))</f>
        <v>0</v>
      </c>
      <c r="K156" s="90">
        <f>IF('01 Major Assumptions'!K$15=0,0,MIN(K140/$E$123*('01 Major Assumptions'!K$14/12),K140-J172))</f>
        <v>0</v>
      </c>
      <c r="L156" s="90">
        <f>IF('01 Major Assumptions'!L$15=0,0,MIN(L140/$E$123*('01 Major Assumptions'!L$14/12),L140-K172))</f>
        <v>0</v>
      </c>
      <c r="M156" s="90">
        <f>IF('01 Major Assumptions'!M$15=0,0,MIN(M140/$E$123*('01 Major Assumptions'!M$14/12),M140-L172))</f>
        <v>0</v>
      </c>
      <c r="N156" s="90">
        <f>IF('01 Major Assumptions'!N$15=0,0,MIN(N140/$E$123*('01 Major Assumptions'!N$14/12),N140-M172))</f>
        <v>0</v>
      </c>
      <c r="O156" s="90">
        <f>IF('01 Major Assumptions'!O$15=0,0,MIN(O140/$E$123*('01 Major Assumptions'!O$14/12),O140-N172))</f>
        <v>0</v>
      </c>
      <c r="P156" s="90">
        <f>IF('01 Major Assumptions'!P$15=0,0,MIN(P140/$E$123*('01 Major Assumptions'!P$14/12),P140-O172))</f>
        <v>0</v>
      </c>
      <c r="Q156" s="90">
        <f>IF('01 Major Assumptions'!Q$15=0,0,MIN(Q140/$E$123*('01 Major Assumptions'!Q$14/12),Q140-P172))</f>
        <v>0</v>
      </c>
      <c r="R156" s="90">
        <f>IF('01 Major Assumptions'!R$15=0,0,MIN(R140/$E$123*('01 Major Assumptions'!R$14/12),R140-Q172))</f>
        <v>0</v>
      </c>
      <c r="S156" s="90">
        <f>IF('01 Major Assumptions'!S$15=0,0,MIN(S140/$E$123*('01 Major Assumptions'!S$14/12),S140-R172))</f>
        <v>0</v>
      </c>
      <c r="T156" s="90">
        <f>IF('01 Major Assumptions'!T$15=0,0,MIN(T140/$E$123*('01 Major Assumptions'!T$14/12),T140-S172))</f>
        <v>0</v>
      </c>
      <c r="U156" s="90">
        <f>IF('01 Major Assumptions'!U$15=0,0,MIN(U140/$E$123*('01 Major Assumptions'!U$14/12),U140-T172))</f>
        <v>0</v>
      </c>
      <c r="V156" s="90">
        <f>IF('01 Major Assumptions'!V$15=0,0,MIN(V140/$E$123*('01 Major Assumptions'!V$14/12),V140-U172))</f>
        <v>0</v>
      </c>
      <c r="W156" s="90">
        <f>IF('01 Major Assumptions'!W$15=0,0,MIN(W140/$E$123*('01 Major Assumptions'!W$14/12),W140-V172))</f>
        <v>0</v>
      </c>
      <c r="X156" s="90">
        <f>IF('01 Major Assumptions'!X$15=0,0,MIN(X140/$E$123*('01 Major Assumptions'!X$14/12),X140-W172))</f>
        <v>0</v>
      </c>
      <c r="Y156" s="90">
        <f>IF('01 Major Assumptions'!Y$15=0,0,MIN(Y140/$E$123*('01 Major Assumptions'!Y$14/12),Y140-X172))</f>
        <v>0</v>
      </c>
      <c r="Z156" s="90">
        <f>IF('01 Major Assumptions'!Z$15=0,0,MIN(Z140/$E$123*('01 Major Assumptions'!Z$14/12),Z140-Y172))</f>
        <v>0</v>
      </c>
      <c r="AA156" s="90">
        <f>IF('01 Major Assumptions'!AA$15=0,0,MIN(AA140/$E$123*('01 Major Assumptions'!AA$14/12),AA140-Z172))</f>
        <v>0</v>
      </c>
      <c r="AB156" s="90">
        <f>IF('01 Major Assumptions'!AB$15=0,0,MIN(AB140/$E$123*('01 Major Assumptions'!AB$14/12),AB140-AA172))</f>
        <v>1136249.9999999995</v>
      </c>
      <c r="AC156" s="90">
        <f>IF('01 Major Assumptions'!AC$15=0,0,MIN(AC140/$E$123*('01 Major Assumptions'!AC$14/12),AC140-AB172))</f>
        <v>1136249.9999999995</v>
      </c>
      <c r="AD156" s="90">
        <f>IF('01 Major Assumptions'!AD$15=0,0,MIN(AD140/$E$123*('01 Major Assumptions'!AD$14/12),AD140-AC172))</f>
        <v>1136249.9999999995</v>
      </c>
      <c r="AE156" s="90">
        <f>IF('01 Major Assumptions'!AE$15=0,0,MIN(AE140/$E$123*('01 Major Assumptions'!AE$14/12),AE140-AD172))</f>
        <v>1136249.9999999995</v>
      </c>
      <c r="AF156" s="90">
        <f>IF('01 Major Assumptions'!AF$15=0,0,MIN(AF140/$E$123*('01 Major Assumptions'!AF$14/12),AF140-AE172))</f>
        <v>1136249.9999999995</v>
      </c>
      <c r="AG156" s="90">
        <f>IF('01 Major Assumptions'!AG$15=0,0,MIN(AG140/$E$123*('01 Major Assumptions'!AG$14/12),AG140-AF172))</f>
        <v>1136249.9999999995</v>
      </c>
      <c r="AH156" s="90">
        <f>IF('01 Major Assumptions'!AH$15=0,0,MIN(AH140/$E$123*('01 Major Assumptions'!AH$14/12),AH140-AG172))</f>
        <v>1136249.9999999995</v>
      </c>
      <c r="AI156" s="90">
        <f>IF('01 Major Assumptions'!AI$15=0,0,MIN(AI140/$E$123*('01 Major Assumptions'!AI$14/12),AI140-AH172))</f>
        <v>1136249.9999999995</v>
      </c>
      <c r="AJ156" s="90">
        <f>IF('01 Major Assumptions'!AJ$15=0,0,MIN(AJ140/$E$123*('01 Major Assumptions'!AJ$14/12),AJ140-AI172))</f>
        <v>1136249.9999999995</v>
      </c>
      <c r="AK156" s="90">
        <f>IF('01 Major Assumptions'!AK$15=0,0,MIN(AK140/$E$123*('01 Major Assumptions'!AK$14/12),AK140-AJ172))</f>
        <v>1136249.9999999995</v>
      </c>
      <c r="AL156" s="90">
        <f>IF('01 Major Assumptions'!AL$15=0,0,MIN(AL140/$E$123*('01 Major Assumptions'!AL$14/12),AL140-AK172))</f>
        <v>1136249.9999999995</v>
      </c>
      <c r="AM156" s="90">
        <f>IF('01 Major Assumptions'!AM$15=0,0,MIN(AM140/$E$123*('01 Major Assumptions'!AM$14/12),AM140-AL172))</f>
        <v>1136249.9999999995</v>
      </c>
      <c r="AN156" s="90">
        <f>IF('01 Major Assumptions'!AN$15=0,0,MIN(AN140/$E$123*('01 Major Assumptions'!AN$14/12),AN140-AM172))</f>
        <v>1136249.9999999995</v>
      </c>
      <c r="AO156" s="90">
        <f>IF('01 Major Assumptions'!AO$15=0,0,MIN(AO140/$E$123*('01 Major Assumptions'!AO$14/12),AO140-AN172))</f>
        <v>1136249.9999999995</v>
      </c>
      <c r="AP156" s="90">
        <f>IF('01 Major Assumptions'!AP$15=0,0,MIN(AP140/$E$123*('01 Major Assumptions'!AP$14/12),AP140-AO172))</f>
        <v>1136249.9999999995</v>
      </c>
      <c r="AQ156" s="90">
        <f>IF('01 Major Assumptions'!AQ$15=0,0,MIN(AQ140/$E$123*('01 Major Assumptions'!AQ$14/12),AQ140-AP172))</f>
        <v>1136249.9999999995</v>
      </c>
      <c r="AR156" s="90">
        <f>IF('01 Major Assumptions'!AR$15=0,0,MIN(AR140/$E$123*('01 Major Assumptions'!AR$14/12),AR140-AQ172))</f>
        <v>1136249.9999999995</v>
      </c>
      <c r="AS156" s="90">
        <f>IF('01 Major Assumptions'!AS$15=0,0,MIN(AS140/$E$123*('01 Major Assumptions'!AS$14/12),AS140-AR172))</f>
        <v>1136249.9999999995</v>
      </c>
      <c r="AT156" s="90">
        <f>IF('01 Major Assumptions'!AT$15=0,0,MIN(AT140/$E$123*('01 Major Assumptions'!AT$14/12),AT140-AS172))</f>
        <v>1136249.9999999995</v>
      </c>
      <c r="AU156" s="90">
        <f>IF('01 Major Assumptions'!AU$15=0,0,MIN(AU140/$E$123*('01 Major Assumptions'!AU$14/12),AU140-AT172))</f>
        <v>1136249.9999999995</v>
      </c>
      <c r="AV156" s="90">
        <f>IF('01 Major Assumptions'!AV$15=0,0,MIN(AV140/$E$123*('01 Major Assumptions'!AV$14/12),AV140-AU172))</f>
        <v>1136249.9999999995</v>
      </c>
      <c r="AW156" s="90">
        <f>IF('01 Major Assumptions'!AW$15=0,0,MIN(AW140/$E$123*('01 Major Assumptions'!AW$14/12),AW140-AV172))</f>
        <v>1136249.9999999995</v>
      </c>
      <c r="AX156" s="90">
        <f>IF('01 Major Assumptions'!AX$15=0,0,MIN(AX140/$E$123*('01 Major Assumptions'!AX$14/12),AX140-AW172))</f>
        <v>1136249.9999999995</v>
      </c>
      <c r="AY156" s="90">
        <f>IF('01 Major Assumptions'!AY$15=0,0,MIN(AY140/$E$123*('01 Major Assumptions'!AY$14/12),AY140-AX172))</f>
        <v>1136249.9999999995</v>
      </c>
      <c r="AZ156" s="90">
        <f>IF('01 Major Assumptions'!AZ$15=0,0,MIN(AZ140/$E$123*('01 Major Assumptions'!AZ$14/12),AZ140-AY172))</f>
        <v>1136249.9999999995</v>
      </c>
      <c r="BA156" s="90">
        <f>IF('01 Major Assumptions'!BA$15=0,0,MIN(BA140/$E$123*('01 Major Assumptions'!BA$14/12),BA140-AZ172))</f>
        <v>1136249.9999999995</v>
      </c>
      <c r="BB156" s="90">
        <f>IF('01 Major Assumptions'!BB$15=0,0,MIN(BB140/$E$123*('01 Major Assumptions'!BB$14/12),BB140-BA172))</f>
        <v>1136249.9999999995</v>
      </c>
      <c r="BC156" s="90">
        <f>IF('01 Major Assumptions'!BC$15=0,0,MIN(BC140/$E$123*('01 Major Assumptions'!BC$14/12),BC140-BB172))</f>
        <v>1136249.9999999995</v>
      </c>
      <c r="BD156" s="90">
        <f>IF('01 Major Assumptions'!BD$15=0,0,MIN(BD140/$E$123*('01 Major Assumptions'!BD$14/12),BD140-BC172))</f>
        <v>1136249.9999999995</v>
      </c>
      <c r="BE156" s="90">
        <f>IF('01 Major Assumptions'!BE$15=0,0,MIN(BE140/$E$123*('01 Major Assumptions'!BE$14/12),BE140-BD172))</f>
        <v>1136249.9999999995</v>
      </c>
      <c r="BF156" s="90">
        <f>IF('01 Major Assumptions'!BF$15=0,0,MIN(BF140/$E$123*('01 Major Assumptions'!BF$14/12),BF140-BE172))</f>
        <v>1136249.9999999995</v>
      </c>
      <c r="BG156" s="90">
        <f>IF('01 Major Assumptions'!BG$15=0,0,MIN(BG140/$E$123*('01 Major Assumptions'!BG$14/12),BG140-BF172))</f>
        <v>1136249.9999999995</v>
      </c>
      <c r="BH156" s="90">
        <f>IF('01 Major Assumptions'!BH$15=0,0,MIN(BH140/$E$123*('01 Major Assumptions'!BH$14/12),BH140-BG172))</f>
        <v>1136249.9999999995</v>
      </c>
      <c r="BI156" s="90">
        <f>IF('01 Major Assumptions'!BI$15=0,0,MIN(BI140/$E$123*('01 Major Assumptions'!BI$14/12),BI140-BH172))</f>
        <v>13634999.999999996</v>
      </c>
      <c r="BJ156" s="90">
        <f>IF('01 Major Assumptions'!BJ$15=0,0,MIN(BJ140/$E$123*('01 Major Assumptions'!BJ$14/12),BJ140-BI172))</f>
        <v>13634999.999999996</v>
      </c>
      <c r="BK156" s="90">
        <f>IF('01 Major Assumptions'!BK$15=0,0,MIN(BK140/$E$123*('01 Major Assumptions'!BK$14/12),BK140-BJ172))</f>
        <v>13634999.999999996</v>
      </c>
      <c r="BL156" s="90">
        <f>IF('01 Major Assumptions'!BL$15=0,0,MIN(BL140/$E$123*('01 Major Assumptions'!BL$14/12),BL140-BK172))</f>
        <v>13634999.999999996</v>
      </c>
      <c r="BM156" s="90">
        <f>IF('01 Major Assumptions'!BM$15=0,0,MIN(BM140/$E$123*('01 Major Assumptions'!BM$14/12),BM140-BL172))</f>
        <v>13634999.999999996</v>
      </c>
      <c r="BN156" s="90">
        <f>IF('01 Major Assumptions'!BN$15=0,0,MIN(BN140/$E$123*('01 Major Assumptions'!BN$14/12),BN140-BM172))</f>
        <v>13634999.999999996</v>
      </c>
      <c r="BO156" s="90">
        <f>IF('01 Major Assumptions'!BO$15=0,0,MIN(BO140/$E$123*('01 Major Assumptions'!BO$14/12),BO140-BN172))</f>
        <v>13634999.999999996</v>
      </c>
    </row>
    <row r="157" spans="1:67">
      <c r="A157" s="11"/>
      <c r="B157" s="11" t="s">
        <v>322</v>
      </c>
      <c r="C157" s="11"/>
      <c r="D157" s="11"/>
      <c r="E157" s="3"/>
      <c r="F157" s="3"/>
      <c r="G157" s="90">
        <f>IF('01 Major Assumptions'!G$15=0,0,MIN(G141/$E$124*('01 Major Assumptions'!G$14/12),G141))</f>
        <v>0</v>
      </c>
      <c r="H157" s="90">
        <f>IF('01 Major Assumptions'!H$15=0,0,MIN(H141/$E$124*('01 Major Assumptions'!H$14/12),H141-G173))</f>
        <v>0</v>
      </c>
      <c r="I157" s="90">
        <f>IF('01 Major Assumptions'!I$15=0,0,MIN(I141/$E$124*('01 Major Assumptions'!I$14/12),I141-H173))</f>
        <v>0</v>
      </c>
      <c r="J157" s="90">
        <f>IF('01 Major Assumptions'!J$15=0,0,MIN(J141/$E$124*('01 Major Assumptions'!J$14/12),J141-I173))</f>
        <v>0</v>
      </c>
      <c r="K157" s="90">
        <f>IF('01 Major Assumptions'!K$15=0,0,MIN(K141/$E$124*('01 Major Assumptions'!K$14/12),K141-J173))</f>
        <v>0</v>
      </c>
      <c r="L157" s="90">
        <f>IF('01 Major Assumptions'!L$15=0,0,MIN(L141/$E$124*('01 Major Assumptions'!L$14/12),L141-K173))</f>
        <v>0</v>
      </c>
      <c r="M157" s="90">
        <f>IF('01 Major Assumptions'!M$15=0,0,MIN(M141/$E$124*('01 Major Assumptions'!M$14/12),M141-L173))</f>
        <v>0</v>
      </c>
      <c r="N157" s="90">
        <f>IF('01 Major Assumptions'!N$15=0,0,MIN(N141/$E$124*('01 Major Assumptions'!N$14/12),N141-M173))</f>
        <v>0</v>
      </c>
      <c r="O157" s="90">
        <f>IF('01 Major Assumptions'!O$15=0,0,MIN(O141/$E$124*('01 Major Assumptions'!O$14/12),O141-N173))</f>
        <v>0</v>
      </c>
      <c r="P157" s="90">
        <f>IF('01 Major Assumptions'!P$15=0,0,MIN(P141/$E$124*('01 Major Assumptions'!P$14/12),P141-O173))</f>
        <v>0</v>
      </c>
      <c r="Q157" s="90">
        <f>IF('01 Major Assumptions'!Q$15=0,0,MIN(Q141/$E$124*('01 Major Assumptions'!Q$14/12),Q141-P173))</f>
        <v>0</v>
      </c>
      <c r="R157" s="90">
        <f>IF('01 Major Assumptions'!R$15=0,0,MIN(R141/$E$124*('01 Major Assumptions'!R$14/12),R141-Q173))</f>
        <v>0</v>
      </c>
      <c r="S157" s="90">
        <f>IF('01 Major Assumptions'!S$15=0,0,MIN(S141/$E$124*('01 Major Assumptions'!S$14/12),S141-R173))</f>
        <v>0</v>
      </c>
      <c r="T157" s="90">
        <f>IF('01 Major Assumptions'!T$15=0,0,MIN(T141/$E$124*('01 Major Assumptions'!T$14/12),T141-S173))</f>
        <v>0</v>
      </c>
      <c r="U157" s="90">
        <f>IF('01 Major Assumptions'!U$15=0,0,MIN(U141/$E$124*('01 Major Assumptions'!U$14/12),U141-T173))</f>
        <v>0</v>
      </c>
      <c r="V157" s="90">
        <f>IF('01 Major Assumptions'!V$15=0,0,MIN(V141/$E$124*('01 Major Assumptions'!V$14/12),V141-U173))</f>
        <v>0</v>
      </c>
      <c r="W157" s="90">
        <f>IF('01 Major Assumptions'!W$15=0,0,MIN(W141/$E$124*('01 Major Assumptions'!W$14/12),W141-V173))</f>
        <v>0</v>
      </c>
      <c r="X157" s="90">
        <f>IF('01 Major Assumptions'!X$15=0,0,MIN(X141/$E$124*('01 Major Assumptions'!X$14/12),X141-W173))</f>
        <v>0</v>
      </c>
      <c r="Y157" s="90">
        <f>IF('01 Major Assumptions'!Y$15=0,0,MIN(Y141/$E$124*('01 Major Assumptions'!Y$14/12),Y141-X173))</f>
        <v>0</v>
      </c>
      <c r="Z157" s="90">
        <f>IF('01 Major Assumptions'!Z$15=0,0,MIN(Z141/$E$124*('01 Major Assumptions'!Z$14/12),Z141-Y173))</f>
        <v>0</v>
      </c>
      <c r="AA157" s="90">
        <f>IF('01 Major Assumptions'!AA$15=0,0,MIN(AA141/$E$124*('01 Major Assumptions'!AA$14/12),AA141-Z173))</f>
        <v>0</v>
      </c>
      <c r="AB157" s="90">
        <f>IF('01 Major Assumptions'!AB$15=0,0,MIN(AB141/$E$124*('01 Major Assumptions'!AB$14/12),AB141-AA173))</f>
        <v>3526736.111111111</v>
      </c>
      <c r="AC157" s="90">
        <f>IF('01 Major Assumptions'!AC$15=0,0,MIN(AC141/$E$124*('01 Major Assumptions'!AC$14/12),AC141-AB173))</f>
        <v>3536805.555555555</v>
      </c>
      <c r="AD157" s="90">
        <f>IF('01 Major Assumptions'!AD$15=0,0,MIN(AD141/$E$124*('01 Major Assumptions'!AD$14/12),AD141-AC173))</f>
        <v>3546875</v>
      </c>
      <c r="AE157" s="90">
        <f>IF('01 Major Assumptions'!AE$15=0,0,MIN(AE141/$E$124*('01 Major Assumptions'!AE$14/12),AE141-AD173))</f>
        <v>3556944.4444444445</v>
      </c>
      <c r="AF157" s="90">
        <f>IF('01 Major Assumptions'!AF$15=0,0,MIN(AF141/$E$124*('01 Major Assumptions'!AF$14/12),AF141-AE173))</f>
        <v>3567013.8888888885</v>
      </c>
      <c r="AG157" s="90">
        <f>IF('01 Major Assumptions'!AG$15=0,0,MIN(AG141/$E$124*('01 Major Assumptions'!AG$14/12),AG141-AF173))</f>
        <v>3577083.333333333</v>
      </c>
      <c r="AH157" s="90">
        <f>IF('01 Major Assumptions'!AH$15=0,0,MIN(AH141/$E$124*('01 Major Assumptions'!AH$14/12),AH141-AG173))</f>
        <v>3587152.777777778</v>
      </c>
      <c r="AI157" s="90">
        <f>IF('01 Major Assumptions'!AI$15=0,0,MIN(AI141/$E$124*('01 Major Assumptions'!AI$14/12),AI141-AH173))</f>
        <v>3597222.222222222</v>
      </c>
      <c r="AJ157" s="90">
        <f>IF('01 Major Assumptions'!AJ$15=0,0,MIN(AJ141/$E$124*('01 Major Assumptions'!AJ$14/12),AJ141-AI173))</f>
        <v>3607291.6666666665</v>
      </c>
      <c r="AK157" s="90">
        <f>IF('01 Major Assumptions'!AK$15=0,0,MIN(AK141/$E$124*('01 Major Assumptions'!AK$14/12),AK141-AJ173))</f>
        <v>3617361.111111111</v>
      </c>
      <c r="AL157" s="90">
        <f>IF('01 Major Assumptions'!AL$15=0,0,MIN(AL141/$E$124*('01 Major Assumptions'!AL$14/12),AL141-AK173))</f>
        <v>3627430.555555555</v>
      </c>
      <c r="AM157" s="90">
        <f>IF('01 Major Assumptions'!AM$15=0,0,MIN(AM141/$E$124*('01 Major Assumptions'!AM$14/12),AM141-AL173))</f>
        <v>3637500</v>
      </c>
      <c r="AN157" s="90">
        <f>IF('01 Major Assumptions'!AN$15=0,0,MIN(AN141/$E$124*('01 Major Assumptions'!AN$14/12),AN141-AM173))</f>
        <v>3647569.4444444445</v>
      </c>
      <c r="AO157" s="90">
        <f>IF('01 Major Assumptions'!AO$15=0,0,MIN(AO141/$E$124*('01 Major Assumptions'!AO$14/12),AO141-AN173))</f>
        <v>3657638.8888888885</v>
      </c>
      <c r="AP157" s="90">
        <f>IF('01 Major Assumptions'!AP$15=0,0,MIN(AP141/$E$124*('01 Major Assumptions'!AP$14/12),AP141-AO173))</f>
        <v>3667708.333333333</v>
      </c>
      <c r="AQ157" s="90">
        <f>IF('01 Major Assumptions'!AQ$15=0,0,MIN(AQ141/$E$124*('01 Major Assumptions'!AQ$14/12),AQ141-AP173))</f>
        <v>3677777.777777778</v>
      </c>
      <c r="AR157" s="90">
        <f>IF('01 Major Assumptions'!AR$15=0,0,MIN(AR141/$E$124*('01 Major Assumptions'!AR$14/12),AR141-AQ173))</f>
        <v>3687847.222222222</v>
      </c>
      <c r="AS157" s="90">
        <f>IF('01 Major Assumptions'!AS$15=0,0,MIN(AS141/$E$124*('01 Major Assumptions'!AS$14/12),AS141-AR173))</f>
        <v>3697916.6666666665</v>
      </c>
      <c r="AT157" s="90">
        <f>IF('01 Major Assumptions'!AT$15=0,0,MIN(AT141/$E$124*('01 Major Assumptions'!AT$14/12),AT141-AS173))</f>
        <v>3707986.111111111</v>
      </c>
      <c r="AU157" s="90">
        <f>IF('01 Major Assumptions'!AU$15=0,0,MIN(AU141/$E$124*('01 Major Assumptions'!AU$14/12),AU141-AT173))</f>
        <v>3718055.555555555</v>
      </c>
      <c r="AV157" s="90">
        <f>IF('01 Major Assumptions'!AV$15=0,0,MIN(AV141/$E$124*('01 Major Assumptions'!AV$14/12),AV141-AU173))</f>
        <v>3728125</v>
      </c>
      <c r="AW157" s="90">
        <f>IF('01 Major Assumptions'!AW$15=0,0,MIN(AW141/$E$124*('01 Major Assumptions'!AW$14/12),AW141-AV173))</f>
        <v>3738194.4444444445</v>
      </c>
      <c r="AX157" s="90">
        <f>IF('01 Major Assumptions'!AX$15=0,0,MIN(AX141/$E$124*('01 Major Assumptions'!AX$14/12),AX141-AW173))</f>
        <v>3748263.8888888885</v>
      </c>
      <c r="AY157" s="90">
        <f>IF('01 Major Assumptions'!AY$15=0,0,MIN(AY141/$E$124*('01 Major Assumptions'!AY$14/12),AY141-AX173))</f>
        <v>3758333.333333333</v>
      </c>
      <c r="AZ157" s="90">
        <f>IF('01 Major Assumptions'!AZ$15=0,0,MIN(AZ141/$E$124*('01 Major Assumptions'!AZ$14/12),AZ141-AY173))</f>
        <v>3768402.777777778</v>
      </c>
      <c r="BA157" s="90">
        <f>IF('01 Major Assumptions'!BA$15=0,0,MIN(BA141/$E$124*('01 Major Assumptions'!BA$14/12),BA141-AZ173))</f>
        <v>3778472.222222222</v>
      </c>
      <c r="BB157" s="90">
        <f>IF('01 Major Assumptions'!BB$15=0,0,MIN(BB141/$E$124*('01 Major Assumptions'!BB$14/12),BB141-BA173))</f>
        <v>3788541.6666666665</v>
      </c>
      <c r="BC157" s="90">
        <f>IF('01 Major Assumptions'!BC$15=0,0,MIN(BC141/$E$124*('01 Major Assumptions'!BC$14/12),BC141-BB173))</f>
        <v>3798611.111111111</v>
      </c>
      <c r="BD157" s="90">
        <f>IF('01 Major Assumptions'!BD$15=0,0,MIN(BD141/$E$124*('01 Major Assumptions'!BD$14/12),BD141-BC173))</f>
        <v>3808680.555555555</v>
      </c>
      <c r="BE157" s="90">
        <f>IF('01 Major Assumptions'!BE$15=0,0,MIN(BE141/$E$124*('01 Major Assumptions'!BE$14/12),BE141-BD173))</f>
        <v>3818750</v>
      </c>
      <c r="BF157" s="90">
        <f>IF('01 Major Assumptions'!BF$15=0,0,MIN(BF141/$E$124*('01 Major Assumptions'!BF$14/12),BF141-BE173))</f>
        <v>3828819.4444444445</v>
      </c>
      <c r="BG157" s="90">
        <f>IF('01 Major Assumptions'!BG$15=0,0,MIN(BG141/$E$124*('01 Major Assumptions'!BG$14/12),BG141-BF173))</f>
        <v>3838888.8888888885</v>
      </c>
      <c r="BH157" s="90">
        <f>IF('01 Major Assumptions'!BH$15=0,0,MIN(BH141/$E$124*('01 Major Assumptions'!BH$14/12),BH141-BG173))</f>
        <v>3848958.333333333</v>
      </c>
      <c r="BI157" s="90">
        <f>IF('01 Major Assumptions'!BI$15=0,0,MIN(BI141/$E$124*('01 Major Assumptions'!BI$14/12),BI141-BH173))</f>
        <v>47637500</v>
      </c>
      <c r="BJ157" s="90">
        <f>IF('01 Major Assumptions'!BJ$15=0,0,MIN(BJ141/$E$124*('01 Major Assumptions'!BJ$14/12),BJ141-BI173))</f>
        <v>49087500</v>
      </c>
      <c r="BK157" s="90">
        <f>IF('01 Major Assumptions'!BK$15=0,0,MIN(BK141/$E$124*('01 Major Assumptions'!BK$14/12),BK141-BJ173))</f>
        <v>50537500</v>
      </c>
      <c r="BL157" s="90">
        <f>IF('01 Major Assumptions'!BL$15=0,0,MIN(BL141/$E$124*('01 Major Assumptions'!BL$14/12),BL141-BK173))</f>
        <v>51987500</v>
      </c>
      <c r="BM157" s="90">
        <f>IF('01 Major Assumptions'!BM$15=0,0,MIN(BM141/$E$124*('01 Major Assumptions'!BM$14/12),BM141-BL173))</f>
        <v>53437500</v>
      </c>
      <c r="BN157" s="90">
        <f>IF('01 Major Assumptions'!BN$15=0,0,MIN(BN141/$E$124*('01 Major Assumptions'!BN$14/12),BN141-BM173))</f>
        <v>54887500</v>
      </c>
      <c r="BO157" s="90">
        <f>IF('01 Major Assumptions'!BO$15=0,0,MIN(BO141/$E$124*('01 Major Assumptions'!BO$14/12),BO141-BN173))</f>
        <v>56337500</v>
      </c>
    </row>
    <row r="158" spans="1:67">
      <c r="A158" s="11"/>
      <c r="B158" s="11" t="s">
        <v>197</v>
      </c>
      <c r="C158" s="11"/>
      <c r="D158" s="11"/>
      <c r="E158" s="3"/>
      <c r="F158" s="3"/>
      <c r="G158" s="90">
        <f>IF('01 Major Assumptions'!G$15=0,0,MIN(G142/$E$125*('01 Major Assumptions'!G$14/12),G142))</f>
        <v>0</v>
      </c>
      <c r="H158" s="90">
        <f>IF('01 Major Assumptions'!H$15=0,0,MIN(H142/$E$125*('01 Major Assumptions'!H$14/12),H142-G174))</f>
        <v>0</v>
      </c>
      <c r="I158" s="90">
        <f>IF('01 Major Assumptions'!I$15=0,0,MIN(I142/$E$125*('01 Major Assumptions'!I$14/12),I142-H174))</f>
        <v>0</v>
      </c>
      <c r="J158" s="90">
        <f>IF('01 Major Assumptions'!J$15=0,0,MIN(J142/$E$125*('01 Major Assumptions'!J$14/12),J142-I174))</f>
        <v>0</v>
      </c>
      <c r="K158" s="90">
        <f>IF('01 Major Assumptions'!K$15=0,0,MIN(K142/$E$125*('01 Major Assumptions'!K$14/12),K142-J174))</f>
        <v>0</v>
      </c>
      <c r="L158" s="90">
        <f>IF('01 Major Assumptions'!L$15=0,0,MIN(L142/$E$125*('01 Major Assumptions'!L$14/12),L142-K174))</f>
        <v>0</v>
      </c>
      <c r="M158" s="90">
        <f>IF('01 Major Assumptions'!M$15=0,0,MIN(M142/$E$125*('01 Major Assumptions'!M$14/12),M142-L174))</f>
        <v>0</v>
      </c>
      <c r="N158" s="90">
        <f>IF('01 Major Assumptions'!N$15=0,0,MIN(N142/$E$125*('01 Major Assumptions'!N$14/12),N142-M174))</f>
        <v>0</v>
      </c>
      <c r="O158" s="90">
        <f>IF('01 Major Assumptions'!O$15=0,0,MIN(O142/$E$125*('01 Major Assumptions'!O$14/12),O142-N174))</f>
        <v>0</v>
      </c>
      <c r="P158" s="90">
        <f>IF('01 Major Assumptions'!P$15=0,0,MIN(P142/$E$125*('01 Major Assumptions'!P$14/12),P142-O174))</f>
        <v>0</v>
      </c>
      <c r="Q158" s="90">
        <f>IF('01 Major Assumptions'!Q$15=0,0,MIN(Q142/$E$125*('01 Major Assumptions'!Q$14/12),Q142-P174))</f>
        <v>0</v>
      </c>
      <c r="R158" s="90">
        <f>IF('01 Major Assumptions'!R$15=0,0,MIN(R142/$E$125*('01 Major Assumptions'!R$14/12),R142-Q174))</f>
        <v>0</v>
      </c>
      <c r="S158" s="90">
        <f>IF('01 Major Assumptions'!S$15=0,0,MIN(S142/$E$125*('01 Major Assumptions'!S$14/12),S142-R174))</f>
        <v>0</v>
      </c>
      <c r="T158" s="90">
        <f>IF('01 Major Assumptions'!T$15=0,0,MIN(T142/$E$125*('01 Major Assumptions'!T$14/12),T142-S174))</f>
        <v>0</v>
      </c>
      <c r="U158" s="90">
        <f>IF('01 Major Assumptions'!U$15=0,0,MIN(U142/$E$125*('01 Major Assumptions'!U$14/12),U142-T174))</f>
        <v>0</v>
      </c>
      <c r="V158" s="90">
        <f>IF('01 Major Assumptions'!V$15=0,0,MIN(V142/$E$125*('01 Major Assumptions'!V$14/12),V142-U174))</f>
        <v>0</v>
      </c>
      <c r="W158" s="90">
        <f>IF('01 Major Assumptions'!W$15=0,0,MIN(W142/$E$125*('01 Major Assumptions'!W$14/12),W142-V174))</f>
        <v>0</v>
      </c>
      <c r="X158" s="90">
        <f>IF('01 Major Assumptions'!X$15=0,0,MIN(X142/$E$125*('01 Major Assumptions'!X$14/12),X142-W174))</f>
        <v>0</v>
      </c>
      <c r="Y158" s="90">
        <f>IF('01 Major Assumptions'!Y$15=0,0,MIN(Y142/$E$125*('01 Major Assumptions'!Y$14/12),Y142-X174))</f>
        <v>0</v>
      </c>
      <c r="Z158" s="90">
        <f>IF('01 Major Assumptions'!Z$15=0,0,MIN(Z142/$E$125*('01 Major Assumptions'!Z$14/12),Z142-Y174))</f>
        <v>0</v>
      </c>
      <c r="AA158" s="90">
        <f>IF('01 Major Assumptions'!AA$15=0,0,MIN(AA142/$E$125*('01 Major Assumptions'!AA$14/12),AA142-Z174))</f>
        <v>0</v>
      </c>
      <c r="AB158" s="90">
        <f>IF('01 Major Assumptions'!AB$15=0,0,MIN(AB142/$E$125*('01 Major Assumptions'!AB$14/12),AB142-AA174))</f>
        <v>1133333.3333333333</v>
      </c>
      <c r="AC158" s="90">
        <f>IF('01 Major Assumptions'!AC$15=0,0,MIN(AC142/$E$125*('01 Major Assumptions'!AC$14/12),AC142-AB174))</f>
        <v>1133333.3333333333</v>
      </c>
      <c r="AD158" s="90">
        <f>IF('01 Major Assumptions'!AD$15=0,0,MIN(AD142/$E$125*('01 Major Assumptions'!AD$14/12),AD142-AC174))</f>
        <v>1133333.3333333333</v>
      </c>
      <c r="AE158" s="90">
        <f>IF('01 Major Assumptions'!AE$15=0,0,MIN(AE142/$E$125*('01 Major Assumptions'!AE$14/12),AE142-AD174))</f>
        <v>1133333.3333333333</v>
      </c>
      <c r="AF158" s="90">
        <f>IF('01 Major Assumptions'!AF$15=0,0,MIN(AF142/$E$125*('01 Major Assumptions'!AF$14/12),AF142-AE174))</f>
        <v>1133333.3333333333</v>
      </c>
      <c r="AG158" s="90">
        <f>IF('01 Major Assumptions'!AG$15=0,0,MIN(AG142/$E$125*('01 Major Assumptions'!AG$14/12),AG142-AF174))</f>
        <v>1133333.3333333333</v>
      </c>
      <c r="AH158" s="90">
        <f>IF('01 Major Assumptions'!AH$15=0,0,MIN(AH142/$E$125*('01 Major Assumptions'!AH$14/12),AH142-AG174))</f>
        <v>1133333.3333333333</v>
      </c>
      <c r="AI158" s="90">
        <f>IF('01 Major Assumptions'!AI$15=0,0,MIN(AI142/$E$125*('01 Major Assumptions'!AI$14/12),AI142-AH174))</f>
        <v>1133333.3333333333</v>
      </c>
      <c r="AJ158" s="90">
        <f>IF('01 Major Assumptions'!AJ$15=0,0,MIN(AJ142/$E$125*('01 Major Assumptions'!AJ$14/12),AJ142-AI174))</f>
        <v>1133333.3333333333</v>
      </c>
      <c r="AK158" s="90">
        <f>IF('01 Major Assumptions'!AK$15=0,0,MIN(AK142/$E$125*('01 Major Assumptions'!AK$14/12),AK142-AJ174))</f>
        <v>1133333.3333333333</v>
      </c>
      <c r="AL158" s="90">
        <f>IF('01 Major Assumptions'!AL$15=0,0,MIN(AL142/$E$125*('01 Major Assumptions'!AL$14/12),AL142-AK174))</f>
        <v>1133333.3333333333</v>
      </c>
      <c r="AM158" s="90">
        <f>IF('01 Major Assumptions'!AM$15=0,0,MIN(AM142/$E$125*('01 Major Assumptions'!AM$14/12),AM142-AL174))</f>
        <v>1133333.3333333333</v>
      </c>
      <c r="AN158" s="90">
        <f>IF('01 Major Assumptions'!AN$15=0,0,MIN(AN142/$E$125*('01 Major Assumptions'!AN$14/12),AN142-AM174))</f>
        <v>1133333.3333333333</v>
      </c>
      <c r="AO158" s="90">
        <f>IF('01 Major Assumptions'!AO$15=0,0,MIN(AO142/$E$125*('01 Major Assumptions'!AO$14/12),AO142-AN174))</f>
        <v>1133333.3333333333</v>
      </c>
      <c r="AP158" s="90">
        <f>IF('01 Major Assumptions'!AP$15=0,0,MIN(AP142/$E$125*('01 Major Assumptions'!AP$14/12),AP142-AO174))</f>
        <v>1133333.3333333333</v>
      </c>
      <c r="AQ158" s="90">
        <f>IF('01 Major Assumptions'!AQ$15=0,0,MIN(AQ142/$E$125*('01 Major Assumptions'!AQ$14/12),AQ142-AP174))</f>
        <v>1133333.3333333333</v>
      </c>
      <c r="AR158" s="90">
        <f>IF('01 Major Assumptions'!AR$15=0,0,MIN(AR142/$E$125*('01 Major Assumptions'!AR$14/12),AR142-AQ174))</f>
        <v>1133333.3333333333</v>
      </c>
      <c r="AS158" s="90">
        <f>IF('01 Major Assumptions'!AS$15=0,0,MIN(AS142/$E$125*('01 Major Assumptions'!AS$14/12),AS142-AR174))</f>
        <v>1133333.3333333333</v>
      </c>
      <c r="AT158" s="90">
        <f>IF('01 Major Assumptions'!AT$15=0,0,MIN(AT142/$E$125*('01 Major Assumptions'!AT$14/12),AT142-AS174))</f>
        <v>1133333.3333333333</v>
      </c>
      <c r="AU158" s="90">
        <f>IF('01 Major Assumptions'!AU$15=0,0,MIN(AU142/$E$125*('01 Major Assumptions'!AU$14/12),AU142-AT174))</f>
        <v>1133333.3333333333</v>
      </c>
      <c r="AV158" s="90">
        <f>IF('01 Major Assumptions'!AV$15=0,0,MIN(AV142/$E$125*('01 Major Assumptions'!AV$14/12),AV142-AU174))</f>
        <v>1133333.3333333333</v>
      </c>
      <c r="AW158" s="90">
        <f>IF('01 Major Assumptions'!AW$15=0,0,MIN(AW142/$E$125*('01 Major Assumptions'!AW$14/12),AW142-AV174))</f>
        <v>1133333.3333333333</v>
      </c>
      <c r="AX158" s="90">
        <f>IF('01 Major Assumptions'!AX$15=0,0,MIN(AX142/$E$125*('01 Major Assumptions'!AX$14/12),AX142-AW174))</f>
        <v>1133333.3333333333</v>
      </c>
      <c r="AY158" s="90">
        <f>IF('01 Major Assumptions'!AY$15=0,0,MIN(AY142/$E$125*('01 Major Assumptions'!AY$14/12),AY142-AX174))</f>
        <v>1133333.3333333333</v>
      </c>
      <c r="AZ158" s="90">
        <f>IF('01 Major Assumptions'!AZ$15=0,0,MIN(AZ142/$E$125*('01 Major Assumptions'!AZ$14/12),AZ142-AY174))</f>
        <v>1133333.3333333333</v>
      </c>
      <c r="BA158" s="90">
        <f>IF('01 Major Assumptions'!BA$15=0,0,MIN(BA142/$E$125*('01 Major Assumptions'!BA$14/12),BA142-AZ174))</f>
        <v>1133333.3333333333</v>
      </c>
      <c r="BB158" s="90">
        <f>IF('01 Major Assumptions'!BB$15=0,0,MIN(BB142/$E$125*('01 Major Assumptions'!BB$14/12),BB142-BA174))</f>
        <v>1133333.3333333333</v>
      </c>
      <c r="BC158" s="90">
        <f>IF('01 Major Assumptions'!BC$15=0,0,MIN(BC142/$E$125*('01 Major Assumptions'!BC$14/12),BC142-BB174))</f>
        <v>1133333.3333333333</v>
      </c>
      <c r="BD158" s="90">
        <f>IF('01 Major Assumptions'!BD$15=0,0,MIN(BD142/$E$125*('01 Major Assumptions'!BD$14/12),BD142-BC174))</f>
        <v>1133333.3333333333</v>
      </c>
      <c r="BE158" s="90">
        <f>IF('01 Major Assumptions'!BE$15=0,0,MIN(BE142/$E$125*('01 Major Assumptions'!BE$14/12),BE142-BD174))</f>
        <v>1133333.3333333333</v>
      </c>
      <c r="BF158" s="90">
        <f>IF('01 Major Assumptions'!BF$15=0,0,MIN(BF142/$E$125*('01 Major Assumptions'!BF$14/12),BF142-BE174))</f>
        <v>1133333.3333333333</v>
      </c>
      <c r="BG158" s="90">
        <f>IF('01 Major Assumptions'!BG$15=0,0,MIN(BG142/$E$125*('01 Major Assumptions'!BG$14/12),BG142-BF174))</f>
        <v>1133333.3333333333</v>
      </c>
      <c r="BH158" s="90">
        <f>IF('01 Major Assumptions'!BH$15=0,0,MIN(BH142/$E$125*('01 Major Assumptions'!BH$14/12),BH142-BG174))</f>
        <v>1133333.3333333333</v>
      </c>
      <c r="BI158" s="90">
        <f>IF('01 Major Assumptions'!BI$15=0,0,MIN(BI142/$E$125*('01 Major Assumptions'!BI$14/12),BI142-BH174))</f>
        <v>13600000</v>
      </c>
      <c r="BJ158" s="90">
        <f>IF('01 Major Assumptions'!BJ$15=0,0,MIN(BJ142/$E$125*('01 Major Assumptions'!BJ$14/12),BJ142-BI174))</f>
        <v>13600000</v>
      </c>
      <c r="BK158" s="90">
        <f>IF('01 Major Assumptions'!BK$15=0,0,MIN(BK142/$E$125*('01 Major Assumptions'!BK$14/12),BK142-BJ174))</f>
        <v>13600000</v>
      </c>
      <c r="BL158" s="90">
        <f>IF('01 Major Assumptions'!BL$15=0,0,MIN(BL142/$E$125*('01 Major Assumptions'!BL$14/12),BL142-BK174))</f>
        <v>13600000</v>
      </c>
      <c r="BM158" s="90">
        <f>IF('01 Major Assumptions'!BM$15=0,0,MIN(BM142/$E$125*('01 Major Assumptions'!BM$14/12),BM142-BL174))</f>
        <v>13600000</v>
      </c>
      <c r="BN158" s="90">
        <f>IF('01 Major Assumptions'!BN$15=0,0,MIN(BN142/$E$125*('01 Major Assumptions'!BN$14/12),BN142-BM174))</f>
        <v>13600000</v>
      </c>
      <c r="BO158" s="90">
        <f>IF('01 Major Assumptions'!BO$15=0,0,MIN(BO142/$E$125*('01 Major Assumptions'!BO$14/12),BO142-BN174))</f>
        <v>13600000</v>
      </c>
    </row>
    <row r="159" spans="1:67">
      <c r="A159" s="11"/>
      <c r="B159" s="11" t="s">
        <v>323</v>
      </c>
      <c r="C159" s="11"/>
      <c r="D159" s="11"/>
      <c r="E159" s="3"/>
      <c r="F159" s="3"/>
      <c r="G159" s="90">
        <f>IF('01 Major Assumptions'!G$15=0,0,MIN(G143/$E$126*('01 Major Assumptions'!G$14/12),G143))</f>
        <v>0</v>
      </c>
      <c r="H159" s="90">
        <f>IF('01 Major Assumptions'!H$15=0,0,MIN(H143/$E$126*('01 Major Assumptions'!H$14/12),H143-G175))</f>
        <v>0</v>
      </c>
      <c r="I159" s="90">
        <f>IF('01 Major Assumptions'!I$15=0,0,MIN(I143/$E$126*('01 Major Assumptions'!I$14/12),I143-H175))</f>
        <v>0</v>
      </c>
      <c r="J159" s="90">
        <f>IF('01 Major Assumptions'!J$15=0,0,MIN(J143/$E$126*('01 Major Assumptions'!J$14/12),J143-I175))</f>
        <v>0</v>
      </c>
      <c r="K159" s="90">
        <f>IF('01 Major Assumptions'!K$15=0,0,MIN(K143/$E$126*('01 Major Assumptions'!K$14/12),K143-J175))</f>
        <v>0</v>
      </c>
      <c r="L159" s="90">
        <f>IF('01 Major Assumptions'!L$15=0,0,MIN(L143/$E$126*('01 Major Assumptions'!L$14/12),L143-K175))</f>
        <v>0</v>
      </c>
      <c r="M159" s="90">
        <f>IF('01 Major Assumptions'!M$15=0,0,MIN(M143/$E$126*('01 Major Assumptions'!M$14/12),M143-L175))</f>
        <v>0</v>
      </c>
      <c r="N159" s="90">
        <f>IF('01 Major Assumptions'!N$15=0,0,MIN(N143/$E$126*('01 Major Assumptions'!N$14/12),N143-M175))</f>
        <v>0</v>
      </c>
      <c r="O159" s="90">
        <f>IF('01 Major Assumptions'!O$15=0,0,MIN(O143/$E$126*('01 Major Assumptions'!O$14/12),O143-N175))</f>
        <v>0</v>
      </c>
      <c r="P159" s="90">
        <f>IF('01 Major Assumptions'!P$15=0,0,MIN(P143/$E$126*('01 Major Assumptions'!P$14/12),P143-O175))</f>
        <v>0</v>
      </c>
      <c r="Q159" s="90">
        <f>IF('01 Major Assumptions'!Q$15=0,0,MIN(Q143/$E$126*('01 Major Assumptions'!Q$14/12),Q143-P175))</f>
        <v>0</v>
      </c>
      <c r="R159" s="90">
        <f>IF('01 Major Assumptions'!R$15=0,0,MIN(R143/$E$126*('01 Major Assumptions'!R$14/12),R143-Q175))</f>
        <v>0</v>
      </c>
      <c r="S159" s="90">
        <f>IF('01 Major Assumptions'!S$15=0,0,MIN(S143/$E$126*('01 Major Assumptions'!S$14/12),S143-R175))</f>
        <v>0</v>
      </c>
      <c r="T159" s="90">
        <f>IF('01 Major Assumptions'!T$15=0,0,MIN(T143/$E$126*('01 Major Assumptions'!T$14/12),T143-S175))</f>
        <v>0</v>
      </c>
      <c r="U159" s="90">
        <f>IF('01 Major Assumptions'!U$15=0,0,MIN(U143/$E$126*('01 Major Assumptions'!U$14/12),U143-T175))</f>
        <v>0</v>
      </c>
      <c r="V159" s="90">
        <f>IF('01 Major Assumptions'!V$15=0,0,MIN(V143/$E$126*('01 Major Assumptions'!V$14/12),V143-U175))</f>
        <v>0</v>
      </c>
      <c r="W159" s="90">
        <f>IF('01 Major Assumptions'!W$15=0,0,MIN(W143/$E$126*('01 Major Assumptions'!W$14/12),W143-V175))</f>
        <v>0</v>
      </c>
      <c r="X159" s="90">
        <f>IF('01 Major Assumptions'!X$15=0,0,MIN(X143/$E$126*('01 Major Assumptions'!X$14/12),X143-W175))</f>
        <v>0</v>
      </c>
      <c r="Y159" s="90">
        <f>IF('01 Major Assumptions'!Y$15=0,0,MIN(Y143/$E$126*('01 Major Assumptions'!Y$14/12),Y143-X175))</f>
        <v>0</v>
      </c>
      <c r="Z159" s="90">
        <f>IF('01 Major Assumptions'!Z$15=0,0,MIN(Z143/$E$126*('01 Major Assumptions'!Z$14/12),Z143-Y175))</f>
        <v>0</v>
      </c>
      <c r="AA159" s="90">
        <f>IF('01 Major Assumptions'!AA$15=0,0,MIN(AA143/$E$126*('01 Major Assumptions'!AA$14/12),AA143-Z175))</f>
        <v>0</v>
      </c>
      <c r="AB159" s="90">
        <f>IF('01 Major Assumptions'!AB$15=0,0,MIN(AB143/$E$126*('01 Major Assumptions'!AB$14/12),AB143-AA175))</f>
        <v>366666.66666666663</v>
      </c>
      <c r="AC159" s="90">
        <f>IF('01 Major Assumptions'!AC$15=0,0,MIN(AC143/$E$126*('01 Major Assumptions'!AC$14/12),AC143-AB175))</f>
        <v>366666.66666666663</v>
      </c>
      <c r="AD159" s="90">
        <f>IF('01 Major Assumptions'!AD$15=0,0,MIN(AD143/$E$126*('01 Major Assumptions'!AD$14/12),AD143-AC175))</f>
        <v>366666.66666666663</v>
      </c>
      <c r="AE159" s="90">
        <f>IF('01 Major Assumptions'!AE$15=0,0,MIN(AE143/$E$126*('01 Major Assumptions'!AE$14/12),AE143-AD175))</f>
        <v>366666.66666666663</v>
      </c>
      <c r="AF159" s="90">
        <f>IF('01 Major Assumptions'!AF$15=0,0,MIN(AF143/$E$126*('01 Major Assumptions'!AF$14/12),AF143-AE175))</f>
        <v>366666.66666666663</v>
      </c>
      <c r="AG159" s="90">
        <f>IF('01 Major Assumptions'!AG$15=0,0,MIN(AG143/$E$126*('01 Major Assumptions'!AG$14/12),AG143-AF175))</f>
        <v>366666.66666666663</v>
      </c>
      <c r="AH159" s="90">
        <f>IF('01 Major Assumptions'!AH$15=0,0,MIN(AH143/$E$126*('01 Major Assumptions'!AH$14/12),AH143-AG175))</f>
        <v>366666.66666666663</v>
      </c>
      <c r="AI159" s="90">
        <f>IF('01 Major Assumptions'!AI$15=0,0,MIN(AI143/$E$126*('01 Major Assumptions'!AI$14/12),AI143-AH175))</f>
        <v>366666.66666666663</v>
      </c>
      <c r="AJ159" s="90">
        <f>IF('01 Major Assumptions'!AJ$15=0,0,MIN(AJ143/$E$126*('01 Major Assumptions'!AJ$14/12),AJ143-AI175))</f>
        <v>366666.66666666663</v>
      </c>
      <c r="AK159" s="90">
        <f>IF('01 Major Assumptions'!AK$15=0,0,MIN(AK143/$E$126*('01 Major Assumptions'!AK$14/12),AK143-AJ175))</f>
        <v>366666.66666666663</v>
      </c>
      <c r="AL159" s="90">
        <f>IF('01 Major Assumptions'!AL$15=0,0,MIN(AL143/$E$126*('01 Major Assumptions'!AL$14/12),AL143-AK175))</f>
        <v>366666.66666666663</v>
      </c>
      <c r="AM159" s="90">
        <f>IF('01 Major Assumptions'!AM$15=0,0,MIN(AM143/$E$126*('01 Major Assumptions'!AM$14/12),AM143-AL175))</f>
        <v>366666.66666666663</v>
      </c>
      <c r="AN159" s="90">
        <f>IF('01 Major Assumptions'!AN$15=0,0,MIN(AN143/$E$126*('01 Major Assumptions'!AN$14/12),AN143-AM175))</f>
        <v>366666.66666666663</v>
      </c>
      <c r="AO159" s="90">
        <f>IF('01 Major Assumptions'!AO$15=0,0,MIN(AO143/$E$126*('01 Major Assumptions'!AO$14/12),AO143-AN175))</f>
        <v>366666.66666666663</v>
      </c>
      <c r="AP159" s="90">
        <f>IF('01 Major Assumptions'!AP$15=0,0,MIN(AP143/$E$126*('01 Major Assumptions'!AP$14/12),AP143-AO175))</f>
        <v>366666.66666666663</v>
      </c>
      <c r="AQ159" s="90">
        <f>IF('01 Major Assumptions'!AQ$15=0,0,MIN(AQ143/$E$126*('01 Major Assumptions'!AQ$14/12),AQ143-AP175))</f>
        <v>366666.66666666663</v>
      </c>
      <c r="AR159" s="90">
        <f>IF('01 Major Assumptions'!AR$15=0,0,MIN(AR143/$E$126*('01 Major Assumptions'!AR$14/12),AR143-AQ175))</f>
        <v>366666.66666666663</v>
      </c>
      <c r="AS159" s="90">
        <f>IF('01 Major Assumptions'!AS$15=0,0,MIN(AS143/$E$126*('01 Major Assumptions'!AS$14/12),AS143-AR175))</f>
        <v>366666.66666666663</v>
      </c>
      <c r="AT159" s="90">
        <f>IF('01 Major Assumptions'!AT$15=0,0,MIN(AT143/$E$126*('01 Major Assumptions'!AT$14/12),AT143-AS175))</f>
        <v>366666.66666666663</v>
      </c>
      <c r="AU159" s="90">
        <f>IF('01 Major Assumptions'!AU$15=0,0,MIN(AU143/$E$126*('01 Major Assumptions'!AU$14/12),AU143-AT175))</f>
        <v>366666.66666666663</v>
      </c>
      <c r="AV159" s="90">
        <f>IF('01 Major Assumptions'!AV$15=0,0,MIN(AV143/$E$126*('01 Major Assumptions'!AV$14/12),AV143-AU175))</f>
        <v>366666.66666666663</v>
      </c>
      <c r="AW159" s="90">
        <f>IF('01 Major Assumptions'!AW$15=0,0,MIN(AW143/$E$126*('01 Major Assumptions'!AW$14/12),AW143-AV175))</f>
        <v>366666.66666666663</v>
      </c>
      <c r="AX159" s="90">
        <f>IF('01 Major Assumptions'!AX$15=0,0,MIN(AX143/$E$126*('01 Major Assumptions'!AX$14/12),AX143-AW175))</f>
        <v>366666.66666666663</v>
      </c>
      <c r="AY159" s="90">
        <f>IF('01 Major Assumptions'!AY$15=0,0,MIN(AY143/$E$126*('01 Major Assumptions'!AY$14/12),AY143-AX175))</f>
        <v>366666.66666666663</v>
      </c>
      <c r="AZ159" s="90">
        <f>IF('01 Major Assumptions'!AZ$15=0,0,MIN(AZ143/$E$126*('01 Major Assumptions'!AZ$14/12),AZ143-AY175))</f>
        <v>366666.66666666663</v>
      </c>
      <c r="BA159" s="90">
        <f>IF('01 Major Assumptions'!BA$15=0,0,MIN(BA143/$E$126*('01 Major Assumptions'!BA$14/12),BA143-AZ175))</f>
        <v>366666.66666666663</v>
      </c>
      <c r="BB159" s="90">
        <f>IF('01 Major Assumptions'!BB$15=0,0,MIN(BB143/$E$126*('01 Major Assumptions'!BB$14/12),BB143-BA175))</f>
        <v>366666.66666666663</v>
      </c>
      <c r="BC159" s="90">
        <f>IF('01 Major Assumptions'!BC$15=0,0,MIN(BC143/$E$126*('01 Major Assumptions'!BC$14/12),BC143-BB175))</f>
        <v>366666.66666666663</v>
      </c>
      <c r="BD159" s="90">
        <f>IF('01 Major Assumptions'!BD$15=0,0,MIN(BD143/$E$126*('01 Major Assumptions'!BD$14/12),BD143-BC175))</f>
        <v>366666.66666666663</v>
      </c>
      <c r="BE159" s="90">
        <f>IF('01 Major Assumptions'!BE$15=0,0,MIN(BE143/$E$126*('01 Major Assumptions'!BE$14/12),BE143-BD175))</f>
        <v>366666.66666666663</v>
      </c>
      <c r="BF159" s="90">
        <f>IF('01 Major Assumptions'!BF$15=0,0,MIN(BF143/$E$126*('01 Major Assumptions'!BF$14/12),BF143-BE175))</f>
        <v>366666.66666666663</v>
      </c>
      <c r="BG159" s="90">
        <f>IF('01 Major Assumptions'!BG$15=0,0,MIN(BG143/$E$126*('01 Major Assumptions'!BG$14/12),BG143-BF175))</f>
        <v>366666.66666666663</v>
      </c>
      <c r="BH159" s="90">
        <f>IF('01 Major Assumptions'!BH$15=0,0,MIN(BH143/$E$126*('01 Major Assumptions'!BH$14/12),BH143-BG175))</f>
        <v>366666.66666666663</v>
      </c>
      <c r="BI159" s="90">
        <f>IF('01 Major Assumptions'!BI$15=0,0,MIN(BI143/$E$126*('01 Major Assumptions'!BI$14/12),BI143-BH175))</f>
        <v>4400000</v>
      </c>
      <c r="BJ159" s="90">
        <f>IF('01 Major Assumptions'!BJ$15=0,0,MIN(BJ143/$E$126*('01 Major Assumptions'!BJ$14/12),BJ143-BI175))</f>
        <v>4400000</v>
      </c>
      <c r="BK159" s="90">
        <f>IF('01 Major Assumptions'!BK$15=0,0,MIN(BK143/$E$126*('01 Major Assumptions'!BK$14/12),BK143-BJ175))</f>
        <v>4400000</v>
      </c>
      <c r="BL159" s="90">
        <f>IF('01 Major Assumptions'!BL$15=0,0,MIN(BL143/$E$126*('01 Major Assumptions'!BL$14/12),BL143-BK175))</f>
        <v>4400000</v>
      </c>
      <c r="BM159" s="90">
        <f>IF('01 Major Assumptions'!BM$15=0,0,MIN(BM143/$E$126*('01 Major Assumptions'!BM$14/12),BM143-BL175))</f>
        <v>4400000</v>
      </c>
      <c r="BN159" s="90">
        <f>IF('01 Major Assumptions'!BN$15=0,0,MIN(BN143/$E$126*('01 Major Assumptions'!BN$14/12),BN143-BM175))</f>
        <v>4400000</v>
      </c>
      <c r="BO159" s="90">
        <f>IF('01 Major Assumptions'!BO$15=0,0,MIN(BO143/$E$126*('01 Major Assumptions'!BO$14/12),BO143-BN175))</f>
        <v>4400000</v>
      </c>
    </row>
    <row r="160" spans="1:67">
      <c r="A160" s="11"/>
      <c r="B160" s="11" t="s">
        <v>194</v>
      </c>
      <c r="C160" s="11"/>
      <c r="D160" s="11"/>
      <c r="E160" s="3"/>
      <c r="F160" s="3"/>
      <c r="G160" s="90">
        <f>IF('01 Major Assumptions'!G$15=0,0,MIN(G144/$E$127*('01 Major Assumptions'!G$14/12),G144))</f>
        <v>0</v>
      </c>
      <c r="H160" s="90">
        <f>IF('01 Major Assumptions'!H$15=0,0,MIN(H144/$E$127*('01 Major Assumptions'!H$14/12),H144-G176))</f>
        <v>0</v>
      </c>
      <c r="I160" s="90">
        <f>IF('01 Major Assumptions'!I$15=0,0,MIN(I144/$E$127*('01 Major Assumptions'!I$14/12),I144-H176))</f>
        <v>0</v>
      </c>
      <c r="J160" s="90">
        <f>IF('01 Major Assumptions'!J$15=0,0,MIN(J144/$E$127*('01 Major Assumptions'!J$14/12),J144-I176))</f>
        <v>0</v>
      </c>
      <c r="K160" s="90">
        <f>IF('01 Major Assumptions'!K$15=0,0,MIN(K144/$E$127*('01 Major Assumptions'!K$14/12),K144-J176))</f>
        <v>0</v>
      </c>
      <c r="L160" s="90">
        <f>IF('01 Major Assumptions'!L$15=0,0,MIN(L144/$E$127*('01 Major Assumptions'!L$14/12),L144-K176))</f>
        <v>0</v>
      </c>
      <c r="M160" s="90">
        <f>IF('01 Major Assumptions'!M$15=0,0,MIN(M144/$E$127*('01 Major Assumptions'!M$14/12),M144-L176))</f>
        <v>0</v>
      </c>
      <c r="N160" s="90">
        <f>IF('01 Major Assumptions'!N$15=0,0,MIN(N144/$E$127*('01 Major Assumptions'!N$14/12),N144-M176))</f>
        <v>0</v>
      </c>
      <c r="O160" s="90">
        <f>IF('01 Major Assumptions'!O$15=0,0,MIN(O144/$E$127*('01 Major Assumptions'!O$14/12),O144-N176))</f>
        <v>0</v>
      </c>
      <c r="P160" s="90">
        <f>IF('01 Major Assumptions'!P$15=0,0,MIN(P144/$E$127*('01 Major Assumptions'!P$14/12),P144-O176))</f>
        <v>0</v>
      </c>
      <c r="Q160" s="90">
        <f>IF('01 Major Assumptions'!Q$15=0,0,MIN(Q144/$E$127*('01 Major Assumptions'!Q$14/12),Q144-P176))</f>
        <v>0</v>
      </c>
      <c r="R160" s="90">
        <f>IF('01 Major Assumptions'!R$15=0,0,MIN(R144/$E$127*('01 Major Assumptions'!R$14/12),R144-Q176))</f>
        <v>0</v>
      </c>
      <c r="S160" s="90">
        <f>IF('01 Major Assumptions'!S$15=0,0,MIN(S144/$E$127*('01 Major Assumptions'!S$14/12),S144-R176))</f>
        <v>0</v>
      </c>
      <c r="T160" s="90">
        <f>IF('01 Major Assumptions'!T$15=0,0,MIN(T144/$E$127*('01 Major Assumptions'!T$14/12),T144-S176))</f>
        <v>0</v>
      </c>
      <c r="U160" s="90">
        <f>IF('01 Major Assumptions'!U$15=0,0,MIN(U144/$E$127*('01 Major Assumptions'!U$14/12),U144-T176))</f>
        <v>0</v>
      </c>
      <c r="V160" s="90">
        <f>IF('01 Major Assumptions'!V$15=0,0,MIN(V144/$E$127*('01 Major Assumptions'!V$14/12),V144-U176))</f>
        <v>0</v>
      </c>
      <c r="W160" s="90">
        <f>IF('01 Major Assumptions'!W$15=0,0,MIN(W144/$E$127*('01 Major Assumptions'!W$14/12),W144-V176))</f>
        <v>0</v>
      </c>
      <c r="X160" s="90">
        <f>IF('01 Major Assumptions'!X$15=0,0,MIN(X144/$E$127*('01 Major Assumptions'!X$14/12),X144-W176))</f>
        <v>0</v>
      </c>
      <c r="Y160" s="90">
        <f>IF('01 Major Assumptions'!Y$15=0,0,MIN(Y144/$E$127*('01 Major Assumptions'!Y$14/12),Y144-X176))</f>
        <v>0</v>
      </c>
      <c r="Z160" s="90">
        <f>IF('01 Major Assumptions'!Z$15=0,0,MIN(Z144/$E$127*('01 Major Assumptions'!Z$14/12),Z144-Y176))</f>
        <v>0</v>
      </c>
      <c r="AA160" s="90">
        <f>IF('01 Major Assumptions'!AA$15=0,0,MIN(AA144/$E$127*('01 Major Assumptions'!AA$14/12),AA144-Z176))</f>
        <v>0</v>
      </c>
      <c r="AB160" s="90">
        <f>IF('01 Major Assumptions'!AB$15=0,0,MIN(AB144/$E$127*('01 Major Assumptions'!AB$14/12),AB144-AA176))</f>
        <v>325000.00000000012</v>
      </c>
      <c r="AC160" s="90">
        <f>IF('01 Major Assumptions'!AC$15=0,0,MIN(AC144/$E$127*('01 Major Assumptions'!AC$14/12),AC144-AB176))</f>
        <v>325000.00000000012</v>
      </c>
      <c r="AD160" s="90">
        <f>IF('01 Major Assumptions'!AD$15=0,0,MIN(AD144/$E$127*('01 Major Assumptions'!AD$14/12),AD144-AC176))</f>
        <v>325000.00000000012</v>
      </c>
      <c r="AE160" s="90">
        <f>IF('01 Major Assumptions'!AE$15=0,0,MIN(AE144/$E$127*('01 Major Assumptions'!AE$14/12),AE144-AD176))</f>
        <v>325000.00000000012</v>
      </c>
      <c r="AF160" s="90">
        <f>IF('01 Major Assumptions'!AF$15=0,0,MIN(AF144/$E$127*('01 Major Assumptions'!AF$14/12),AF144-AE176))</f>
        <v>325000.00000000012</v>
      </c>
      <c r="AG160" s="90">
        <f>IF('01 Major Assumptions'!AG$15=0,0,MIN(AG144/$E$127*('01 Major Assumptions'!AG$14/12),AG144-AF176))</f>
        <v>325000.00000000012</v>
      </c>
      <c r="AH160" s="90">
        <f>IF('01 Major Assumptions'!AH$15=0,0,MIN(AH144/$E$127*('01 Major Assumptions'!AH$14/12),AH144-AG176))</f>
        <v>325000.00000000012</v>
      </c>
      <c r="AI160" s="90">
        <f>IF('01 Major Assumptions'!AI$15=0,0,MIN(AI144/$E$127*('01 Major Assumptions'!AI$14/12),AI144-AH176))</f>
        <v>325000.00000000012</v>
      </c>
      <c r="AJ160" s="90">
        <f>IF('01 Major Assumptions'!AJ$15=0,0,MIN(AJ144/$E$127*('01 Major Assumptions'!AJ$14/12),AJ144-AI176))</f>
        <v>325000.00000000012</v>
      </c>
      <c r="AK160" s="90">
        <f>IF('01 Major Assumptions'!AK$15=0,0,MIN(AK144/$E$127*('01 Major Assumptions'!AK$14/12),AK144-AJ176))</f>
        <v>325000.00000000012</v>
      </c>
      <c r="AL160" s="90">
        <f>IF('01 Major Assumptions'!AL$15=0,0,MIN(AL144/$E$127*('01 Major Assumptions'!AL$14/12),AL144-AK176))</f>
        <v>325000.00000000012</v>
      </c>
      <c r="AM160" s="90">
        <f>IF('01 Major Assumptions'!AM$15=0,0,MIN(AM144/$E$127*('01 Major Assumptions'!AM$14/12),AM144-AL176))</f>
        <v>325000.00000000012</v>
      </c>
      <c r="AN160" s="90">
        <f>IF('01 Major Assumptions'!AN$15=0,0,MIN(AN144/$E$127*('01 Major Assumptions'!AN$14/12),AN144-AM176))</f>
        <v>325000.00000000012</v>
      </c>
      <c r="AO160" s="90">
        <f>IF('01 Major Assumptions'!AO$15=0,0,MIN(AO144/$E$127*('01 Major Assumptions'!AO$14/12),AO144-AN176))</f>
        <v>325000.00000000012</v>
      </c>
      <c r="AP160" s="90">
        <f>IF('01 Major Assumptions'!AP$15=0,0,MIN(AP144/$E$127*('01 Major Assumptions'!AP$14/12),AP144-AO176))</f>
        <v>325000.00000000012</v>
      </c>
      <c r="AQ160" s="90">
        <f>IF('01 Major Assumptions'!AQ$15=0,0,MIN(AQ144/$E$127*('01 Major Assumptions'!AQ$14/12),AQ144-AP176))</f>
        <v>325000.00000000012</v>
      </c>
      <c r="AR160" s="90">
        <f>IF('01 Major Assumptions'!AR$15=0,0,MIN(AR144/$E$127*('01 Major Assumptions'!AR$14/12),AR144-AQ176))</f>
        <v>325000.00000000012</v>
      </c>
      <c r="AS160" s="90">
        <f>IF('01 Major Assumptions'!AS$15=0,0,MIN(AS144/$E$127*('01 Major Assumptions'!AS$14/12),AS144-AR176))</f>
        <v>325000.00000000012</v>
      </c>
      <c r="AT160" s="90">
        <f>IF('01 Major Assumptions'!AT$15=0,0,MIN(AT144/$E$127*('01 Major Assumptions'!AT$14/12),AT144-AS176))</f>
        <v>325000.00000000012</v>
      </c>
      <c r="AU160" s="90">
        <f>IF('01 Major Assumptions'!AU$15=0,0,MIN(AU144/$E$127*('01 Major Assumptions'!AU$14/12),AU144-AT176))</f>
        <v>325000.00000000012</v>
      </c>
      <c r="AV160" s="90">
        <f>IF('01 Major Assumptions'!AV$15=0,0,MIN(AV144/$E$127*('01 Major Assumptions'!AV$14/12),AV144-AU176))</f>
        <v>325000.00000000012</v>
      </c>
      <c r="AW160" s="90">
        <f>IF('01 Major Assumptions'!AW$15=0,0,MIN(AW144/$E$127*('01 Major Assumptions'!AW$14/12),AW144-AV176))</f>
        <v>325000.00000000012</v>
      </c>
      <c r="AX160" s="90">
        <f>IF('01 Major Assumptions'!AX$15=0,0,MIN(AX144/$E$127*('01 Major Assumptions'!AX$14/12),AX144-AW176))</f>
        <v>325000.00000000012</v>
      </c>
      <c r="AY160" s="90">
        <f>IF('01 Major Assumptions'!AY$15=0,0,MIN(AY144/$E$127*('01 Major Assumptions'!AY$14/12),AY144-AX176))</f>
        <v>325000.00000000012</v>
      </c>
      <c r="AZ160" s="90">
        <f>IF('01 Major Assumptions'!AZ$15=0,0,MIN(AZ144/$E$127*('01 Major Assumptions'!AZ$14/12),AZ144-AY176))</f>
        <v>325000.00000000012</v>
      </c>
      <c r="BA160" s="90">
        <f>IF('01 Major Assumptions'!BA$15=0,0,MIN(BA144/$E$127*('01 Major Assumptions'!BA$14/12),BA144-AZ176))</f>
        <v>325000.00000000012</v>
      </c>
      <c r="BB160" s="90">
        <f>IF('01 Major Assumptions'!BB$15=0,0,MIN(BB144/$E$127*('01 Major Assumptions'!BB$14/12),BB144-BA176))</f>
        <v>325000.00000000012</v>
      </c>
      <c r="BC160" s="90">
        <f>IF('01 Major Assumptions'!BC$15=0,0,MIN(BC144/$E$127*('01 Major Assumptions'!BC$14/12),BC144-BB176))</f>
        <v>325000.00000000012</v>
      </c>
      <c r="BD160" s="90">
        <f>IF('01 Major Assumptions'!BD$15=0,0,MIN(BD144/$E$127*('01 Major Assumptions'!BD$14/12),BD144-BC176))</f>
        <v>325000.00000000012</v>
      </c>
      <c r="BE160" s="90">
        <f>IF('01 Major Assumptions'!BE$15=0,0,MIN(BE144/$E$127*('01 Major Assumptions'!BE$14/12),BE144-BD176))</f>
        <v>325000.00000000012</v>
      </c>
      <c r="BF160" s="90">
        <f>IF('01 Major Assumptions'!BF$15=0,0,MIN(BF144/$E$127*('01 Major Assumptions'!BF$14/12),BF144-BE176))</f>
        <v>325000.00000000012</v>
      </c>
      <c r="BG160" s="90">
        <f>IF('01 Major Assumptions'!BG$15=0,0,MIN(BG144/$E$127*('01 Major Assumptions'!BG$14/12),BG144-BF176))</f>
        <v>325000.00000000012</v>
      </c>
      <c r="BH160" s="90">
        <f>IF('01 Major Assumptions'!BH$15=0,0,MIN(BH144/$E$127*('01 Major Assumptions'!BH$14/12),BH144-BG176))</f>
        <v>325000.00000000012</v>
      </c>
      <c r="BI160" s="90">
        <f>IF('01 Major Assumptions'!BI$15=0,0,MIN(BI144/$E$127*('01 Major Assumptions'!BI$14/12),BI144-BH176))</f>
        <v>3900000.0000000014</v>
      </c>
      <c r="BJ160" s="90">
        <f>IF('01 Major Assumptions'!BJ$15=0,0,MIN(BJ144/$E$127*('01 Major Assumptions'!BJ$14/12),BJ144-BI176))</f>
        <v>3900000.0000000014</v>
      </c>
      <c r="BK160" s="90">
        <f>IF('01 Major Assumptions'!BK$15=0,0,MIN(BK144/$E$127*('01 Major Assumptions'!BK$14/12),BK144-BJ176))</f>
        <v>3900000.0000000014</v>
      </c>
      <c r="BL160" s="90">
        <f>IF('01 Major Assumptions'!BL$15=0,0,MIN(BL144/$E$127*('01 Major Assumptions'!BL$14/12),BL144-BK176))</f>
        <v>3900000.0000000014</v>
      </c>
      <c r="BM160" s="90">
        <f>IF('01 Major Assumptions'!BM$15=0,0,MIN(BM144/$E$127*('01 Major Assumptions'!BM$14/12),BM144-BL176))</f>
        <v>3900000.0000000014</v>
      </c>
      <c r="BN160" s="90">
        <f>IF('01 Major Assumptions'!BN$15=0,0,MIN(BN144/$E$127*('01 Major Assumptions'!BN$14/12),BN144-BM176))</f>
        <v>3900000.0000000014</v>
      </c>
      <c r="BO160" s="90">
        <f>IF('01 Major Assumptions'!BO$15=0,0,MIN(BO144/$E$127*('01 Major Assumptions'!BO$14/12),BO144-BN176))</f>
        <v>3900000.0000000014</v>
      </c>
    </row>
    <row r="161" spans="1:67">
      <c r="A161" s="11"/>
      <c r="B161" s="11" t="s">
        <v>195</v>
      </c>
      <c r="C161" s="11"/>
      <c r="D161" s="11"/>
      <c r="E161" s="3"/>
      <c r="F161" s="3"/>
      <c r="G161" s="90">
        <f>IF('01 Major Assumptions'!G$15=0,0,MIN(G145/$E$128*('01 Major Assumptions'!G$14/12),G145))</f>
        <v>0</v>
      </c>
      <c r="H161" s="90">
        <f>IF('01 Major Assumptions'!H$15=0,0,MIN(H145/$E$128*('01 Major Assumptions'!H$14/12),H145-G177))</f>
        <v>0</v>
      </c>
      <c r="I161" s="90">
        <f>IF('01 Major Assumptions'!I$15=0,0,MIN(I145/$E$128*('01 Major Assumptions'!I$14/12),I145-H177))</f>
        <v>0</v>
      </c>
      <c r="J161" s="90">
        <f>IF('01 Major Assumptions'!J$15=0,0,MIN(J145/$E$128*('01 Major Assumptions'!J$14/12),J145-I177))</f>
        <v>0</v>
      </c>
      <c r="K161" s="90">
        <f>IF('01 Major Assumptions'!K$15=0,0,MIN(K145/$E$128*('01 Major Assumptions'!K$14/12),K145-J177))</f>
        <v>0</v>
      </c>
      <c r="L161" s="90">
        <f>IF('01 Major Assumptions'!L$15=0,0,MIN(L145/$E$128*('01 Major Assumptions'!L$14/12),L145-K177))</f>
        <v>0</v>
      </c>
      <c r="M161" s="90">
        <f>IF('01 Major Assumptions'!M$15=0,0,MIN(M145/$E$128*('01 Major Assumptions'!M$14/12),M145-L177))</f>
        <v>0</v>
      </c>
      <c r="N161" s="90">
        <f>IF('01 Major Assumptions'!N$15=0,0,MIN(N145/$E$128*('01 Major Assumptions'!N$14/12),N145-M177))</f>
        <v>0</v>
      </c>
      <c r="O161" s="90">
        <f>IF('01 Major Assumptions'!O$15=0,0,MIN(O145/$E$128*('01 Major Assumptions'!O$14/12),O145-N177))</f>
        <v>0</v>
      </c>
      <c r="P161" s="90">
        <f>IF('01 Major Assumptions'!P$15=0,0,MIN(P145/$E$128*('01 Major Assumptions'!P$14/12),P145-O177))</f>
        <v>0</v>
      </c>
      <c r="Q161" s="90">
        <f>IF('01 Major Assumptions'!Q$15=0,0,MIN(Q145/$E$128*('01 Major Assumptions'!Q$14/12),Q145-P177))</f>
        <v>0</v>
      </c>
      <c r="R161" s="90">
        <f>IF('01 Major Assumptions'!R$15=0,0,MIN(R145/$E$128*('01 Major Assumptions'!R$14/12),R145-Q177))</f>
        <v>0</v>
      </c>
      <c r="S161" s="90">
        <f>IF('01 Major Assumptions'!S$15=0,0,MIN(S145/$E$128*('01 Major Assumptions'!S$14/12),S145-R177))</f>
        <v>0</v>
      </c>
      <c r="T161" s="90">
        <f>IF('01 Major Assumptions'!T$15=0,0,MIN(T145/$E$128*('01 Major Assumptions'!T$14/12),T145-S177))</f>
        <v>0</v>
      </c>
      <c r="U161" s="90">
        <f>IF('01 Major Assumptions'!U$15=0,0,MIN(U145/$E$128*('01 Major Assumptions'!U$14/12),U145-T177))</f>
        <v>0</v>
      </c>
      <c r="V161" s="90">
        <f>IF('01 Major Assumptions'!V$15=0,0,MIN(V145/$E$128*('01 Major Assumptions'!V$14/12),V145-U177))</f>
        <v>0</v>
      </c>
      <c r="W161" s="90">
        <f>IF('01 Major Assumptions'!W$15=0,0,MIN(W145/$E$128*('01 Major Assumptions'!W$14/12),W145-V177))</f>
        <v>0</v>
      </c>
      <c r="X161" s="90">
        <f>IF('01 Major Assumptions'!X$15=0,0,MIN(X145/$E$128*('01 Major Assumptions'!X$14/12),X145-W177))</f>
        <v>0</v>
      </c>
      <c r="Y161" s="90">
        <f>IF('01 Major Assumptions'!Y$15=0,0,MIN(Y145/$E$128*('01 Major Assumptions'!Y$14/12),Y145-X177))</f>
        <v>0</v>
      </c>
      <c r="Z161" s="90">
        <f>IF('01 Major Assumptions'!Z$15=0,0,MIN(Z145/$E$128*('01 Major Assumptions'!Z$14/12),Z145-Y177))</f>
        <v>0</v>
      </c>
      <c r="AA161" s="90">
        <f>IF('01 Major Assumptions'!AA$15=0,0,MIN(AA145/$E$128*('01 Major Assumptions'!AA$14/12),AA145-Z177))</f>
        <v>0</v>
      </c>
      <c r="AB161" s="90">
        <f>IF('01 Major Assumptions'!AB$15=0,0,MIN(AB145/$E$128*('01 Major Assumptions'!AB$14/12),AB145-AA177))</f>
        <v>1325000</v>
      </c>
      <c r="AC161" s="90">
        <f>IF('01 Major Assumptions'!AC$15=0,0,MIN(AC145/$E$128*('01 Major Assumptions'!AC$14/12),AC145-AB177))</f>
        <v>1325000</v>
      </c>
      <c r="AD161" s="90">
        <f>IF('01 Major Assumptions'!AD$15=0,0,MIN(AD145/$E$128*('01 Major Assumptions'!AD$14/12),AD145-AC177))</f>
        <v>1325000</v>
      </c>
      <c r="AE161" s="90">
        <f>IF('01 Major Assumptions'!AE$15=0,0,MIN(AE145/$E$128*('01 Major Assumptions'!AE$14/12),AE145-AD177))</f>
        <v>1325000</v>
      </c>
      <c r="AF161" s="90">
        <f>IF('01 Major Assumptions'!AF$15=0,0,MIN(AF145/$E$128*('01 Major Assumptions'!AF$14/12),AF145-AE177))</f>
        <v>1325000</v>
      </c>
      <c r="AG161" s="90">
        <f>IF('01 Major Assumptions'!AG$15=0,0,MIN(AG145/$E$128*('01 Major Assumptions'!AG$14/12),AG145-AF177))</f>
        <v>1325000</v>
      </c>
      <c r="AH161" s="90">
        <f>IF('01 Major Assumptions'!AH$15=0,0,MIN(AH145/$E$128*('01 Major Assumptions'!AH$14/12),AH145-AG177))</f>
        <v>1325000</v>
      </c>
      <c r="AI161" s="90">
        <f>IF('01 Major Assumptions'!AI$15=0,0,MIN(AI145/$E$128*('01 Major Assumptions'!AI$14/12),AI145-AH177))</f>
        <v>1325000</v>
      </c>
      <c r="AJ161" s="90">
        <f>IF('01 Major Assumptions'!AJ$15=0,0,MIN(AJ145/$E$128*('01 Major Assumptions'!AJ$14/12),AJ145-AI177))</f>
        <v>1325000</v>
      </c>
      <c r="AK161" s="90">
        <f>IF('01 Major Assumptions'!AK$15=0,0,MIN(AK145/$E$128*('01 Major Assumptions'!AK$14/12),AK145-AJ177))</f>
        <v>1325000</v>
      </c>
      <c r="AL161" s="90">
        <f>IF('01 Major Assumptions'!AL$15=0,0,MIN(AL145/$E$128*('01 Major Assumptions'!AL$14/12),AL145-AK177))</f>
        <v>1325000</v>
      </c>
      <c r="AM161" s="90">
        <f>IF('01 Major Assumptions'!AM$15=0,0,MIN(AM145/$E$128*('01 Major Assumptions'!AM$14/12),AM145-AL177))</f>
        <v>1325000</v>
      </c>
      <c r="AN161" s="90">
        <f>IF('01 Major Assumptions'!AN$15=0,0,MIN(AN145/$E$128*('01 Major Assumptions'!AN$14/12),AN145-AM177))</f>
        <v>1325000</v>
      </c>
      <c r="AO161" s="90">
        <f>IF('01 Major Assumptions'!AO$15=0,0,MIN(AO145/$E$128*('01 Major Assumptions'!AO$14/12),AO145-AN177))</f>
        <v>1325000</v>
      </c>
      <c r="AP161" s="90">
        <f>IF('01 Major Assumptions'!AP$15=0,0,MIN(AP145/$E$128*('01 Major Assumptions'!AP$14/12),AP145-AO177))</f>
        <v>1325000</v>
      </c>
      <c r="AQ161" s="90">
        <f>IF('01 Major Assumptions'!AQ$15=0,0,MIN(AQ145/$E$128*('01 Major Assumptions'!AQ$14/12),AQ145-AP177))</f>
        <v>1325000</v>
      </c>
      <c r="AR161" s="90">
        <f>IF('01 Major Assumptions'!AR$15=0,0,MIN(AR145/$E$128*('01 Major Assumptions'!AR$14/12),AR145-AQ177))</f>
        <v>1325000</v>
      </c>
      <c r="AS161" s="90">
        <f>IF('01 Major Assumptions'!AS$15=0,0,MIN(AS145/$E$128*('01 Major Assumptions'!AS$14/12),AS145-AR177))</f>
        <v>1325000</v>
      </c>
      <c r="AT161" s="90">
        <f>IF('01 Major Assumptions'!AT$15=0,0,MIN(AT145/$E$128*('01 Major Assumptions'!AT$14/12),AT145-AS177))</f>
        <v>1325000</v>
      </c>
      <c r="AU161" s="90">
        <f>IF('01 Major Assumptions'!AU$15=0,0,MIN(AU145/$E$128*('01 Major Assumptions'!AU$14/12),AU145-AT177))</f>
        <v>1325000</v>
      </c>
      <c r="AV161" s="90">
        <f>IF('01 Major Assumptions'!AV$15=0,0,MIN(AV145/$E$128*('01 Major Assumptions'!AV$14/12),AV145-AU177))</f>
        <v>1325000</v>
      </c>
      <c r="AW161" s="90">
        <f>IF('01 Major Assumptions'!AW$15=0,0,MIN(AW145/$E$128*('01 Major Assumptions'!AW$14/12),AW145-AV177))</f>
        <v>1325000</v>
      </c>
      <c r="AX161" s="90">
        <f>IF('01 Major Assumptions'!AX$15=0,0,MIN(AX145/$E$128*('01 Major Assumptions'!AX$14/12),AX145-AW177))</f>
        <v>1325000</v>
      </c>
      <c r="AY161" s="90">
        <f>IF('01 Major Assumptions'!AY$15=0,0,MIN(AY145/$E$128*('01 Major Assumptions'!AY$14/12),AY145-AX177))</f>
        <v>1325000</v>
      </c>
      <c r="AZ161" s="90">
        <f>IF('01 Major Assumptions'!AZ$15=0,0,MIN(AZ145/$E$128*('01 Major Assumptions'!AZ$14/12),AZ145-AY177))</f>
        <v>1325000</v>
      </c>
      <c r="BA161" s="90">
        <f>IF('01 Major Assumptions'!BA$15=0,0,MIN(BA145/$E$128*('01 Major Assumptions'!BA$14/12),BA145-AZ177))</f>
        <v>1325000</v>
      </c>
      <c r="BB161" s="90">
        <f>IF('01 Major Assumptions'!BB$15=0,0,MIN(BB145/$E$128*('01 Major Assumptions'!BB$14/12),BB145-BA177))</f>
        <v>1325000</v>
      </c>
      <c r="BC161" s="90">
        <f>IF('01 Major Assumptions'!BC$15=0,0,MIN(BC145/$E$128*('01 Major Assumptions'!BC$14/12),BC145-BB177))</f>
        <v>1325000</v>
      </c>
      <c r="BD161" s="90">
        <f>IF('01 Major Assumptions'!BD$15=0,0,MIN(BD145/$E$128*('01 Major Assumptions'!BD$14/12),BD145-BC177))</f>
        <v>1325000</v>
      </c>
      <c r="BE161" s="90">
        <f>IF('01 Major Assumptions'!BE$15=0,0,MIN(BE145/$E$128*('01 Major Assumptions'!BE$14/12),BE145-BD177))</f>
        <v>1325000</v>
      </c>
      <c r="BF161" s="90">
        <f>IF('01 Major Assumptions'!BF$15=0,0,MIN(BF145/$E$128*('01 Major Assumptions'!BF$14/12),BF145-BE177))</f>
        <v>1325000</v>
      </c>
      <c r="BG161" s="90">
        <f>IF('01 Major Assumptions'!BG$15=0,0,MIN(BG145/$E$128*('01 Major Assumptions'!BG$14/12),BG145-BF177))</f>
        <v>1325000</v>
      </c>
      <c r="BH161" s="90">
        <f>IF('01 Major Assumptions'!BH$15=0,0,MIN(BH145/$E$128*('01 Major Assumptions'!BH$14/12),BH145-BG177))</f>
        <v>1325000</v>
      </c>
      <c r="BI161" s="90">
        <f>IF('01 Major Assumptions'!BI$15=0,0,MIN(BI145/$E$128*('01 Major Assumptions'!BI$14/12),BI145-BH177))</f>
        <v>15900000</v>
      </c>
      <c r="BJ161" s="90">
        <f>IF('01 Major Assumptions'!BJ$15=0,0,MIN(BJ145/$E$128*('01 Major Assumptions'!BJ$14/12),BJ145-BI177))</f>
        <v>15900000</v>
      </c>
      <c r="BK161" s="90">
        <f>IF('01 Major Assumptions'!BK$15=0,0,MIN(BK145/$E$128*('01 Major Assumptions'!BK$14/12),BK145-BJ177))</f>
        <v>15900000</v>
      </c>
      <c r="BL161" s="90">
        <f>IF('01 Major Assumptions'!BL$15=0,0,MIN(BL145/$E$128*('01 Major Assumptions'!BL$14/12),BL145-BK177))</f>
        <v>15900000</v>
      </c>
      <c r="BM161" s="90">
        <f>IF('01 Major Assumptions'!BM$15=0,0,MIN(BM145/$E$128*('01 Major Assumptions'!BM$14/12),BM145-BL177))</f>
        <v>15900000</v>
      </c>
      <c r="BN161" s="90">
        <f>IF('01 Major Assumptions'!BN$15=0,0,MIN(BN145/$E$128*('01 Major Assumptions'!BN$14/12),BN145-BM177))</f>
        <v>15900000</v>
      </c>
      <c r="BO161" s="90">
        <f>IF('01 Major Assumptions'!BO$15=0,0,MIN(BO145/$E$128*('01 Major Assumptions'!BO$14/12),BO145-BN177))</f>
        <v>15900000</v>
      </c>
    </row>
    <row r="162" spans="1:67">
      <c r="A162" s="11"/>
      <c r="B162" s="11" t="s">
        <v>198</v>
      </c>
      <c r="C162" s="11"/>
      <c r="D162" s="11"/>
      <c r="E162" s="3"/>
      <c r="F162" s="3"/>
      <c r="G162" s="90">
        <f>IF('01 Major Assumptions'!G$15=0,0,MIN(G146/$E$129*('01 Major Assumptions'!G$14/12),G146))</f>
        <v>0</v>
      </c>
      <c r="H162" s="90">
        <f>IF('01 Major Assumptions'!H$15=0,0,MIN(H146/$E$129*('01 Major Assumptions'!H$14/12),H146-G178))</f>
        <v>0</v>
      </c>
      <c r="I162" s="90">
        <f>IF('01 Major Assumptions'!I$15=0,0,MIN(I146/$E$129*('01 Major Assumptions'!I$14/12),I146-H178))</f>
        <v>0</v>
      </c>
      <c r="J162" s="90">
        <f>IF('01 Major Assumptions'!J$15=0,0,MIN(J146/$E$129*('01 Major Assumptions'!J$14/12),J146-I178))</f>
        <v>0</v>
      </c>
      <c r="K162" s="90">
        <f>IF('01 Major Assumptions'!K$15=0,0,MIN(K146/$E$129*('01 Major Assumptions'!K$14/12),K146-J178))</f>
        <v>0</v>
      </c>
      <c r="L162" s="90">
        <f>IF('01 Major Assumptions'!L$15=0,0,MIN(L146/$E$129*('01 Major Assumptions'!L$14/12),L146-K178))</f>
        <v>0</v>
      </c>
      <c r="M162" s="90">
        <f>IF('01 Major Assumptions'!M$15=0,0,MIN(M146/$E$129*('01 Major Assumptions'!M$14/12),M146-L178))</f>
        <v>0</v>
      </c>
      <c r="N162" s="90">
        <f>IF('01 Major Assumptions'!N$15=0,0,MIN(N146/$E$129*('01 Major Assumptions'!N$14/12),N146-M178))</f>
        <v>0</v>
      </c>
      <c r="O162" s="90">
        <f>IF('01 Major Assumptions'!O$15=0,0,MIN(O146/$E$129*('01 Major Assumptions'!O$14/12),O146-N178))</f>
        <v>0</v>
      </c>
      <c r="P162" s="90">
        <f>IF('01 Major Assumptions'!P$15=0,0,MIN(P146/$E$129*('01 Major Assumptions'!P$14/12),P146-O178))</f>
        <v>0</v>
      </c>
      <c r="Q162" s="90">
        <f>IF('01 Major Assumptions'!Q$15=0,0,MIN(Q146/$E$129*('01 Major Assumptions'!Q$14/12),Q146-P178))</f>
        <v>0</v>
      </c>
      <c r="R162" s="90">
        <f>IF('01 Major Assumptions'!R$15=0,0,MIN(R146/$E$129*('01 Major Assumptions'!R$14/12),R146-Q178))</f>
        <v>0</v>
      </c>
      <c r="S162" s="90">
        <f>IF('01 Major Assumptions'!S$15=0,0,MIN(S146/$E$129*('01 Major Assumptions'!S$14/12),S146-R178))</f>
        <v>0</v>
      </c>
      <c r="T162" s="90">
        <f>IF('01 Major Assumptions'!T$15=0,0,MIN(T146/$E$129*('01 Major Assumptions'!T$14/12),T146-S178))</f>
        <v>0</v>
      </c>
      <c r="U162" s="90">
        <f>IF('01 Major Assumptions'!U$15=0,0,MIN(U146/$E$129*('01 Major Assumptions'!U$14/12),U146-T178))</f>
        <v>0</v>
      </c>
      <c r="V162" s="90">
        <f>IF('01 Major Assumptions'!V$15=0,0,MIN(V146/$E$129*('01 Major Assumptions'!V$14/12),V146-U178))</f>
        <v>0</v>
      </c>
      <c r="W162" s="90">
        <f>IF('01 Major Assumptions'!W$15=0,0,MIN(W146/$E$129*('01 Major Assumptions'!W$14/12),W146-V178))</f>
        <v>0</v>
      </c>
      <c r="X162" s="90">
        <f>IF('01 Major Assumptions'!X$15=0,0,MIN(X146/$E$129*('01 Major Assumptions'!X$14/12),X146-W178))</f>
        <v>0</v>
      </c>
      <c r="Y162" s="90">
        <f>IF('01 Major Assumptions'!Y$15=0,0,MIN(Y146/$E$129*('01 Major Assumptions'!Y$14/12),Y146-X178))</f>
        <v>0</v>
      </c>
      <c r="Z162" s="90">
        <f>IF('01 Major Assumptions'!Z$15=0,0,MIN(Z146/$E$129*('01 Major Assumptions'!Z$14/12),Z146-Y178))</f>
        <v>0</v>
      </c>
      <c r="AA162" s="90">
        <f>IF('01 Major Assumptions'!AA$15=0,0,MIN(AA146/$E$129*('01 Major Assumptions'!AA$14/12),AA146-Z178))</f>
        <v>0</v>
      </c>
      <c r="AB162" s="90">
        <f>IF('01 Major Assumptions'!AB$15=0,0,MIN(AB146/$E$129*('01 Major Assumptions'!AB$14/12),AB146-AA178))</f>
        <v>200000</v>
      </c>
      <c r="AC162" s="90">
        <f>IF('01 Major Assumptions'!AC$15=0,0,MIN(AC146/$E$129*('01 Major Assumptions'!AC$14/12),AC146-AB178))</f>
        <v>200000</v>
      </c>
      <c r="AD162" s="90">
        <f>IF('01 Major Assumptions'!AD$15=0,0,MIN(AD146/$E$129*('01 Major Assumptions'!AD$14/12),AD146-AC178))</f>
        <v>200000</v>
      </c>
      <c r="AE162" s="90">
        <f>IF('01 Major Assumptions'!AE$15=0,0,MIN(AE146/$E$129*('01 Major Assumptions'!AE$14/12),AE146-AD178))</f>
        <v>200000</v>
      </c>
      <c r="AF162" s="90">
        <f>IF('01 Major Assumptions'!AF$15=0,0,MIN(AF146/$E$129*('01 Major Assumptions'!AF$14/12),AF146-AE178))</f>
        <v>200000</v>
      </c>
      <c r="AG162" s="90">
        <f>IF('01 Major Assumptions'!AG$15=0,0,MIN(AG146/$E$129*('01 Major Assumptions'!AG$14/12),AG146-AF178))</f>
        <v>200000</v>
      </c>
      <c r="AH162" s="90">
        <f>IF('01 Major Assumptions'!AH$15=0,0,MIN(AH146/$E$129*('01 Major Assumptions'!AH$14/12),AH146-AG178))</f>
        <v>200000</v>
      </c>
      <c r="AI162" s="90">
        <f>IF('01 Major Assumptions'!AI$15=0,0,MIN(AI146/$E$129*('01 Major Assumptions'!AI$14/12),AI146-AH178))</f>
        <v>200000</v>
      </c>
      <c r="AJ162" s="90">
        <f>IF('01 Major Assumptions'!AJ$15=0,0,MIN(AJ146/$E$129*('01 Major Assumptions'!AJ$14/12),AJ146-AI178))</f>
        <v>200000</v>
      </c>
      <c r="AK162" s="90">
        <f>IF('01 Major Assumptions'!AK$15=0,0,MIN(AK146/$E$129*('01 Major Assumptions'!AK$14/12),AK146-AJ178))</f>
        <v>200000</v>
      </c>
      <c r="AL162" s="90">
        <f>IF('01 Major Assumptions'!AL$15=0,0,MIN(AL146/$E$129*('01 Major Assumptions'!AL$14/12),AL146-AK178))</f>
        <v>200000</v>
      </c>
      <c r="AM162" s="90">
        <f>IF('01 Major Assumptions'!AM$15=0,0,MIN(AM146/$E$129*('01 Major Assumptions'!AM$14/12),AM146-AL178))</f>
        <v>200000</v>
      </c>
      <c r="AN162" s="90">
        <f>IF('01 Major Assumptions'!AN$15=0,0,MIN(AN146/$E$129*('01 Major Assumptions'!AN$14/12),AN146-AM178))</f>
        <v>200000</v>
      </c>
      <c r="AO162" s="90">
        <f>IF('01 Major Assumptions'!AO$15=0,0,MIN(AO146/$E$129*('01 Major Assumptions'!AO$14/12),AO146-AN178))</f>
        <v>200000</v>
      </c>
      <c r="AP162" s="90">
        <f>IF('01 Major Assumptions'!AP$15=0,0,MIN(AP146/$E$129*('01 Major Assumptions'!AP$14/12),AP146-AO178))</f>
        <v>200000</v>
      </c>
      <c r="AQ162" s="90">
        <f>IF('01 Major Assumptions'!AQ$15=0,0,MIN(AQ146/$E$129*('01 Major Assumptions'!AQ$14/12),AQ146-AP178))</f>
        <v>200000</v>
      </c>
      <c r="AR162" s="90">
        <f>IF('01 Major Assumptions'!AR$15=0,0,MIN(AR146/$E$129*('01 Major Assumptions'!AR$14/12),AR146-AQ178))</f>
        <v>200000</v>
      </c>
      <c r="AS162" s="90">
        <f>IF('01 Major Assumptions'!AS$15=0,0,MIN(AS146/$E$129*('01 Major Assumptions'!AS$14/12),AS146-AR178))</f>
        <v>200000</v>
      </c>
      <c r="AT162" s="90">
        <f>IF('01 Major Assumptions'!AT$15=0,0,MIN(AT146/$E$129*('01 Major Assumptions'!AT$14/12),AT146-AS178))</f>
        <v>200000</v>
      </c>
      <c r="AU162" s="90">
        <f>IF('01 Major Assumptions'!AU$15=0,0,MIN(AU146/$E$129*('01 Major Assumptions'!AU$14/12),AU146-AT178))</f>
        <v>200000</v>
      </c>
      <c r="AV162" s="90">
        <f>IF('01 Major Assumptions'!AV$15=0,0,MIN(AV146/$E$129*('01 Major Assumptions'!AV$14/12),AV146-AU178))</f>
        <v>200000</v>
      </c>
      <c r="AW162" s="90">
        <f>IF('01 Major Assumptions'!AW$15=0,0,MIN(AW146/$E$129*('01 Major Assumptions'!AW$14/12),AW146-AV178))</f>
        <v>200000</v>
      </c>
      <c r="AX162" s="90">
        <f>IF('01 Major Assumptions'!AX$15=0,0,MIN(AX146/$E$129*('01 Major Assumptions'!AX$14/12),AX146-AW178))</f>
        <v>200000</v>
      </c>
      <c r="AY162" s="90">
        <f>IF('01 Major Assumptions'!AY$15=0,0,MIN(AY146/$E$129*('01 Major Assumptions'!AY$14/12),AY146-AX178))</f>
        <v>200000</v>
      </c>
      <c r="AZ162" s="90">
        <f>IF('01 Major Assumptions'!AZ$15=0,0,MIN(AZ146/$E$129*('01 Major Assumptions'!AZ$14/12),AZ146-AY178))</f>
        <v>200000</v>
      </c>
      <c r="BA162" s="90">
        <f>IF('01 Major Assumptions'!BA$15=0,0,MIN(BA146/$E$129*('01 Major Assumptions'!BA$14/12),BA146-AZ178))</f>
        <v>200000</v>
      </c>
      <c r="BB162" s="90">
        <f>IF('01 Major Assumptions'!BB$15=0,0,MIN(BB146/$E$129*('01 Major Assumptions'!BB$14/12),BB146-BA178))</f>
        <v>200000</v>
      </c>
      <c r="BC162" s="90">
        <f>IF('01 Major Assumptions'!BC$15=0,0,MIN(BC146/$E$129*('01 Major Assumptions'!BC$14/12),BC146-BB178))</f>
        <v>200000</v>
      </c>
      <c r="BD162" s="90">
        <f>IF('01 Major Assumptions'!BD$15=0,0,MIN(BD146/$E$129*('01 Major Assumptions'!BD$14/12),BD146-BC178))</f>
        <v>200000</v>
      </c>
      <c r="BE162" s="90">
        <f>IF('01 Major Assumptions'!BE$15=0,0,MIN(BE146/$E$129*('01 Major Assumptions'!BE$14/12),BE146-BD178))</f>
        <v>200000</v>
      </c>
      <c r="BF162" s="90">
        <f>IF('01 Major Assumptions'!BF$15=0,0,MIN(BF146/$E$129*('01 Major Assumptions'!BF$14/12),BF146-BE178))</f>
        <v>200000</v>
      </c>
      <c r="BG162" s="90">
        <f>IF('01 Major Assumptions'!BG$15=0,0,MIN(BG146/$E$129*('01 Major Assumptions'!BG$14/12),BG146-BF178))</f>
        <v>200000</v>
      </c>
      <c r="BH162" s="90">
        <f>IF('01 Major Assumptions'!BH$15=0,0,MIN(BH146/$E$129*('01 Major Assumptions'!BH$14/12),BH146-BG178))</f>
        <v>200000</v>
      </c>
      <c r="BI162" s="90">
        <f>IF('01 Major Assumptions'!BI$15=0,0,MIN(BI146/$E$129*('01 Major Assumptions'!BI$14/12),BI146-BH178))</f>
        <v>2400000</v>
      </c>
      <c r="BJ162" s="90">
        <f>IF('01 Major Assumptions'!BJ$15=0,0,MIN(BJ146/$E$129*('01 Major Assumptions'!BJ$14/12),BJ146-BI178))</f>
        <v>2400000</v>
      </c>
      <c r="BK162" s="90">
        <f>IF('01 Major Assumptions'!BK$15=0,0,MIN(BK146/$E$129*('01 Major Assumptions'!BK$14/12),BK146-BJ178))</f>
        <v>600000</v>
      </c>
      <c r="BL162" s="90">
        <f>IF('01 Major Assumptions'!BL$15=0,0,MIN(BL146/$E$129*('01 Major Assumptions'!BL$14/12),BL146-BK178))</f>
        <v>0</v>
      </c>
      <c r="BM162" s="90">
        <f>IF('01 Major Assumptions'!BM$15=0,0,MIN(BM146/$E$129*('01 Major Assumptions'!BM$14/12),BM146-BL178))</f>
        <v>0</v>
      </c>
      <c r="BN162" s="90">
        <f>IF('01 Major Assumptions'!BN$15=0,0,MIN(BN146/$E$129*('01 Major Assumptions'!BN$14/12),BN146-BM178))</f>
        <v>0</v>
      </c>
      <c r="BO162" s="90">
        <f>IF('01 Major Assumptions'!BO$15=0,0,MIN(BO146/$E$129*('01 Major Assumptions'!BO$14/12),BO146-BN178))</f>
        <v>0</v>
      </c>
    </row>
    <row r="163" spans="1:67">
      <c r="A163" s="11"/>
      <c r="B163" s="11" t="s">
        <v>310</v>
      </c>
      <c r="C163" s="11"/>
      <c r="D163" s="11"/>
      <c r="E163" s="3"/>
      <c r="F163" s="3"/>
      <c r="G163" s="90">
        <f>IF('01 Major Assumptions'!G$15=0,0,MIN(G147/$E$130*('01 Major Assumptions'!G$14/12),G147))</f>
        <v>0</v>
      </c>
      <c r="H163" s="90">
        <f>IF('01 Major Assumptions'!H$15=0,0,MIN(H147/$E$130*('01 Major Assumptions'!H$14/12),H147-G179))</f>
        <v>0</v>
      </c>
      <c r="I163" s="90">
        <f>IF('01 Major Assumptions'!I$15=0,0,MIN(I147/$E$130*('01 Major Assumptions'!I$14/12),I147-H179))</f>
        <v>0</v>
      </c>
      <c r="J163" s="90">
        <f>IF('01 Major Assumptions'!J$15=0,0,MIN(J147/$E$130*('01 Major Assumptions'!J$14/12),J147-I179))</f>
        <v>0</v>
      </c>
      <c r="K163" s="90">
        <f>IF('01 Major Assumptions'!K$15=0,0,MIN(K147/$E$130*('01 Major Assumptions'!K$14/12),K147-J179))</f>
        <v>0</v>
      </c>
      <c r="L163" s="90">
        <f>IF('01 Major Assumptions'!L$15=0,0,MIN(L147/$E$130*('01 Major Assumptions'!L$14/12),L147-K179))</f>
        <v>0</v>
      </c>
      <c r="M163" s="90">
        <f>IF('01 Major Assumptions'!M$15=0,0,MIN(M147/$E$130*('01 Major Assumptions'!M$14/12),M147-L179))</f>
        <v>0</v>
      </c>
      <c r="N163" s="90">
        <f>IF('01 Major Assumptions'!N$15=0,0,MIN(N147/$E$130*('01 Major Assumptions'!N$14/12),N147-M179))</f>
        <v>0</v>
      </c>
      <c r="O163" s="90">
        <f>IF('01 Major Assumptions'!O$15=0,0,MIN(O147/$E$130*('01 Major Assumptions'!O$14/12),O147-N179))</f>
        <v>0</v>
      </c>
      <c r="P163" s="90">
        <f>IF('01 Major Assumptions'!P$15=0,0,MIN(P147/$E$130*('01 Major Assumptions'!P$14/12),P147-O179))</f>
        <v>0</v>
      </c>
      <c r="Q163" s="90">
        <f>IF('01 Major Assumptions'!Q$15=0,0,MIN(Q147/$E$130*('01 Major Assumptions'!Q$14/12),Q147-P179))</f>
        <v>0</v>
      </c>
      <c r="R163" s="90">
        <f>IF('01 Major Assumptions'!R$15=0,0,MIN(R147/$E$130*('01 Major Assumptions'!R$14/12),R147-Q179))</f>
        <v>0</v>
      </c>
      <c r="S163" s="90">
        <f>IF('01 Major Assumptions'!S$15=0,0,MIN(S147/$E$130*('01 Major Assumptions'!S$14/12),S147-R179))</f>
        <v>0</v>
      </c>
      <c r="T163" s="90">
        <f>IF('01 Major Assumptions'!T$15=0,0,MIN(T147/$E$130*('01 Major Assumptions'!T$14/12),T147-S179))</f>
        <v>0</v>
      </c>
      <c r="U163" s="90">
        <f>IF('01 Major Assumptions'!U$15=0,0,MIN(U147/$E$130*('01 Major Assumptions'!U$14/12),U147-T179))</f>
        <v>0</v>
      </c>
      <c r="V163" s="90">
        <f>IF('01 Major Assumptions'!V$15=0,0,MIN(V147/$E$130*('01 Major Assumptions'!V$14/12),V147-U179))</f>
        <v>0</v>
      </c>
      <c r="W163" s="90">
        <f>IF('01 Major Assumptions'!W$15=0,0,MIN(W147/$E$130*('01 Major Assumptions'!W$14/12),W147-V179))</f>
        <v>0</v>
      </c>
      <c r="X163" s="90">
        <f>IF('01 Major Assumptions'!X$15=0,0,MIN(X147/$E$130*('01 Major Assumptions'!X$14/12),X147-W179))</f>
        <v>0</v>
      </c>
      <c r="Y163" s="90">
        <f>IF('01 Major Assumptions'!Y$15=0,0,MIN(Y147/$E$130*('01 Major Assumptions'!Y$14/12),Y147-X179))</f>
        <v>0</v>
      </c>
      <c r="Z163" s="90">
        <f>IF('01 Major Assumptions'!Z$15=0,0,MIN(Z147/$E$130*('01 Major Assumptions'!Z$14/12),Z147-Y179))</f>
        <v>0</v>
      </c>
      <c r="AA163" s="90">
        <f>IF('01 Major Assumptions'!AA$15=0,0,MIN(AA147/$E$130*('01 Major Assumptions'!AA$14/12),AA147-Z179))</f>
        <v>0</v>
      </c>
      <c r="AB163" s="90">
        <f>IF('01 Major Assumptions'!AB$15=0,0,MIN(AB147/$E$130*('01 Major Assumptions'!AB$14/12),AB147-AA179))</f>
        <v>102500</v>
      </c>
      <c r="AC163" s="90">
        <f>IF('01 Major Assumptions'!AC$15=0,0,MIN(AC147/$E$130*('01 Major Assumptions'!AC$14/12),AC147-AB179))</f>
        <v>102500</v>
      </c>
      <c r="AD163" s="90">
        <f>IF('01 Major Assumptions'!AD$15=0,0,MIN(AD147/$E$130*('01 Major Assumptions'!AD$14/12),AD147-AC179))</f>
        <v>102500</v>
      </c>
      <c r="AE163" s="90">
        <f>IF('01 Major Assumptions'!AE$15=0,0,MIN(AE147/$E$130*('01 Major Assumptions'!AE$14/12),AE147-AD179))</f>
        <v>102500</v>
      </c>
      <c r="AF163" s="90">
        <f>IF('01 Major Assumptions'!AF$15=0,0,MIN(AF147/$E$130*('01 Major Assumptions'!AF$14/12),AF147-AE179))</f>
        <v>102500</v>
      </c>
      <c r="AG163" s="90">
        <f>IF('01 Major Assumptions'!AG$15=0,0,MIN(AG147/$E$130*('01 Major Assumptions'!AG$14/12),AG147-AF179))</f>
        <v>102500</v>
      </c>
      <c r="AH163" s="90">
        <f>IF('01 Major Assumptions'!AH$15=0,0,MIN(AH147/$E$130*('01 Major Assumptions'!AH$14/12),AH147-AG179))</f>
        <v>102500</v>
      </c>
      <c r="AI163" s="90">
        <f>IF('01 Major Assumptions'!AI$15=0,0,MIN(AI147/$E$130*('01 Major Assumptions'!AI$14/12),AI147-AH179))</f>
        <v>102500</v>
      </c>
      <c r="AJ163" s="90">
        <f>IF('01 Major Assumptions'!AJ$15=0,0,MIN(AJ147/$E$130*('01 Major Assumptions'!AJ$14/12),AJ147-AI179))</f>
        <v>102500</v>
      </c>
      <c r="AK163" s="90">
        <f>IF('01 Major Assumptions'!AK$15=0,0,MIN(AK147/$E$130*('01 Major Assumptions'!AK$14/12),AK147-AJ179))</f>
        <v>102500</v>
      </c>
      <c r="AL163" s="90">
        <f>IF('01 Major Assumptions'!AL$15=0,0,MIN(AL147/$E$130*('01 Major Assumptions'!AL$14/12),AL147-AK179))</f>
        <v>102500</v>
      </c>
      <c r="AM163" s="90">
        <f>IF('01 Major Assumptions'!AM$15=0,0,MIN(AM147/$E$130*('01 Major Assumptions'!AM$14/12),AM147-AL179))</f>
        <v>102500</v>
      </c>
      <c r="AN163" s="90">
        <f>IF('01 Major Assumptions'!AN$15=0,0,MIN(AN147/$E$130*('01 Major Assumptions'!AN$14/12),AN147-AM179))</f>
        <v>102500</v>
      </c>
      <c r="AO163" s="90">
        <f>IF('01 Major Assumptions'!AO$15=0,0,MIN(AO147/$E$130*('01 Major Assumptions'!AO$14/12),AO147-AN179))</f>
        <v>102500</v>
      </c>
      <c r="AP163" s="90">
        <f>IF('01 Major Assumptions'!AP$15=0,0,MIN(AP147/$E$130*('01 Major Assumptions'!AP$14/12),AP147-AO179))</f>
        <v>102500</v>
      </c>
      <c r="AQ163" s="90">
        <f>IF('01 Major Assumptions'!AQ$15=0,0,MIN(AQ147/$E$130*('01 Major Assumptions'!AQ$14/12),AQ147-AP179))</f>
        <v>102500</v>
      </c>
      <c r="AR163" s="90">
        <f>IF('01 Major Assumptions'!AR$15=0,0,MIN(AR147/$E$130*('01 Major Assumptions'!AR$14/12),AR147-AQ179))</f>
        <v>102500</v>
      </c>
      <c r="AS163" s="90">
        <f>IF('01 Major Assumptions'!AS$15=0,0,MIN(AS147/$E$130*('01 Major Assumptions'!AS$14/12),AS147-AR179))</f>
        <v>102500</v>
      </c>
      <c r="AT163" s="90">
        <f>IF('01 Major Assumptions'!AT$15=0,0,MIN(AT147/$E$130*('01 Major Assumptions'!AT$14/12),AT147-AS179))</f>
        <v>102500</v>
      </c>
      <c r="AU163" s="90">
        <f>IF('01 Major Assumptions'!AU$15=0,0,MIN(AU147/$E$130*('01 Major Assumptions'!AU$14/12),AU147-AT179))</f>
        <v>102500</v>
      </c>
      <c r="AV163" s="90">
        <f>IF('01 Major Assumptions'!AV$15=0,0,MIN(AV147/$E$130*('01 Major Assumptions'!AV$14/12),AV147-AU179))</f>
        <v>102500</v>
      </c>
      <c r="AW163" s="90">
        <f>IF('01 Major Assumptions'!AW$15=0,0,MIN(AW147/$E$130*('01 Major Assumptions'!AW$14/12),AW147-AV179))</f>
        <v>102500</v>
      </c>
      <c r="AX163" s="90">
        <f>IF('01 Major Assumptions'!AX$15=0,0,MIN(AX147/$E$130*('01 Major Assumptions'!AX$14/12),AX147-AW179))</f>
        <v>102500</v>
      </c>
      <c r="AY163" s="90">
        <f>IF('01 Major Assumptions'!AY$15=0,0,MIN(AY147/$E$130*('01 Major Assumptions'!AY$14/12),AY147-AX179))</f>
        <v>102500</v>
      </c>
      <c r="AZ163" s="90">
        <f>IF('01 Major Assumptions'!AZ$15=0,0,MIN(AZ147/$E$130*('01 Major Assumptions'!AZ$14/12),AZ147-AY179))</f>
        <v>102500</v>
      </c>
      <c r="BA163" s="90">
        <f>IF('01 Major Assumptions'!BA$15=0,0,MIN(BA147/$E$130*('01 Major Assumptions'!BA$14/12),BA147-AZ179))</f>
        <v>102500</v>
      </c>
      <c r="BB163" s="90">
        <f>IF('01 Major Assumptions'!BB$15=0,0,MIN(BB147/$E$130*('01 Major Assumptions'!BB$14/12),BB147-BA179))</f>
        <v>102500</v>
      </c>
      <c r="BC163" s="90">
        <f>IF('01 Major Assumptions'!BC$15=0,0,MIN(BC147/$E$130*('01 Major Assumptions'!BC$14/12),BC147-BB179))</f>
        <v>102500</v>
      </c>
      <c r="BD163" s="90">
        <f>IF('01 Major Assumptions'!BD$15=0,0,MIN(BD147/$E$130*('01 Major Assumptions'!BD$14/12),BD147-BC179))</f>
        <v>102500</v>
      </c>
      <c r="BE163" s="90">
        <f>IF('01 Major Assumptions'!BE$15=0,0,MIN(BE147/$E$130*('01 Major Assumptions'!BE$14/12),BE147-BD179))</f>
        <v>102500</v>
      </c>
      <c r="BF163" s="90">
        <f>IF('01 Major Assumptions'!BF$15=0,0,MIN(BF147/$E$130*('01 Major Assumptions'!BF$14/12),BF147-BE179))</f>
        <v>102500</v>
      </c>
      <c r="BG163" s="90">
        <f>IF('01 Major Assumptions'!BG$15=0,0,MIN(BG147/$E$130*('01 Major Assumptions'!BG$14/12),BG147-BF179))</f>
        <v>102500</v>
      </c>
      <c r="BH163" s="90">
        <f>IF('01 Major Assumptions'!BH$15=0,0,MIN(BH147/$E$130*('01 Major Assumptions'!BH$14/12),BH147-BG179))</f>
        <v>102500</v>
      </c>
      <c r="BI163" s="90">
        <f>IF('01 Major Assumptions'!BI$15=0,0,MIN(BI147/$E$130*('01 Major Assumptions'!BI$14/12),BI147-BH179))</f>
        <v>1230000</v>
      </c>
      <c r="BJ163" s="90">
        <f>IF('01 Major Assumptions'!BJ$15=0,0,MIN(BJ147/$E$130*('01 Major Assumptions'!BJ$14/12),BJ147-BI179))</f>
        <v>1230000</v>
      </c>
      <c r="BK163" s="90">
        <f>IF('01 Major Assumptions'!BK$15=0,0,MIN(BK147/$E$130*('01 Major Assumptions'!BK$14/12),BK147-BJ179))</f>
        <v>307500</v>
      </c>
      <c r="BL163" s="90">
        <f>IF('01 Major Assumptions'!BL$15=0,0,MIN(BL147/$E$130*('01 Major Assumptions'!BL$14/12),BL147-BK179))</f>
        <v>0</v>
      </c>
      <c r="BM163" s="90">
        <f>IF('01 Major Assumptions'!BM$15=0,0,MIN(BM147/$E$130*('01 Major Assumptions'!BM$14/12),BM147-BL179))</f>
        <v>0</v>
      </c>
      <c r="BN163" s="90">
        <f>IF('01 Major Assumptions'!BN$15=0,0,MIN(BN147/$E$130*('01 Major Assumptions'!BN$14/12),BN147-BM179))</f>
        <v>0</v>
      </c>
      <c r="BO163" s="90">
        <f>IF('01 Major Assumptions'!BO$15=0,0,MIN(BO147/$E$130*('01 Major Assumptions'!BO$14/12),BO147-BN179))</f>
        <v>0</v>
      </c>
    </row>
    <row r="164" spans="1:67">
      <c r="A164" s="11"/>
      <c r="B164" s="11" t="s">
        <v>324</v>
      </c>
      <c r="C164" s="11"/>
      <c r="D164" s="11"/>
      <c r="E164" s="3"/>
      <c r="F164" s="3"/>
      <c r="G164" s="90">
        <f>IF('01 Major Assumptions'!G$15=0,0,MIN(G148/$E$131*('01 Major Assumptions'!G$14/12),G148))</f>
        <v>0</v>
      </c>
      <c r="H164" s="90">
        <f>IF('01 Major Assumptions'!H$15=0,0,MIN(H148/$E$131*('01 Major Assumptions'!H$14/12),H148-G180))</f>
        <v>0</v>
      </c>
      <c r="I164" s="90">
        <f>IF('01 Major Assumptions'!I$15=0,0,MIN(I148/$E$131*('01 Major Assumptions'!I$14/12),I148-H180))</f>
        <v>0</v>
      </c>
      <c r="J164" s="90">
        <f>IF('01 Major Assumptions'!J$15=0,0,MIN(J148/$E$131*('01 Major Assumptions'!J$14/12),J148-I180))</f>
        <v>0</v>
      </c>
      <c r="K164" s="90">
        <f>IF('01 Major Assumptions'!K$15=0,0,MIN(K148/$E$131*('01 Major Assumptions'!K$14/12),K148-J180))</f>
        <v>0</v>
      </c>
      <c r="L164" s="90">
        <f>IF('01 Major Assumptions'!L$15=0,0,MIN(L148/$E$131*('01 Major Assumptions'!L$14/12),L148-K180))</f>
        <v>0</v>
      </c>
      <c r="M164" s="90">
        <f>IF('01 Major Assumptions'!M$15=0,0,MIN(M148/$E$131*('01 Major Assumptions'!M$14/12),M148-L180))</f>
        <v>0</v>
      </c>
      <c r="N164" s="90">
        <f>IF('01 Major Assumptions'!N$15=0,0,MIN(N148/$E$131*('01 Major Assumptions'!N$14/12),N148-M180))</f>
        <v>0</v>
      </c>
      <c r="O164" s="90">
        <f>IF('01 Major Assumptions'!O$15=0,0,MIN(O148/$E$131*('01 Major Assumptions'!O$14/12),O148-N180))</f>
        <v>0</v>
      </c>
      <c r="P164" s="90">
        <f>IF('01 Major Assumptions'!P$15=0,0,MIN(P148/$E$131*('01 Major Assumptions'!P$14/12),P148-O180))</f>
        <v>0</v>
      </c>
      <c r="Q164" s="90">
        <f>IF('01 Major Assumptions'!Q$15=0,0,MIN(Q148/$E$131*('01 Major Assumptions'!Q$14/12),Q148-P180))</f>
        <v>0</v>
      </c>
      <c r="R164" s="90">
        <f>IF('01 Major Assumptions'!R$15=0,0,MIN(R148/$E$131*('01 Major Assumptions'!R$14/12),R148-Q180))</f>
        <v>0</v>
      </c>
      <c r="S164" s="90">
        <f>IF('01 Major Assumptions'!S$15=0,0,MIN(S148/$E$131*('01 Major Assumptions'!S$14/12),S148-R180))</f>
        <v>0</v>
      </c>
      <c r="T164" s="90">
        <f>IF('01 Major Assumptions'!T$15=0,0,MIN(T148/$E$131*('01 Major Assumptions'!T$14/12),T148-S180))</f>
        <v>0</v>
      </c>
      <c r="U164" s="90">
        <f>IF('01 Major Assumptions'!U$15=0,0,MIN(U148/$E$131*('01 Major Assumptions'!U$14/12),U148-T180))</f>
        <v>0</v>
      </c>
      <c r="V164" s="90">
        <f>IF('01 Major Assumptions'!V$15=0,0,MIN(V148/$E$131*('01 Major Assumptions'!V$14/12),V148-U180))</f>
        <v>0</v>
      </c>
      <c r="W164" s="90">
        <f>IF('01 Major Assumptions'!W$15=0,0,MIN(W148/$E$131*('01 Major Assumptions'!W$14/12),W148-V180))</f>
        <v>0</v>
      </c>
      <c r="X164" s="90">
        <f>IF('01 Major Assumptions'!X$15=0,0,MIN(X148/$E$131*('01 Major Assumptions'!X$14/12),X148-W180))</f>
        <v>0</v>
      </c>
      <c r="Y164" s="90">
        <f>IF('01 Major Assumptions'!Y$15=0,0,MIN(Y148/$E$131*('01 Major Assumptions'!Y$14/12),Y148-X180))</f>
        <v>0</v>
      </c>
      <c r="Z164" s="90">
        <f>IF('01 Major Assumptions'!Z$15=0,0,MIN(Z148/$E$131*('01 Major Assumptions'!Z$14/12),Z148-Y180))</f>
        <v>0</v>
      </c>
      <c r="AA164" s="90">
        <f>IF('01 Major Assumptions'!AA$15=0,0,MIN(AA148/$E$131*('01 Major Assumptions'!AA$14/12),AA148-Z180))</f>
        <v>0</v>
      </c>
      <c r="AB164" s="90">
        <f>IF('01 Major Assumptions'!AB$15=0,0,MIN(AB148/$E$131*('01 Major Assumptions'!AB$14/12),AB148-AA180))</f>
        <v>1064166.6666666665</v>
      </c>
      <c r="AC164" s="90">
        <f>IF('01 Major Assumptions'!AC$15=0,0,MIN(AC148/$E$131*('01 Major Assumptions'!AC$14/12),AC148-AB180))</f>
        <v>1064166.6666666665</v>
      </c>
      <c r="AD164" s="90">
        <f>IF('01 Major Assumptions'!AD$15=0,0,MIN(AD148/$E$131*('01 Major Assumptions'!AD$14/12),AD148-AC180))</f>
        <v>1064166.6666666665</v>
      </c>
      <c r="AE164" s="90">
        <f>IF('01 Major Assumptions'!AE$15=0,0,MIN(AE148/$E$131*('01 Major Assumptions'!AE$14/12),AE148-AD180))</f>
        <v>1064166.6666666665</v>
      </c>
      <c r="AF164" s="90">
        <f>IF('01 Major Assumptions'!AF$15=0,0,MIN(AF148/$E$131*('01 Major Assumptions'!AF$14/12),AF148-AE180))</f>
        <v>1064166.6666666665</v>
      </c>
      <c r="AG164" s="90">
        <f>IF('01 Major Assumptions'!AG$15=0,0,MIN(AG148/$E$131*('01 Major Assumptions'!AG$14/12),AG148-AF180))</f>
        <v>1064166.6666666665</v>
      </c>
      <c r="AH164" s="90">
        <f>IF('01 Major Assumptions'!AH$15=0,0,MIN(AH148/$E$131*('01 Major Assumptions'!AH$14/12),AH148-AG180))</f>
        <v>1064166.6666666665</v>
      </c>
      <c r="AI164" s="90">
        <f>IF('01 Major Assumptions'!AI$15=0,0,MIN(AI148/$E$131*('01 Major Assumptions'!AI$14/12),AI148-AH180))</f>
        <v>1064166.6666666665</v>
      </c>
      <c r="AJ164" s="90">
        <f>IF('01 Major Assumptions'!AJ$15=0,0,MIN(AJ148/$E$131*('01 Major Assumptions'!AJ$14/12),AJ148-AI180))</f>
        <v>1064166.6666666665</v>
      </c>
      <c r="AK164" s="90">
        <f>IF('01 Major Assumptions'!AK$15=0,0,MIN(AK148/$E$131*('01 Major Assumptions'!AK$14/12),AK148-AJ180))</f>
        <v>1064166.6666666665</v>
      </c>
      <c r="AL164" s="90">
        <f>IF('01 Major Assumptions'!AL$15=0,0,MIN(AL148/$E$131*('01 Major Assumptions'!AL$14/12),AL148-AK180))</f>
        <v>1064166.6666666665</v>
      </c>
      <c r="AM164" s="90">
        <f>IF('01 Major Assumptions'!AM$15=0,0,MIN(AM148/$E$131*('01 Major Assumptions'!AM$14/12),AM148-AL180))</f>
        <v>1064166.6666666665</v>
      </c>
      <c r="AN164" s="90">
        <f>IF('01 Major Assumptions'!AN$15=0,0,MIN(AN148/$E$131*('01 Major Assumptions'!AN$14/12),AN148-AM180))</f>
        <v>1064166.6666666665</v>
      </c>
      <c r="AO164" s="90">
        <f>IF('01 Major Assumptions'!AO$15=0,0,MIN(AO148/$E$131*('01 Major Assumptions'!AO$14/12),AO148-AN180))</f>
        <v>1064166.6666666665</v>
      </c>
      <c r="AP164" s="90">
        <f>IF('01 Major Assumptions'!AP$15=0,0,MIN(AP148/$E$131*('01 Major Assumptions'!AP$14/12),AP148-AO180))</f>
        <v>1064166.6666666665</v>
      </c>
      <c r="AQ164" s="90">
        <f>IF('01 Major Assumptions'!AQ$15=0,0,MIN(AQ148/$E$131*('01 Major Assumptions'!AQ$14/12),AQ148-AP180))</f>
        <v>1064166.6666666665</v>
      </c>
      <c r="AR164" s="90">
        <f>IF('01 Major Assumptions'!AR$15=0,0,MIN(AR148/$E$131*('01 Major Assumptions'!AR$14/12),AR148-AQ180))</f>
        <v>1064166.6666666665</v>
      </c>
      <c r="AS164" s="90">
        <f>IF('01 Major Assumptions'!AS$15=0,0,MIN(AS148/$E$131*('01 Major Assumptions'!AS$14/12),AS148-AR180))</f>
        <v>1064166.6666666665</v>
      </c>
      <c r="AT164" s="90">
        <f>IF('01 Major Assumptions'!AT$15=0,0,MIN(AT148/$E$131*('01 Major Assumptions'!AT$14/12),AT148-AS180))</f>
        <v>1064166.6666666665</v>
      </c>
      <c r="AU164" s="90">
        <f>IF('01 Major Assumptions'!AU$15=0,0,MIN(AU148/$E$131*('01 Major Assumptions'!AU$14/12),AU148-AT180))</f>
        <v>1064166.6666666665</v>
      </c>
      <c r="AV164" s="90">
        <f>IF('01 Major Assumptions'!AV$15=0,0,MIN(AV148/$E$131*('01 Major Assumptions'!AV$14/12),AV148-AU180))</f>
        <v>1064166.6666666665</v>
      </c>
      <c r="AW164" s="90">
        <f>IF('01 Major Assumptions'!AW$15=0,0,MIN(AW148/$E$131*('01 Major Assumptions'!AW$14/12),AW148-AV180))</f>
        <v>1064166.6666666665</v>
      </c>
      <c r="AX164" s="90">
        <f>IF('01 Major Assumptions'!AX$15=0,0,MIN(AX148/$E$131*('01 Major Assumptions'!AX$14/12),AX148-AW180))</f>
        <v>1064166.6666666665</v>
      </c>
      <c r="AY164" s="90">
        <f>IF('01 Major Assumptions'!AY$15=0,0,MIN(AY148/$E$131*('01 Major Assumptions'!AY$14/12),AY148-AX180))</f>
        <v>1064166.6666666665</v>
      </c>
      <c r="AZ164" s="90">
        <f>IF('01 Major Assumptions'!AZ$15=0,0,MIN(AZ148/$E$131*('01 Major Assumptions'!AZ$14/12),AZ148-AY180))</f>
        <v>1064166.6666666665</v>
      </c>
      <c r="BA164" s="90">
        <f>IF('01 Major Assumptions'!BA$15=0,0,MIN(BA148/$E$131*('01 Major Assumptions'!BA$14/12),BA148-AZ180))</f>
        <v>1064166.6666666665</v>
      </c>
      <c r="BB164" s="90">
        <f>IF('01 Major Assumptions'!BB$15=0,0,MIN(BB148/$E$131*('01 Major Assumptions'!BB$14/12),BB148-BA180))</f>
        <v>1064166.6666666665</v>
      </c>
      <c r="BC164" s="90">
        <f>IF('01 Major Assumptions'!BC$15=0,0,MIN(BC148/$E$131*('01 Major Assumptions'!BC$14/12),BC148-BB180))</f>
        <v>1064166.6666666665</v>
      </c>
      <c r="BD164" s="90">
        <f>IF('01 Major Assumptions'!BD$15=0,0,MIN(BD148/$E$131*('01 Major Assumptions'!BD$14/12),BD148-BC180))</f>
        <v>1064166.6666666665</v>
      </c>
      <c r="BE164" s="90">
        <f>IF('01 Major Assumptions'!BE$15=0,0,MIN(BE148/$E$131*('01 Major Assumptions'!BE$14/12),BE148-BD180))</f>
        <v>1064166.6666666665</v>
      </c>
      <c r="BF164" s="90">
        <f>IF('01 Major Assumptions'!BF$15=0,0,MIN(BF148/$E$131*('01 Major Assumptions'!BF$14/12),BF148-BE180))</f>
        <v>1064166.6666666665</v>
      </c>
      <c r="BG164" s="90">
        <f>IF('01 Major Assumptions'!BG$15=0,0,MIN(BG148/$E$131*('01 Major Assumptions'!BG$14/12),BG148-BF180))</f>
        <v>1064166.6666666665</v>
      </c>
      <c r="BH164" s="90">
        <f>IF('01 Major Assumptions'!BH$15=0,0,MIN(BH148/$E$131*('01 Major Assumptions'!BH$14/12),BH148-BG180))</f>
        <v>1064166.6666666665</v>
      </c>
      <c r="BI164" s="90">
        <f>IF('01 Major Assumptions'!BI$15=0,0,MIN(BI148/$E$131*('01 Major Assumptions'!BI$14/12),BI148-BH180))</f>
        <v>12770000</v>
      </c>
      <c r="BJ164" s="90">
        <f>IF('01 Major Assumptions'!BJ$15=0,0,MIN(BJ148/$E$131*('01 Major Assumptions'!BJ$14/12),BJ148-BI180))</f>
        <v>12770000</v>
      </c>
      <c r="BK164" s="90">
        <f>IF('01 Major Assumptions'!BK$15=0,0,MIN(BK148/$E$131*('01 Major Assumptions'!BK$14/12),BK148-BJ180))</f>
        <v>3192499.9999999925</v>
      </c>
      <c r="BL164" s="90">
        <f>IF('01 Major Assumptions'!BL$15=0,0,MIN(BL148/$E$131*('01 Major Assumptions'!BL$14/12),BL148-BK180))</f>
        <v>0</v>
      </c>
      <c r="BM164" s="90">
        <f>IF('01 Major Assumptions'!BM$15=0,0,MIN(BM148/$E$131*('01 Major Assumptions'!BM$14/12),BM148-BL180))</f>
        <v>0</v>
      </c>
      <c r="BN164" s="90">
        <f>IF('01 Major Assumptions'!BN$15=0,0,MIN(BN148/$E$131*('01 Major Assumptions'!BN$14/12),BN148-BM180))</f>
        <v>0</v>
      </c>
      <c r="BO164" s="90">
        <f>IF('01 Major Assumptions'!BO$15=0,0,MIN(BO148/$E$131*('01 Major Assumptions'!BO$14/12),BO148-BN180))</f>
        <v>0</v>
      </c>
    </row>
    <row r="165" spans="1:67">
      <c r="A165" s="11"/>
      <c r="B165" s="11" t="s">
        <v>325</v>
      </c>
      <c r="C165" s="11"/>
      <c r="D165" s="11"/>
      <c r="E165" s="3"/>
      <c r="F165" s="3"/>
      <c r="G165" s="90">
        <f>IF('01 Major Assumptions'!G$15=0,0,MIN(G149/$E$132*('01 Major Assumptions'!G$14/12),G149))</f>
        <v>0</v>
      </c>
      <c r="H165" s="90">
        <f>IF('01 Major Assumptions'!H$15=0,0,MIN(H149/$E$132*('01 Major Assumptions'!H$14/12),H149-G181))</f>
        <v>0</v>
      </c>
      <c r="I165" s="90">
        <f>IF('01 Major Assumptions'!I$15=0,0,MIN(I149/$E$132*('01 Major Assumptions'!I$14/12),I149-H181))</f>
        <v>0</v>
      </c>
      <c r="J165" s="90">
        <f>IF('01 Major Assumptions'!J$15=0,0,MIN(J149/$E$132*('01 Major Assumptions'!J$14/12),J149-I181))</f>
        <v>0</v>
      </c>
      <c r="K165" s="90">
        <f>IF('01 Major Assumptions'!K$15=0,0,MIN(K149/$E$132*('01 Major Assumptions'!K$14/12),K149-J181))</f>
        <v>0</v>
      </c>
      <c r="L165" s="90">
        <f>IF('01 Major Assumptions'!L$15=0,0,MIN(L149/$E$132*('01 Major Assumptions'!L$14/12),L149-K181))</f>
        <v>0</v>
      </c>
      <c r="M165" s="90">
        <f>IF('01 Major Assumptions'!M$15=0,0,MIN(M149/$E$132*('01 Major Assumptions'!M$14/12),M149-L181))</f>
        <v>0</v>
      </c>
      <c r="N165" s="90">
        <f>IF('01 Major Assumptions'!N$15=0,0,MIN(N149/$E$132*('01 Major Assumptions'!N$14/12),N149-M181))</f>
        <v>0</v>
      </c>
      <c r="O165" s="90">
        <f>IF('01 Major Assumptions'!O$15=0,0,MIN(O149/$E$132*('01 Major Assumptions'!O$14/12),O149-N181))</f>
        <v>0</v>
      </c>
      <c r="P165" s="90">
        <f>IF('01 Major Assumptions'!P$15=0,0,MIN(P149/$E$132*('01 Major Assumptions'!P$14/12),P149-O181))</f>
        <v>0</v>
      </c>
      <c r="Q165" s="90">
        <f>IF('01 Major Assumptions'!Q$15=0,0,MIN(Q149/$E$132*('01 Major Assumptions'!Q$14/12),Q149-P181))</f>
        <v>0</v>
      </c>
      <c r="R165" s="90">
        <f>IF('01 Major Assumptions'!R$15=0,0,MIN(R149/$E$132*('01 Major Assumptions'!R$14/12),R149-Q181))</f>
        <v>0</v>
      </c>
      <c r="S165" s="90">
        <f>IF('01 Major Assumptions'!S$15=0,0,MIN(S149/$E$132*('01 Major Assumptions'!S$14/12),S149-R181))</f>
        <v>0</v>
      </c>
      <c r="T165" s="90">
        <f>IF('01 Major Assumptions'!T$15=0,0,MIN(T149/$E$132*('01 Major Assumptions'!T$14/12),T149-S181))</f>
        <v>0</v>
      </c>
      <c r="U165" s="90">
        <f>IF('01 Major Assumptions'!U$15=0,0,MIN(U149/$E$132*('01 Major Assumptions'!U$14/12),U149-T181))</f>
        <v>0</v>
      </c>
      <c r="V165" s="90">
        <f>IF('01 Major Assumptions'!V$15=0,0,MIN(V149/$E$132*('01 Major Assumptions'!V$14/12),V149-U181))</f>
        <v>0</v>
      </c>
      <c r="W165" s="90">
        <f>IF('01 Major Assumptions'!W$15=0,0,MIN(W149/$E$132*('01 Major Assumptions'!W$14/12),W149-V181))</f>
        <v>0</v>
      </c>
      <c r="X165" s="90">
        <f>IF('01 Major Assumptions'!X$15=0,0,MIN(X149/$E$132*('01 Major Assumptions'!X$14/12),X149-W181))</f>
        <v>0</v>
      </c>
      <c r="Y165" s="90">
        <f>IF('01 Major Assumptions'!Y$15=0,0,MIN(Y149/$E$132*('01 Major Assumptions'!Y$14/12),Y149-X181))</f>
        <v>0</v>
      </c>
      <c r="Z165" s="90">
        <f>IF('01 Major Assumptions'!Z$15=0,0,MIN(Z149/$E$132*('01 Major Assumptions'!Z$14/12),Z149-Y181))</f>
        <v>0</v>
      </c>
      <c r="AA165" s="90">
        <f>IF('01 Major Assumptions'!AA$15=0,0,MIN(AA149/$E$132*('01 Major Assumptions'!AA$14/12),AA149-Z181))</f>
        <v>0</v>
      </c>
      <c r="AB165" s="90">
        <f>IF('01 Major Assumptions'!AB$15=0,0,MIN(AB149/$E$132*('01 Major Assumptions'!AB$14/12),AB149-AA181))</f>
        <v>52777.777777777781</v>
      </c>
      <c r="AC165" s="90">
        <f>IF('01 Major Assumptions'!AC$15=0,0,MIN(AC149/$E$132*('01 Major Assumptions'!AC$14/12),AC149-AB181))</f>
        <v>52777.777777777781</v>
      </c>
      <c r="AD165" s="90">
        <f>IF('01 Major Assumptions'!AD$15=0,0,MIN(AD149/$E$132*('01 Major Assumptions'!AD$14/12),AD149-AC181))</f>
        <v>52777.777777777781</v>
      </c>
      <c r="AE165" s="90">
        <f>IF('01 Major Assumptions'!AE$15=0,0,MIN(AE149/$E$132*('01 Major Assumptions'!AE$14/12),AE149-AD181))</f>
        <v>52777.777777777781</v>
      </c>
      <c r="AF165" s="90">
        <f>IF('01 Major Assumptions'!AF$15=0,0,MIN(AF149/$E$132*('01 Major Assumptions'!AF$14/12),AF149-AE181))</f>
        <v>52777.777777777781</v>
      </c>
      <c r="AG165" s="90">
        <f>IF('01 Major Assumptions'!AG$15=0,0,MIN(AG149/$E$132*('01 Major Assumptions'!AG$14/12),AG149-AF181))</f>
        <v>52777.777777777781</v>
      </c>
      <c r="AH165" s="90">
        <f>IF('01 Major Assumptions'!AH$15=0,0,MIN(AH149/$E$132*('01 Major Assumptions'!AH$14/12),AH149-AG181))</f>
        <v>52777.777777777781</v>
      </c>
      <c r="AI165" s="90">
        <f>IF('01 Major Assumptions'!AI$15=0,0,MIN(AI149/$E$132*('01 Major Assumptions'!AI$14/12),AI149-AH181))</f>
        <v>52777.777777777781</v>
      </c>
      <c r="AJ165" s="90">
        <f>IF('01 Major Assumptions'!AJ$15=0,0,MIN(AJ149/$E$132*('01 Major Assumptions'!AJ$14/12),AJ149-AI181))</f>
        <v>52777.777777777781</v>
      </c>
      <c r="AK165" s="90">
        <f>IF('01 Major Assumptions'!AK$15=0,0,MIN(AK149/$E$132*('01 Major Assumptions'!AK$14/12),AK149-AJ181))</f>
        <v>52777.777777777781</v>
      </c>
      <c r="AL165" s="90">
        <f>IF('01 Major Assumptions'!AL$15=0,0,MIN(AL149/$E$132*('01 Major Assumptions'!AL$14/12),AL149-AK181))</f>
        <v>52777.777777777781</v>
      </c>
      <c r="AM165" s="90">
        <f>IF('01 Major Assumptions'!AM$15=0,0,MIN(AM149/$E$132*('01 Major Assumptions'!AM$14/12),AM149-AL181))</f>
        <v>52777.777777777781</v>
      </c>
      <c r="AN165" s="90">
        <f>IF('01 Major Assumptions'!AN$15=0,0,MIN(AN149/$E$132*('01 Major Assumptions'!AN$14/12),AN149-AM181))</f>
        <v>52777.777777777781</v>
      </c>
      <c r="AO165" s="90">
        <f>IF('01 Major Assumptions'!AO$15=0,0,MIN(AO149/$E$132*('01 Major Assumptions'!AO$14/12),AO149-AN181))</f>
        <v>52777.777777777781</v>
      </c>
      <c r="AP165" s="90">
        <f>IF('01 Major Assumptions'!AP$15=0,0,MIN(AP149/$E$132*('01 Major Assumptions'!AP$14/12),AP149-AO181))</f>
        <v>52777.777777777781</v>
      </c>
      <c r="AQ165" s="90">
        <f>IF('01 Major Assumptions'!AQ$15=0,0,MIN(AQ149/$E$132*('01 Major Assumptions'!AQ$14/12),AQ149-AP181))</f>
        <v>52777.777777777781</v>
      </c>
      <c r="AR165" s="90">
        <f>IF('01 Major Assumptions'!AR$15=0,0,MIN(AR149/$E$132*('01 Major Assumptions'!AR$14/12),AR149-AQ181))</f>
        <v>52777.777777777781</v>
      </c>
      <c r="AS165" s="90">
        <f>IF('01 Major Assumptions'!AS$15=0,0,MIN(AS149/$E$132*('01 Major Assumptions'!AS$14/12),AS149-AR181))</f>
        <v>52777.777777777781</v>
      </c>
      <c r="AT165" s="90">
        <f>IF('01 Major Assumptions'!AT$15=0,0,MIN(AT149/$E$132*('01 Major Assumptions'!AT$14/12),AT149-AS181))</f>
        <v>52777.777777777781</v>
      </c>
      <c r="AU165" s="90">
        <f>IF('01 Major Assumptions'!AU$15=0,0,MIN(AU149/$E$132*('01 Major Assumptions'!AU$14/12),AU149-AT181))</f>
        <v>52777.777777777781</v>
      </c>
      <c r="AV165" s="90">
        <f>IF('01 Major Assumptions'!AV$15=0,0,MIN(AV149/$E$132*('01 Major Assumptions'!AV$14/12),AV149-AU181))</f>
        <v>52777.777777777781</v>
      </c>
      <c r="AW165" s="90">
        <f>IF('01 Major Assumptions'!AW$15=0,0,MIN(AW149/$E$132*('01 Major Assumptions'!AW$14/12),AW149-AV181))</f>
        <v>52777.777777777781</v>
      </c>
      <c r="AX165" s="90">
        <f>IF('01 Major Assumptions'!AX$15=0,0,MIN(AX149/$E$132*('01 Major Assumptions'!AX$14/12),AX149-AW181))</f>
        <v>52777.777777777781</v>
      </c>
      <c r="AY165" s="90">
        <f>IF('01 Major Assumptions'!AY$15=0,0,MIN(AY149/$E$132*('01 Major Assumptions'!AY$14/12),AY149-AX181))</f>
        <v>52777.777777777781</v>
      </c>
      <c r="AZ165" s="90">
        <f>IF('01 Major Assumptions'!AZ$15=0,0,MIN(AZ149/$E$132*('01 Major Assumptions'!AZ$14/12),AZ149-AY181))</f>
        <v>52777.777777777781</v>
      </c>
      <c r="BA165" s="90">
        <f>IF('01 Major Assumptions'!BA$15=0,0,MIN(BA149/$E$132*('01 Major Assumptions'!BA$14/12),BA149-AZ181))</f>
        <v>52777.777777777781</v>
      </c>
      <c r="BB165" s="90">
        <f>IF('01 Major Assumptions'!BB$15=0,0,MIN(BB149/$E$132*('01 Major Assumptions'!BB$14/12),BB149-BA181))</f>
        <v>52777.777777777781</v>
      </c>
      <c r="BC165" s="90">
        <f>IF('01 Major Assumptions'!BC$15=0,0,MIN(BC149/$E$132*('01 Major Assumptions'!BC$14/12),BC149-BB181))</f>
        <v>52777.777777777781</v>
      </c>
      <c r="BD165" s="90">
        <f>IF('01 Major Assumptions'!BD$15=0,0,MIN(BD149/$E$132*('01 Major Assumptions'!BD$14/12),BD149-BC181))</f>
        <v>52777.777777777781</v>
      </c>
      <c r="BE165" s="90">
        <f>IF('01 Major Assumptions'!BE$15=0,0,MIN(BE149/$E$132*('01 Major Assumptions'!BE$14/12),BE149-BD181))</f>
        <v>52777.777777777781</v>
      </c>
      <c r="BF165" s="90">
        <f>IF('01 Major Assumptions'!BF$15=0,0,MIN(BF149/$E$132*('01 Major Assumptions'!BF$14/12),BF149-BE181))</f>
        <v>52777.777777777781</v>
      </c>
      <c r="BG165" s="90">
        <f>IF('01 Major Assumptions'!BG$15=0,0,MIN(BG149/$E$132*('01 Major Assumptions'!BG$14/12),BG149-BF181))</f>
        <v>52777.777777777781</v>
      </c>
      <c r="BH165" s="90">
        <f>IF('01 Major Assumptions'!BH$15=0,0,MIN(BH149/$E$132*('01 Major Assumptions'!BH$14/12),BH149-BG181))</f>
        <v>52777.777777777781</v>
      </c>
      <c r="BI165" s="90">
        <f>IF('01 Major Assumptions'!BI$15=0,0,MIN(BI149/$E$132*('01 Major Assumptions'!BI$14/12),BI149-BH181))</f>
        <v>633333.33333333337</v>
      </c>
      <c r="BJ165" s="90">
        <f>IF('01 Major Assumptions'!BJ$15=0,0,MIN(BJ149/$E$132*('01 Major Assumptions'!BJ$14/12),BJ149-BI181))</f>
        <v>633333.33333333337</v>
      </c>
      <c r="BK165" s="90">
        <f>IF('01 Major Assumptions'!BK$15=0,0,MIN(BK149/$E$132*('01 Major Assumptions'!BK$14/12),BK149-BJ181))</f>
        <v>633333.33333333337</v>
      </c>
      <c r="BL165" s="90">
        <f>IF('01 Major Assumptions'!BL$15=0,0,MIN(BL149/$E$132*('01 Major Assumptions'!BL$14/12),BL149-BK181))</f>
        <v>633333.33333333337</v>
      </c>
      <c r="BM165" s="90">
        <f>IF('01 Major Assumptions'!BM$15=0,0,MIN(BM149/$E$132*('01 Major Assumptions'!BM$14/12),BM149-BL181))</f>
        <v>633333.33333333337</v>
      </c>
      <c r="BN165" s="90">
        <f>IF('01 Major Assumptions'!BN$15=0,0,MIN(BN149/$E$132*('01 Major Assumptions'!BN$14/12),BN149-BM181))</f>
        <v>633333.33333333337</v>
      </c>
      <c r="BO165" s="90">
        <f>IF('01 Major Assumptions'!BO$15=0,0,MIN(BO149/$E$132*('01 Major Assumptions'!BO$14/12),BO149-BN181))</f>
        <v>633333.33333333337</v>
      </c>
    </row>
    <row r="166" spans="1:67">
      <c r="A166" s="11"/>
      <c r="B166" s="11" t="s">
        <v>326</v>
      </c>
      <c r="C166" s="11"/>
      <c r="D166" s="11"/>
      <c r="E166" s="3"/>
      <c r="F166" s="3"/>
      <c r="G166" s="90">
        <f>IF('01 Major Assumptions'!G$15=0,0,MIN(G150/$E$133*('01 Major Assumptions'!G$14/12),G150))</f>
        <v>0</v>
      </c>
      <c r="H166" s="90">
        <f>IF('01 Major Assumptions'!H$15=0,0,MIN(H150/$E$133*('01 Major Assumptions'!H$14/12),H150-G182))</f>
        <v>0</v>
      </c>
      <c r="I166" s="90">
        <f>IF('01 Major Assumptions'!I$15=0,0,MIN(I150/$E$133*('01 Major Assumptions'!I$14/12),I150-H182))</f>
        <v>0</v>
      </c>
      <c r="J166" s="90">
        <f>IF('01 Major Assumptions'!J$15=0,0,MIN(J150/$E$133*('01 Major Assumptions'!J$14/12),J150-I182))</f>
        <v>0</v>
      </c>
      <c r="K166" s="90">
        <f>IF('01 Major Assumptions'!K$15=0,0,MIN(K150/$E$133*('01 Major Assumptions'!K$14/12),K150-J182))</f>
        <v>0</v>
      </c>
      <c r="L166" s="90">
        <f>IF('01 Major Assumptions'!L$15=0,0,MIN(L150/$E$133*('01 Major Assumptions'!L$14/12),L150-K182))</f>
        <v>0</v>
      </c>
      <c r="M166" s="90">
        <f>IF('01 Major Assumptions'!M$15=0,0,MIN(M150/$E$133*('01 Major Assumptions'!M$14/12),M150-L182))</f>
        <v>0</v>
      </c>
      <c r="N166" s="90">
        <f>IF('01 Major Assumptions'!N$15=0,0,MIN(N150/$E$133*('01 Major Assumptions'!N$14/12),N150-M182))</f>
        <v>0</v>
      </c>
      <c r="O166" s="90">
        <f>IF('01 Major Assumptions'!O$15=0,0,MIN(O150/$E$133*('01 Major Assumptions'!O$14/12),O150-N182))</f>
        <v>0</v>
      </c>
      <c r="P166" s="90">
        <f>IF('01 Major Assumptions'!P$15=0,0,MIN(P150/$E$133*('01 Major Assumptions'!P$14/12),P150-O182))</f>
        <v>0</v>
      </c>
      <c r="Q166" s="90">
        <f>IF('01 Major Assumptions'!Q$15=0,0,MIN(Q150/$E$133*('01 Major Assumptions'!Q$14/12),Q150-P182))</f>
        <v>0</v>
      </c>
      <c r="R166" s="90">
        <f>IF('01 Major Assumptions'!R$15=0,0,MIN(R150/$E$133*('01 Major Assumptions'!R$14/12),R150-Q182))</f>
        <v>0</v>
      </c>
      <c r="S166" s="90">
        <f>IF('01 Major Assumptions'!S$15=0,0,MIN(S150/$E$133*('01 Major Assumptions'!S$14/12),S150-R182))</f>
        <v>0</v>
      </c>
      <c r="T166" s="90">
        <f>IF('01 Major Assumptions'!T$15=0,0,MIN(T150/$E$133*('01 Major Assumptions'!T$14/12),T150-S182))</f>
        <v>0</v>
      </c>
      <c r="U166" s="90">
        <f>IF('01 Major Assumptions'!U$15=0,0,MIN(U150/$E$133*('01 Major Assumptions'!U$14/12),U150-T182))</f>
        <v>0</v>
      </c>
      <c r="V166" s="90">
        <f>IF('01 Major Assumptions'!V$15=0,0,MIN(V150/$E$133*('01 Major Assumptions'!V$14/12),V150-U182))</f>
        <v>0</v>
      </c>
      <c r="W166" s="90">
        <f>IF('01 Major Assumptions'!W$15=0,0,MIN(W150/$E$133*('01 Major Assumptions'!W$14/12),W150-V182))</f>
        <v>0</v>
      </c>
      <c r="X166" s="90">
        <f>IF('01 Major Assumptions'!X$15=0,0,MIN(X150/$E$133*('01 Major Assumptions'!X$14/12),X150-W182))</f>
        <v>0</v>
      </c>
      <c r="Y166" s="90">
        <f>IF('01 Major Assumptions'!Y$15=0,0,MIN(Y150/$E$133*('01 Major Assumptions'!Y$14/12),Y150-X182))</f>
        <v>0</v>
      </c>
      <c r="Z166" s="90">
        <f>IF('01 Major Assumptions'!Z$15=0,0,MIN(Z150/$E$133*('01 Major Assumptions'!Z$14/12),Z150-Y182))</f>
        <v>0</v>
      </c>
      <c r="AA166" s="90">
        <f>IF('01 Major Assumptions'!AA$15=0,0,MIN(AA150/$E$133*('01 Major Assumptions'!AA$14/12),AA150-Z182))</f>
        <v>0</v>
      </c>
      <c r="AB166" s="90">
        <f>IF('01 Major Assumptions'!AB$15=0,0,MIN(AB150/$E$133*('01 Major Assumptions'!AB$14/12),AB150-AA182))</f>
        <v>244444.44444444444</v>
      </c>
      <c r="AC166" s="90">
        <f>IF('01 Major Assumptions'!AC$15=0,0,MIN(AC150/$E$133*('01 Major Assumptions'!AC$14/12),AC150-AB182))</f>
        <v>244444.44444444444</v>
      </c>
      <c r="AD166" s="90">
        <f>IF('01 Major Assumptions'!AD$15=0,0,MIN(AD150/$E$133*('01 Major Assumptions'!AD$14/12),AD150-AC182))</f>
        <v>244444.44444444444</v>
      </c>
      <c r="AE166" s="90">
        <f>IF('01 Major Assumptions'!AE$15=0,0,MIN(AE150/$E$133*('01 Major Assumptions'!AE$14/12),AE150-AD182))</f>
        <v>244444.44444444444</v>
      </c>
      <c r="AF166" s="90">
        <f>IF('01 Major Assumptions'!AF$15=0,0,MIN(AF150/$E$133*('01 Major Assumptions'!AF$14/12),AF150-AE182))</f>
        <v>244444.44444444444</v>
      </c>
      <c r="AG166" s="90">
        <f>IF('01 Major Assumptions'!AG$15=0,0,MIN(AG150/$E$133*('01 Major Assumptions'!AG$14/12),AG150-AF182))</f>
        <v>244444.44444444444</v>
      </c>
      <c r="AH166" s="90">
        <f>IF('01 Major Assumptions'!AH$15=0,0,MIN(AH150/$E$133*('01 Major Assumptions'!AH$14/12),AH150-AG182))</f>
        <v>244444.44444444444</v>
      </c>
      <c r="AI166" s="90">
        <f>IF('01 Major Assumptions'!AI$15=0,0,MIN(AI150/$E$133*('01 Major Assumptions'!AI$14/12),AI150-AH182))</f>
        <v>244444.44444444444</v>
      </c>
      <c r="AJ166" s="90">
        <f>IF('01 Major Assumptions'!AJ$15=0,0,MIN(AJ150/$E$133*('01 Major Assumptions'!AJ$14/12),AJ150-AI182))</f>
        <v>244444.44444444444</v>
      </c>
      <c r="AK166" s="90">
        <f>IF('01 Major Assumptions'!AK$15=0,0,MIN(AK150/$E$133*('01 Major Assumptions'!AK$14/12),AK150-AJ182))</f>
        <v>244444.44444444444</v>
      </c>
      <c r="AL166" s="90">
        <f>IF('01 Major Assumptions'!AL$15=0,0,MIN(AL150/$E$133*('01 Major Assumptions'!AL$14/12),AL150-AK182))</f>
        <v>244444.44444444444</v>
      </c>
      <c r="AM166" s="90">
        <f>IF('01 Major Assumptions'!AM$15=0,0,MIN(AM150/$E$133*('01 Major Assumptions'!AM$14/12),AM150-AL182))</f>
        <v>244444.44444444444</v>
      </c>
      <c r="AN166" s="90">
        <f>IF('01 Major Assumptions'!AN$15=0,0,MIN(AN150/$E$133*('01 Major Assumptions'!AN$14/12),AN150-AM182))</f>
        <v>244444.44444444444</v>
      </c>
      <c r="AO166" s="90">
        <f>IF('01 Major Assumptions'!AO$15=0,0,MIN(AO150/$E$133*('01 Major Assumptions'!AO$14/12),AO150-AN182))</f>
        <v>244444.44444444444</v>
      </c>
      <c r="AP166" s="90">
        <f>IF('01 Major Assumptions'!AP$15=0,0,MIN(AP150/$E$133*('01 Major Assumptions'!AP$14/12),AP150-AO182))</f>
        <v>244444.44444444444</v>
      </c>
      <c r="AQ166" s="90">
        <f>IF('01 Major Assumptions'!AQ$15=0,0,MIN(AQ150/$E$133*('01 Major Assumptions'!AQ$14/12),AQ150-AP182))</f>
        <v>244444.44444444444</v>
      </c>
      <c r="AR166" s="90">
        <f>IF('01 Major Assumptions'!AR$15=0,0,MIN(AR150/$E$133*('01 Major Assumptions'!AR$14/12),AR150-AQ182))</f>
        <v>244444.44444444444</v>
      </c>
      <c r="AS166" s="90">
        <f>IF('01 Major Assumptions'!AS$15=0,0,MIN(AS150/$E$133*('01 Major Assumptions'!AS$14/12),AS150-AR182))</f>
        <v>244444.44444444444</v>
      </c>
      <c r="AT166" s="90">
        <f>IF('01 Major Assumptions'!AT$15=0,0,MIN(AT150/$E$133*('01 Major Assumptions'!AT$14/12),AT150-AS182))</f>
        <v>244444.44444444444</v>
      </c>
      <c r="AU166" s="90">
        <f>IF('01 Major Assumptions'!AU$15=0,0,MIN(AU150/$E$133*('01 Major Assumptions'!AU$14/12),AU150-AT182))</f>
        <v>244444.44444444444</v>
      </c>
      <c r="AV166" s="90">
        <f>IF('01 Major Assumptions'!AV$15=0,0,MIN(AV150/$E$133*('01 Major Assumptions'!AV$14/12),AV150-AU182))</f>
        <v>244444.44444444444</v>
      </c>
      <c r="AW166" s="90">
        <f>IF('01 Major Assumptions'!AW$15=0,0,MIN(AW150/$E$133*('01 Major Assumptions'!AW$14/12),AW150-AV182))</f>
        <v>244444.44444444444</v>
      </c>
      <c r="AX166" s="90">
        <f>IF('01 Major Assumptions'!AX$15=0,0,MIN(AX150/$E$133*('01 Major Assumptions'!AX$14/12),AX150-AW182))</f>
        <v>244444.44444444444</v>
      </c>
      <c r="AY166" s="90">
        <f>IF('01 Major Assumptions'!AY$15=0,0,MIN(AY150/$E$133*('01 Major Assumptions'!AY$14/12),AY150-AX182))</f>
        <v>244444.44444444444</v>
      </c>
      <c r="AZ166" s="90">
        <f>IF('01 Major Assumptions'!AZ$15=0,0,MIN(AZ150/$E$133*('01 Major Assumptions'!AZ$14/12),AZ150-AY182))</f>
        <v>244444.44444444444</v>
      </c>
      <c r="BA166" s="90">
        <f>IF('01 Major Assumptions'!BA$15=0,0,MIN(BA150/$E$133*('01 Major Assumptions'!BA$14/12),BA150-AZ182))</f>
        <v>244444.44444444444</v>
      </c>
      <c r="BB166" s="90">
        <f>IF('01 Major Assumptions'!BB$15=0,0,MIN(BB150/$E$133*('01 Major Assumptions'!BB$14/12),BB150-BA182))</f>
        <v>244444.44444444444</v>
      </c>
      <c r="BC166" s="90">
        <f>IF('01 Major Assumptions'!BC$15=0,0,MIN(BC150/$E$133*('01 Major Assumptions'!BC$14/12),BC150-BB182))</f>
        <v>244444.44444444444</v>
      </c>
      <c r="BD166" s="90">
        <f>IF('01 Major Assumptions'!BD$15=0,0,MIN(BD150/$E$133*('01 Major Assumptions'!BD$14/12),BD150-BC182))</f>
        <v>244444.44444444444</v>
      </c>
      <c r="BE166" s="90">
        <f>IF('01 Major Assumptions'!BE$15=0,0,MIN(BE150/$E$133*('01 Major Assumptions'!BE$14/12),BE150-BD182))</f>
        <v>244444.44444444444</v>
      </c>
      <c r="BF166" s="90">
        <f>IF('01 Major Assumptions'!BF$15=0,0,MIN(BF150/$E$133*('01 Major Assumptions'!BF$14/12),BF150-BE182))</f>
        <v>244444.44444444444</v>
      </c>
      <c r="BG166" s="90">
        <f>IF('01 Major Assumptions'!BG$15=0,0,MIN(BG150/$E$133*('01 Major Assumptions'!BG$14/12),BG150-BF182))</f>
        <v>244444.44444444444</v>
      </c>
      <c r="BH166" s="90">
        <f>IF('01 Major Assumptions'!BH$15=0,0,MIN(BH150/$E$133*('01 Major Assumptions'!BH$14/12),BH150-BG182))</f>
        <v>244444.44444444444</v>
      </c>
      <c r="BI166" s="90">
        <f>IF('01 Major Assumptions'!BI$15=0,0,MIN(BI150/$E$133*('01 Major Assumptions'!BI$14/12),BI150-BH182))</f>
        <v>2933333.3333333335</v>
      </c>
      <c r="BJ166" s="90">
        <f>IF('01 Major Assumptions'!BJ$15=0,0,MIN(BJ150/$E$133*('01 Major Assumptions'!BJ$14/12),BJ150-BI182))</f>
        <v>2933333.3333333335</v>
      </c>
      <c r="BK166" s="90">
        <f>IF('01 Major Assumptions'!BK$15=0,0,MIN(BK150/$E$133*('01 Major Assumptions'!BK$14/12),BK150-BJ182))</f>
        <v>2933333.3333333335</v>
      </c>
      <c r="BL166" s="90">
        <f>IF('01 Major Assumptions'!BL$15=0,0,MIN(BL150/$E$133*('01 Major Assumptions'!BL$14/12),BL150-BK182))</f>
        <v>2933333.3333333335</v>
      </c>
      <c r="BM166" s="90">
        <f>IF('01 Major Assumptions'!BM$15=0,0,MIN(BM150/$E$133*('01 Major Assumptions'!BM$14/12),BM150-BL182))</f>
        <v>2933333.3333333335</v>
      </c>
      <c r="BN166" s="90">
        <f>IF('01 Major Assumptions'!BN$15=0,0,MIN(BN150/$E$133*('01 Major Assumptions'!BN$14/12),BN150-BM182))</f>
        <v>2933333.3333333335</v>
      </c>
      <c r="BO166" s="90">
        <f>IF('01 Major Assumptions'!BO$15=0,0,MIN(BO150/$E$133*('01 Major Assumptions'!BO$14/12),BO150-BN182))</f>
        <v>2933333.3333333335</v>
      </c>
    </row>
    <row r="167" spans="1:67">
      <c r="A167" s="11"/>
      <c r="B167" s="22" t="s">
        <v>330</v>
      </c>
      <c r="C167" s="22"/>
      <c r="D167" s="11"/>
      <c r="E167" s="3"/>
      <c r="F167" s="3"/>
      <c r="G167" s="89">
        <f>SUM(G155:G166)</f>
        <v>0</v>
      </c>
      <c r="H167" s="89">
        <f t="shared" ref="H167:BI167" si="129">SUM(H155:H166)</f>
        <v>0</v>
      </c>
      <c r="I167" s="89">
        <f t="shared" si="129"/>
        <v>0</v>
      </c>
      <c r="J167" s="89">
        <f t="shared" si="129"/>
        <v>0</v>
      </c>
      <c r="K167" s="89">
        <f t="shared" si="129"/>
        <v>0</v>
      </c>
      <c r="L167" s="89">
        <f t="shared" si="129"/>
        <v>0</v>
      </c>
      <c r="M167" s="89">
        <f t="shared" si="129"/>
        <v>0</v>
      </c>
      <c r="N167" s="89">
        <f t="shared" si="129"/>
        <v>0</v>
      </c>
      <c r="O167" s="89">
        <f t="shared" si="129"/>
        <v>0</v>
      </c>
      <c r="P167" s="89">
        <f t="shared" si="129"/>
        <v>0</v>
      </c>
      <c r="Q167" s="89">
        <f t="shared" si="129"/>
        <v>0</v>
      </c>
      <c r="R167" s="89">
        <f t="shared" si="129"/>
        <v>0</v>
      </c>
      <c r="S167" s="89">
        <f t="shared" si="129"/>
        <v>0</v>
      </c>
      <c r="T167" s="89">
        <f t="shared" si="129"/>
        <v>0</v>
      </c>
      <c r="U167" s="89">
        <f t="shared" si="129"/>
        <v>0</v>
      </c>
      <c r="V167" s="89">
        <f t="shared" si="129"/>
        <v>0</v>
      </c>
      <c r="W167" s="89">
        <f t="shared" si="129"/>
        <v>0</v>
      </c>
      <c r="X167" s="89">
        <f t="shared" si="129"/>
        <v>0</v>
      </c>
      <c r="Y167" s="89">
        <f t="shared" si="129"/>
        <v>0</v>
      </c>
      <c r="Z167" s="89">
        <f t="shared" si="129"/>
        <v>0</v>
      </c>
      <c r="AA167" s="89">
        <f t="shared" si="129"/>
        <v>0</v>
      </c>
      <c r="AB167" s="89">
        <f t="shared" si="129"/>
        <v>9564374.9999999981</v>
      </c>
      <c r="AC167" s="89">
        <f t="shared" si="129"/>
        <v>9574444.4444444422</v>
      </c>
      <c r="AD167" s="89">
        <f t="shared" si="129"/>
        <v>9584513.8888888881</v>
      </c>
      <c r="AE167" s="89">
        <f t="shared" si="129"/>
        <v>9594583.3333333321</v>
      </c>
      <c r="AF167" s="89">
        <f t="shared" si="129"/>
        <v>9604652.7777777761</v>
      </c>
      <c r="AG167" s="89">
        <f t="shared" si="129"/>
        <v>9614722.2222222202</v>
      </c>
      <c r="AH167" s="89">
        <f t="shared" si="129"/>
        <v>9624791.666666666</v>
      </c>
      <c r="AI167" s="89">
        <f t="shared" si="129"/>
        <v>9634861.1111111101</v>
      </c>
      <c r="AJ167" s="89">
        <f t="shared" si="129"/>
        <v>9644930.5555555541</v>
      </c>
      <c r="AK167" s="89">
        <f t="shared" si="129"/>
        <v>9654999.9999999981</v>
      </c>
      <c r="AL167" s="89">
        <f t="shared" si="129"/>
        <v>9665069.4444444422</v>
      </c>
      <c r="AM167" s="89">
        <f t="shared" si="129"/>
        <v>9675138.8888888881</v>
      </c>
      <c r="AN167" s="89">
        <f t="shared" si="129"/>
        <v>9685208.3333333321</v>
      </c>
      <c r="AO167" s="89">
        <f t="shared" si="129"/>
        <v>9695277.7777777761</v>
      </c>
      <c r="AP167" s="89">
        <f t="shared" si="129"/>
        <v>9705347.2222222202</v>
      </c>
      <c r="AQ167" s="89">
        <f t="shared" si="129"/>
        <v>9715416.666666666</v>
      </c>
      <c r="AR167" s="89">
        <f t="shared" si="129"/>
        <v>9725486.1111111101</v>
      </c>
      <c r="AS167" s="89">
        <f t="shared" si="129"/>
        <v>9735555.5555555541</v>
      </c>
      <c r="AT167" s="89">
        <f t="shared" si="129"/>
        <v>9745624.9999999981</v>
      </c>
      <c r="AU167" s="89">
        <f t="shared" si="129"/>
        <v>9755694.4444444422</v>
      </c>
      <c r="AV167" s="89">
        <f t="shared" si="129"/>
        <v>9765763.8888888881</v>
      </c>
      <c r="AW167" s="89">
        <f t="shared" si="129"/>
        <v>9775833.3333333321</v>
      </c>
      <c r="AX167" s="89">
        <f t="shared" si="129"/>
        <v>9785902.7777777761</v>
      </c>
      <c r="AY167" s="89">
        <f t="shared" si="129"/>
        <v>9795972.2222222202</v>
      </c>
      <c r="AZ167" s="89">
        <f t="shared" si="129"/>
        <v>9806041.666666666</v>
      </c>
      <c r="BA167" s="89">
        <f t="shared" si="129"/>
        <v>9816111.1111111101</v>
      </c>
      <c r="BB167" s="89">
        <f t="shared" si="129"/>
        <v>9826180.5555555541</v>
      </c>
      <c r="BC167" s="89">
        <f t="shared" si="129"/>
        <v>9836249.9999999981</v>
      </c>
      <c r="BD167" s="89">
        <f t="shared" si="129"/>
        <v>9846319.4444444422</v>
      </c>
      <c r="BE167" s="89">
        <f t="shared" si="129"/>
        <v>9856388.8888888881</v>
      </c>
      <c r="BF167" s="89">
        <f t="shared" si="129"/>
        <v>9866458.3333333321</v>
      </c>
      <c r="BG167" s="89">
        <f t="shared" si="129"/>
        <v>9876527.7777777761</v>
      </c>
      <c r="BH167" s="89">
        <f t="shared" si="129"/>
        <v>9886597.2222222202</v>
      </c>
      <c r="BI167" s="89">
        <f t="shared" si="129"/>
        <v>120089166.66666666</v>
      </c>
      <c r="BJ167" s="89">
        <f t="shared" ref="BJ167" si="130">SUM(BJ155:BJ166)</f>
        <v>121539166.66666666</v>
      </c>
      <c r="BK167" s="89">
        <f t="shared" ref="BK167" si="131">SUM(BK155:BK166)</f>
        <v>110689166.66666666</v>
      </c>
      <c r="BL167" s="89">
        <f t="shared" ref="BL167" si="132">SUM(BL155:BL166)</f>
        <v>108039166.66666666</v>
      </c>
      <c r="BM167" s="89">
        <f t="shared" ref="BM167" si="133">SUM(BM155:BM166)</f>
        <v>109489166.66666666</v>
      </c>
      <c r="BN167" s="89">
        <f t="shared" ref="BN167" si="134">SUM(BN155:BN166)</f>
        <v>110939166.66666666</v>
      </c>
      <c r="BO167" s="89">
        <f t="shared" ref="BO167" si="135">SUM(BO155:BO166)</f>
        <v>112389166.66666666</v>
      </c>
    </row>
    <row r="168" spans="1:67">
      <c r="A168" s="20"/>
      <c r="B168" s="20"/>
      <c r="C168" s="20"/>
      <c r="D168" s="20"/>
      <c r="E168" s="20"/>
      <c r="F168" s="20"/>
      <c r="G168" s="20"/>
      <c r="H168" s="20"/>
      <c r="I168" s="20"/>
      <c r="J168" s="20"/>
      <c r="K168" s="20"/>
      <c r="L168" s="20"/>
      <c r="M168" s="20"/>
      <c r="N168" s="20"/>
      <c r="O168" s="20"/>
      <c r="P168" s="20"/>
      <c r="Q168" s="20"/>
      <c r="R168" s="20"/>
      <c r="S168" s="20"/>
      <c r="T168" s="20"/>
      <c r="U168" s="20"/>
      <c r="V168" s="20"/>
      <c r="W168" s="20"/>
      <c r="X168" s="20"/>
      <c r="Y168" s="20"/>
      <c r="Z168" s="20"/>
      <c r="AA168" s="20"/>
      <c r="AB168" s="20"/>
      <c r="AC168" s="20"/>
      <c r="AD168" s="20"/>
      <c r="AE168" s="20"/>
      <c r="AF168" s="20"/>
      <c r="AG168" s="20"/>
      <c r="AH168" s="20"/>
      <c r="AI168" s="20"/>
      <c r="AJ168" s="20"/>
      <c r="AK168" s="20"/>
      <c r="AL168" s="20"/>
      <c r="AM168" s="20"/>
      <c r="AN168" s="20"/>
      <c r="AO168" s="20"/>
      <c r="AP168" s="20"/>
      <c r="AQ168" s="20"/>
      <c r="AR168" s="20"/>
      <c r="AS168" s="20"/>
      <c r="AT168" s="20"/>
      <c r="AU168" s="20"/>
      <c r="AV168" s="20"/>
      <c r="AW168" s="20"/>
      <c r="AX168" s="20"/>
      <c r="AY168" s="20"/>
      <c r="AZ168" s="20"/>
      <c r="BA168" s="20"/>
      <c r="BB168" s="20"/>
      <c r="BC168" s="20"/>
      <c r="BD168" s="20"/>
      <c r="BE168" s="20"/>
      <c r="BF168" s="20"/>
      <c r="BG168" s="20"/>
      <c r="BH168" s="20"/>
      <c r="BI168" s="20"/>
      <c r="BJ168" s="20"/>
      <c r="BK168" s="20"/>
      <c r="BL168" s="20"/>
      <c r="BM168" s="20"/>
      <c r="BN168" s="20"/>
      <c r="BO168" s="20"/>
    </row>
    <row r="169" spans="1:67">
      <c r="A169" s="18" t="s">
        <v>1759</v>
      </c>
      <c r="B169" s="18"/>
      <c r="C169" s="18"/>
      <c r="D169" s="18"/>
      <c r="E169" s="40"/>
      <c r="F169" s="40"/>
      <c r="G169" s="40"/>
      <c r="H169" s="40"/>
      <c r="I169" s="40"/>
      <c r="J169" s="40"/>
      <c r="K169" s="40"/>
      <c r="L169" s="40"/>
      <c r="M169" s="40"/>
      <c r="N169" s="40"/>
      <c r="O169" s="40"/>
      <c r="P169" s="40"/>
      <c r="Q169" s="40"/>
      <c r="R169" s="40"/>
      <c r="S169" s="40"/>
      <c r="T169" s="40"/>
      <c r="U169" s="40"/>
      <c r="V169" s="40"/>
      <c r="W169" s="40"/>
      <c r="X169" s="40"/>
      <c r="Y169" s="40"/>
      <c r="Z169" s="40"/>
      <c r="AA169" s="40"/>
      <c r="AB169" s="40"/>
      <c r="AC169" s="40"/>
      <c r="AD169" s="40"/>
      <c r="AE169" s="40"/>
      <c r="AF169" s="40"/>
      <c r="AG169" s="40"/>
      <c r="AH169" s="40"/>
      <c r="AI169" s="40"/>
      <c r="AJ169" s="40"/>
      <c r="AK169" s="40"/>
      <c r="AL169" s="40"/>
      <c r="AM169" s="40"/>
      <c r="AN169" s="40"/>
      <c r="AO169" s="40"/>
      <c r="AP169" s="40"/>
      <c r="AQ169" s="40"/>
      <c r="AR169" s="40"/>
      <c r="AS169" s="40"/>
      <c r="AT169" s="40"/>
      <c r="AU169" s="40"/>
      <c r="AV169" s="40"/>
      <c r="AW169" s="40"/>
      <c r="AX169" s="40"/>
      <c r="AY169" s="40"/>
      <c r="AZ169" s="40"/>
      <c r="BA169" s="40"/>
      <c r="BB169" s="40"/>
      <c r="BC169" s="40"/>
      <c r="BD169" s="40"/>
      <c r="BE169" s="40"/>
      <c r="BF169" s="40"/>
      <c r="BG169" s="40"/>
      <c r="BH169" s="40"/>
      <c r="BI169" s="40"/>
      <c r="BJ169" s="40"/>
      <c r="BK169" s="40"/>
      <c r="BL169" s="40"/>
      <c r="BM169" s="40"/>
      <c r="BN169" s="40"/>
      <c r="BO169" s="40"/>
    </row>
    <row r="170" spans="1:67">
      <c r="A170" s="11"/>
      <c r="B170" s="11"/>
      <c r="C170" s="11"/>
      <c r="D170" s="11"/>
      <c r="E170" s="3"/>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c r="AY170" s="3"/>
      <c r="AZ170" s="3"/>
      <c r="BA170" s="3"/>
      <c r="BB170" s="3"/>
      <c r="BC170" s="3"/>
      <c r="BD170" s="3"/>
      <c r="BE170" s="3"/>
      <c r="BF170" s="3"/>
      <c r="BG170" s="3"/>
      <c r="BH170" s="3"/>
      <c r="BI170" s="3"/>
      <c r="BJ170" s="3"/>
      <c r="BK170" s="3"/>
      <c r="BL170" s="3"/>
      <c r="BM170" s="3"/>
      <c r="BN170" s="3"/>
      <c r="BO170" s="3"/>
    </row>
    <row r="171" spans="1:67">
      <c r="A171" s="11"/>
      <c r="B171" s="11" t="s">
        <v>191</v>
      </c>
      <c r="C171" s="11"/>
      <c r="D171" s="11"/>
      <c r="E171" s="3"/>
      <c r="F171" s="3"/>
      <c r="G171" s="90">
        <f t="shared" ref="G171:G182" si="136">G155</f>
        <v>0</v>
      </c>
      <c r="H171" s="90">
        <f t="shared" ref="H171:H182" si="137">G171+H155</f>
        <v>0</v>
      </c>
      <c r="I171" s="90">
        <f t="shared" ref="I171:BI171" si="138">H171+I155</f>
        <v>0</v>
      </c>
      <c r="J171" s="90">
        <f t="shared" si="138"/>
        <v>0</v>
      </c>
      <c r="K171" s="90">
        <f t="shared" si="138"/>
        <v>0</v>
      </c>
      <c r="L171" s="90">
        <f t="shared" si="138"/>
        <v>0</v>
      </c>
      <c r="M171" s="90">
        <f t="shared" si="138"/>
        <v>0</v>
      </c>
      <c r="N171" s="90">
        <f t="shared" si="138"/>
        <v>0</v>
      </c>
      <c r="O171" s="90">
        <f t="shared" si="138"/>
        <v>0</v>
      </c>
      <c r="P171" s="90">
        <f t="shared" si="138"/>
        <v>0</v>
      </c>
      <c r="Q171" s="90">
        <f t="shared" si="138"/>
        <v>0</v>
      </c>
      <c r="R171" s="90">
        <f t="shared" si="138"/>
        <v>0</v>
      </c>
      <c r="S171" s="90">
        <f t="shared" si="138"/>
        <v>0</v>
      </c>
      <c r="T171" s="90">
        <f t="shared" si="138"/>
        <v>0</v>
      </c>
      <c r="U171" s="90">
        <f t="shared" si="138"/>
        <v>0</v>
      </c>
      <c r="V171" s="90">
        <f t="shared" si="138"/>
        <v>0</v>
      </c>
      <c r="W171" s="90">
        <f t="shared" si="138"/>
        <v>0</v>
      </c>
      <c r="X171" s="90">
        <f t="shared" si="138"/>
        <v>0</v>
      </c>
      <c r="Y171" s="90">
        <f t="shared" si="138"/>
        <v>0</v>
      </c>
      <c r="Z171" s="90">
        <f t="shared" si="138"/>
        <v>0</v>
      </c>
      <c r="AA171" s="90">
        <f t="shared" si="138"/>
        <v>0</v>
      </c>
      <c r="AB171" s="90">
        <f t="shared" si="138"/>
        <v>87500</v>
      </c>
      <c r="AC171" s="90">
        <f t="shared" si="138"/>
        <v>175000</v>
      </c>
      <c r="AD171" s="90">
        <f t="shared" si="138"/>
        <v>262500</v>
      </c>
      <c r="AE171" s="90">
        <f t="shared" si="138"/>
        <v>350000</v>
      </c>
      <c r="AF171" s="90">
        <f t="shared" si="138"/>
        <v>437500</v>
      </c>
      <c r="AG171" s="90">
        <f t="shared" si="138"/>
        <v>525000</v>
      </c>
      <c r="AH171" s="90">
        <f t="shared" si="138"/>
        <v>612500</v>
      </c>
      <c r="AI171" s="90">
        <f t="shared" si="138"/>
        <v>700000</v>
      </c>
      <c r="AJ171" s="90">
        <f t="shared" si="138"/>
        <v>787500</v>
      </c>
      <c r="AK171" s="90">
        <f t="shared" si="138"/>
        <v>875000</v>
      </c>
      <c r="AL171" s="90">
        <f t="shared" si="138"/>
        <v>962500</v>
      </c>
      <c r="AM171" s="90">
        <f t="shared" si="138"/>
        <v>1050000</v>
      </c>
      <c r="AN171" s="90">
        <f t="shared" si="138"/>
        <v>1137500</v>
      </c>
      <c r="AO171" s="90">
        <f t="shared" si="138"/>
        <v>1225000</v>
      </c>
      <c r="AP171" s="90">
        <f t="shared" si="138"/>
        <v>1312500</v>
      </c>
      <c r="AQ171" s="90">
        <f t="shared" si="138"/>
        <v>1400000</v>
      </c>
      <c r="AR171" s="90">
        <f t="shared" si="138"/>
        <v>1487500</v>
      </c>
      <c r="AS171" s="90">
        <f t="shared" si="138"/>
        <v>1575000</v>
      </c>
      <c r="AT171" s="90">
        <f t="shared" si="138"/>
        <v>1662500</v>
      </c>
      <c r="AU171" s="90">
        <f t="shared" si="138"/>
        <v>1750000</v>
      </c>
      <c r="AV171" s="90">
        <f t="shared" si="138"/>
        <v>1837500</v>
      </c>
      <c r="AW171" s="90">
        <f t="shared" si="138"/>
        <v>1925000</v>
      </c>
      <c r="AX171" s="90">
        <f t="shared" si="138"/>
        <v>2012500</v>
      </c>
      <c r="AY171" s="90">
        <f t="shared" si="138"/>
        <v>2100000</v>
      </c>
      <c r="AZ171" s="90">
        <f t="shared" si="138"/>
        <v>2187500</v>
      </c>
      <c r="BA171" s="90">
        <f t="shared" si="138"/>
        <v>2275000</v>
      </c>
      <c r="BB171" s="90">
        <f t="shared" si="138"/>
        <v>2362500</v>
      </c>
      <c r="BC171" s="90">
        <f t="shared" si="138"/>
        <v>2450000</v>
      </c>
      <c r="BD171" s="90">
        <f t="shared" si="138"/>
        <v>2537500</v>
      </c>
      <c r="BE171" s="90">
        <f t="shared" si="138"/>
        <v>2625000</v>
      </c>
      <c r="BF171" s="90">
        <f t="shared" si="138"/>
        <v>2712500</v>
      </c>
      <c r="BG171" s="90">
        <f t="shared" si="138"/>
        <v>2800000</v>
      </c>
      <c r="BH171" s="90">
        <f t="shared" si="138"/>
        <v>2887500</v>
      </c>
      <c r="BI171" s="90">
        <f t="shared" si="138"/>
        <v>3937500</v>
      </c>
      <c r="BJ171" s="90">
        <f t="shared" ref="BJ171:BO171" si="139">BI171+BJ155</f>
        <v>4987500</v>
      </c>
      <c r="BK171" s="90">
        <f t="shared" si="139"/>
        <v>6037500</v>
      </c>
      <c r="BL171" s="90">
        <f t="shared" si="139"/>
        <v>7087500</v>
      </c>
      <c r="BM171" s="90">
        <f t="shared" si="139"/>
        <v>8137500</v>
      </c>
      <c r="BN171" s="90">
        <f t="shared" si="139"/>
        <v>9187500</v>
      </c>
      <c r="BO171" s="90">
        <f t="shared" si="139"/>
        <v>10237500</v>
      </c>
    </row>
    <row r="172" spans="1:67">
      <c r="A172" s="11"/>
      <c r="B172" s="11" t="s">
        <v>192</v>
      </c>
      <c r="C172" s="11"/>
      <c r="D172" s="11"/>
      <c r="E172" s="3"/>
      <c r="F172" s="3"/>
      <c r="G172" s="90">
        <f t="shared" si="136"/>
        <v>0</v>
      </c>
      <c r="H172" s="90">
        <f t="shared" si="137"/>
        <v>0</v>
      </c>
      <c r="I172" s="90">
        <f t="shared" ref="I172:BI172" si="140">H172+I156</f>
        <v>0</v>
      </c>
      <c r="J172" s="90">
        <f t="shared" si="140"/>
        <v>0</v>
      </c>
      <c r="K172" s="90">
        <f t="shared" si="140"/>
        <v>0</v>
      </c>
      <c r="L172" s="90">
        <f t="shared" si="140"/>
        <v>0</v>
      </c>
      <c r="M172" s="90">
        <f t="shared" si="140"/>
        <v>0</v>
      </c>
      <c r="N172" s="90">
        <f t="shared" si="140"/>
        <v>0</v>
      </c>
      <c r="O172" s="90">
        <f t="shared" si="140"/>
        <v>0</v>
      </c>
      <c r="P172" s="90">
        <f t="shared" si="140"/>
        <v>0</v>
      </c>
      <c r="Q172" s="90">
        <f t="shared" si="140"/>
        <v>0</v>
      </c>
      <c r="R172" s="90">
        <f t="shared" si="140"/>
        <v>0</v>
      </c>
      <c r="S172" s="90">
        <f t="shared" si="140"/>
        <v>0</v>
      </c>
      <c r="T172" s="90">
        <f t="shared" si="140"/>
        <v>0</v>
      </c>
      <c r="U172" s="90">
        <f t="shared" si="140"/>
        <v>0</v>
      </c>
      <c r="V172" s="90">
        <f t="shared" si="140"/>
        <v>0</v>
      </c>
      <c r="W172" s="90">
        <f t="shared" si="140"/>
        <v>0</v>
      </c>
      <c r="X172" s="90">
        <f t="shared" si="140"/>
        <v>0</v>
      </c>
      <c r="Y172" s="90">
        <f t="shared" si="140"/>
        <v>0</v>
      </c>
      <c r="Z172" s="90">
        <f t="shared" si="140"/>
        <v>0</v>
      </c>
      <c r="AA172" s="90">
        <f t="shared" si="140"/>
        <v>0</v>
      </c>
      <c r="AB172" s="90">
        <f t="shared" si="140"/>
        <v>1136249.9999999995</v>
      </c>
      <c r="AC172" s="90">
        <f t="shared" si="140"/>
        <v>2272499.9999999991</v>
      </c>
      <c r="AD172" s="90">
        <f t="shared" si="140"/>
        <v>3408749.9999999986</v>
      </c>
      <c r="AE172" s="90">
        <f t="shared" si="140"/>
        <v>4544999.9999999981</v>
      </c>
      <c r="AF172" s="90">
        <f t="shared" si="140"/>
        <v>5681249.9999999981</v>
      </c>
      <c r="AG172" s="90">
        <f t="shared" si="140"/>
        <v>6817499.9999999981</v>
      </c>
      <c r="AH172" s="90">
        <f t="shared" si="140"/>
        <v>7953749.9999999981</v>
      </c>
      <c r="AI172" s="90">
        <f t="shared" si="140"/>
        <v>9089999.9999999981</v>
      </c>
      <c r="AJ172" s="90">
        <f t="shared" si="140"/>
        <v>10226249.999999998</v>
      </c>
      <c r="AK172" s="90">
        <f t="shared" si="140"/>
        <v>11362499.999999998</v>
      </c>
      <c r="AL172" s="90">
        <f t="shared" si="140"/>
        <v>12498749.999999998</v>
      </c>
      <c r="AM172" s="90">
        <f t="shared" si="140"/>
        <v>13634999.999999998</v>
      </c>
      <c r="AN172" s="90">
        <f t="shared" si="140"/>
        <v>14771249.999999998</v>
      </c>
      <c r="AO172" s="90">
        <f t="shared" si="140"/>
        <v>15907499.999999998</v>
      </c>
      <c r="AP172" s="90">
        <f t="shared" si="140"/>
        <v>17043749.999999996</v>
      </c>
      <c r="AQ172" s="90">
        <f t="shared" si="140"/>
        <v>18179999.999999996</v>
      </c>
      <c r="AR172" s="90">
        <f t="shared" si="140"/>
        <v>19316249.999999996</v>
      </c>
      <c r="AS172" s="90">
        <f t="shared" si="140"/>
        <v>20452499.999999996</v>
      </c>
      <c r="AT172" s="90">
        <f t="shared" si="140"/>
        <v>21588749.999999996</v>
      </c>
      <c r="AU172" s="90">
        <f t="shared" si="140"/>
        <v>22724999.999999996</v>
      </c>
      <c r="AV172" s="90">
        <f t="shared" si="140"/>
        <v>23861249.999999996</v>
      </c>
      <c r="AW172" s="90">
        <f t="shared" si="140"/>
        <v>24997499.999999996</v>
      </c>
      <c r="AX172" s="90">
        <f t="shared" si="140"/>
        <v>26133749.999999996</v>
      </c>
      <c r="AY172" s="90">
        <f t="shared" si="140"/>
        <v>27269999.999999996</v>
      </c>
      <c r="AZ172" s="90">
        <f t="shared" si="140"/>
        <v>28406249.999999996</v>
      </c>
      <c r="BA172" s="90">
        <f t="shared" si="140"/>
        <v>29542499.999999996</v>
      </c>
      <c r="BB172" s="90">
        <f t="shared" si="140"/>
        <v>30678749.999999996</v>
      </c>
      <c r="BC172" s="90">
        <f t="shared" si="140"/>
        <v>31814999.999999996</v>
      </c>
      <c r="BD172" s="90">
        <f t="shared" si="140"/>
        <v>32951249.999999996</v>
      </c>
      <c r="BE172" s="90">
        <f t="shared" si="140"/>
        <v>34087499.999999993</v>
      </c>
      <c r="BF172" s="90">
        <f t="shared" si="140"/>
        <v>35223749.999999993</v>
      </c>
      <c r="BG172" s="90">
        <f t="shared" si="140"/>
        <v>36359999.999999993</v>
      </c>
      <c r="BH172" s="90">
        <f t="shared" si="140"/>
        <v>37496249.999999993</v>
      </c>
      <c r="BI172" s="90">
        <f t="shared" si="140"/>
        <v>51131249.999999985</v>
      </c>
      <c r="BJ172" s="90">
        <f t="shared" ref="BJ172:BO172" si="141">BI172+BJ156</f>
        <v>64766249.999999985</v>
      </c>
      <c r="BK172" s="90">
        <f t="shared" si="141"/>
        <v>78401249.999999985</v>
      </c>
      <c r="BL172" s="90">
        <f t="shared" si="141"/>
        <v>92036249.999999985</v>
      </c>
      <c r="BM172" s="90">
        <f t="shared" si="141"/>
        <v>105671249.99999999</v>
      </c>
      <c r="BN172" s="90">
        <f t="shared" si="141"/>
        <v>119306249.99999999</v>
      </c>
      <c r="BO172" s="90">
        <f t="shared" si="141"/>
        <v>132941249.99999999</v>
      </c>
    </row>
    <row r="173" spans="1:67">
      <c r="A173" s="11"/>
      <c r="B173" s="11" t="s">
        <v>322</v>
      </c>
      <c r="C173" s="11"/>
      <c r="D173" s="11"/>
      <c r="E173" s="3"/>
      <c r="F173" s="3"/>
      <c r="G173" s="90">
        <f t="shared" si="136"/>
        <v>0</v>
      </c>
      <c r="H173" s="90">
        <f t="shared" si="137"/>
        <v>0</v>
      </c>
      <c r="I173" s="90">
        <f t="shared" ref="I173:BI173" si="142">H173+I157</f>
        <v>0</v>
      </c>
      <c r="J173" s="90">
        <f t="shared" si="142"/>
        <v>0</v>
      </c>
      <c r="K173" s="90">
        <f t="shared" si="142"/>
        <v>0</v>
      </c>
      <c r="L173" s="90">
        <f t="shared" si="142"/>
        <v>0</v>
      </c>
      <c r="M173" s="90">
        <f t="shared" si="142"/>
        <v>0</v>
      </c>
      <c r="N173" s="90">
        <f t="shared" si="142"/>
        <v>0</v>
      </c>
      <c r="O173" s="90">
        <f t="shared" si="142"/>
        <v>0</v>
      </c>
      <c r="P173" s="90">
        <f t="shared" si="142"/>
        <v>0</v>
      </c>
      <c r="Q173" s="90">
        <f t="shared" si="142"/>
        <v>0</v>
      </c>
      <c r="R173" s="90">
        <f t="shared" si="142"/>
        <v>0</v>
      </c>
      <c r="S173" s="90">
        <f t="shared" si="142"/>
        <v>0</v>
      </c>
      <c r="T173" s="90">
        <f t="shared" si="142"/>
        <v>0</v>
      </c>
      <c r="U173" s="90">
        <f t="shared" si="142"/>
        <v>0</v>
      </c>
      <c r="V173" s="90">
        <f t="shared" si="142"/>
        <v>0</v>
      </c>
      <c r="W173" s="90">
        <f t="shared" si="142"/>
        <v>0</v>
      </c>
      <c r="X173" s="90">
        <f t="shared" si="142"/>
        <v>0</v>
      </c>
      <c r="Y173" s="90">
        <f t="shared" si="142"/>
        <v>0</v>
      </c>
      <c r="Z173" s="90">
        <f t="shared" si="142"/>
        <v>0</v>
      </c>
      <c r="AA173" s="90">
        <f t="shared" si="142"/>
        <v>0</v>
      </c>
      <c r="AB173" s="90">
        <f t="shared" si="142"/>
        <v>3526736.111111111</v>
      </c>
      <c r="AC173" s="90">
        <f t="shared" si="142"/>
        <v>7063541.666666666</v>
      </c>
      <c r="AD173" s="90">
        <f t="shared" si="142"/>
        <v>10610416.666666666</v>
      </c>
      <c r="AE173" s="90">
        <f t="shared" si="142"/>
        <v>14167361.11111111</v>
      </c>
      <c r="AF173" s="90">
        <f t="shared" si="142"/>
        <v>17734375</v>
      </c>
      <c r="AG173" s="90">
        <f t="shared" si="142"/>
        <v>21311458.333333332</v>
      </c>
      <c r="AH173" s="90">
        <f t="shared" si="142"/>
        <v>24898611.111111112</v>
      </c>
      <c r="AI173" s="90">
        <f t="shared" si="142"/>
        <v>28495833.333333336</v>
      </c>
      <c r="AJ173" s="90">
        <f t="shared" si="142"/>
        <v>32103125.000000004</v>
      </c>
      <c r="AK173" s="90">
        <f t="shared" si="142"/>
        <v>35720486.111111112</v>
      </c>
      <c r="AL173" s="90">
        <f t="shared" si="142"/>
        <v>39347916.666666664</v>
      </c>
      <c r="AM173" s="90">
        <f t="shared" si="142"/>
        <v>42985416.666666664</v>
      </c>
      <c r="AN173" s="90">
        <f t="shared" si="142"/>
        <v>46632986.111111112</v>
      </c>
      <c r="AO173" s="90">
        <f t="shared" si="142"/>
        <v>50290625</v>
      </c>
      <c r="AP173" s="90">
        <f t="shared" si="142"/>
        <v>53958333.333333336</v>
      </c>
      <c r="AQ173" s="90">
        <f t="shared" si="142"/>
        <v>57636111.111111112</v>
      </c>
      <c r="AR173" s="90">
        <f t="shared" si="142"/>
        <v>61323958.333333336</v>
      </c>
      <c r="AS173" s="90">
        <f t="shared" si="142"/>
        <v>65021875</v>
      </c>
      <c r="AT173" s="90">
        <f t="shared" si="142"/>
        <v>68729861.111111104</v>
      </c>
      <c r="AU173" s="90">
        <f t="shared" si="142"/>
        <v>72447916.666666657</v>
      </c>
      <c r="AV173" s="90">
        <f t="shared" si="142"/>
        <v>76176041.666666657</v>
      </c>
      <c r="AW173" s="90">
        <f t="shared" si="142"/>
        <v>79914236.111111104</v>
      </c>
      <c r="AX173" s="90">
        <f t="shared" si="142"/>
        <v>83662500</v>
      </c>
      <c r="AY173" s="90">
        <f t="shared" si="142"/>
        <v>87420833.333333328</v>
      </c>
      <c r="AZ173" s="90">
        <f t="shared" si="142"/>
        <v>91189236.111111104</v>
      </c>
      <c r="BA173" s="90">
        <f t="shared" si="142"/>
        <v>94967708.333333328</v>
      </c>
      <c r="BB173" s="90">
        <f t="shared" si="142"/>
        <v>98756250</v>
      </c>
      <c r="BC173" s="90">
        <f t="shared" si="142"/>
        <v>102554861.1111111</v>
      </c>
      <c r="BD173" s="90">
        <f t="shared" si="142"/>
        <v>106363541.66666666</v>
      </c>
      <c r="BE173" s="90">
        <f t="shared" si="142"/>
        <v>110182291.66666666</v>
      </c>
      <c r="BF173" s="90">
        <f t="shared" si="142"/>
        <v>114011111.1111111</v>
      </c>
      <c r="BG173" s="90">
        <f t="shared" si="142"/>
        <v>117850000</v>
      </c>
      <c r="BH173" s="90">
        <f t="shared" si="142"/>
        <v>121698958.33333333</v>
      </c>
      <c r="BI173" s="90">
        <f t="shared" si="142"/>
        <v>169336458.33333331</v>
      </c>
      <c r="BJ173" s="90">
        <f t="shared" ref="BJ173:BO173" si="143">BI173+BJ157</f>
        <v>218423958.33333331</v>
      </c>
      <c r="BK173" s="90">
        <f t="shared" si="143"/>
        <v>268961458.33333331</v>
      </c>
      <c r="BL173" s="90">
        <f t="shared" si="143"/>
        <v>320948958.33333331</v>
      </c>
      <c r="BM173" s="90">
        <f t="shared" si="143"/>
        <v>374386458.33333331</v>
      </c>
      <c r="BN173" s="90">
        <f t="shared" si="143"/>
        <v>429273958.33333331</v>
      </c>
      <c r="BO173" s="90">
        <f t="shared" si="143"/>
        <v>485611458.33333331</v>
      </c>
    </row>
    <row r="174" spans="1:67">
      <c r="A174" s="11"/>
      <c r="B174" s="11" t="s">
        <v>197</v>
      </c>
      <c r="C174" s="11"/>
      <c r="D174" s="11"/>
      <c r="E174" s="3"/>
      <c r="F174" s="3"/>
      <c r="G174" s="90">
        <f t="shared" si="136"/>
        <v>0</v>
      </c>
      <c r="H174" s="90">
        <f t="shared" si="137"/>
        <v>0</v>
      </c>
      <c r="I174" s="90">
        <f t="shared" ref="I174:BI174" si="144">H174+I158</f>
        <v>0</v>
      </c>
      <c r="J174" s="90">
        <f t="shared" si="144"/>
        <v>0</v>
      </c>
      <c r="K174" s="90">
        <f t="shared" si="144"/>
        <v>0</v>
      </c>
      <c r="L174" s="90">
        <f t="shared" si="144"/>
        <v>0</v>
      </c>
      <c r="M174" s="90">
        <f t="shared" si="144"/>
        <v>0</v>
      </c>
      <c r="N174" s="90">
        <f t="shared" si="144"/>
        <v>0</v>
      </c>
      <c r="O174" s="90">
        <f t="shared" si="144"/>
        <v>0</v>
      </c>
      <c r="P174" s="90">
        <f t="shared" si="144"/>
        <v>0</v>
      </c>
      <c r="Q174" s="90">
        <f t="shared" si="144"/>
        <v>0</v>
      </c>
      <c r="R174" s="90">
        <f t="shared" si="144"/>
        <v>0</v>
      </c>
      <c r="S174" s="90">
        <f t="shared" si="144"/>
        <v>0</v>
      </c>
      <c r="T174" s="90">
        <f t="shared" si="144"/>
        <v>0</v>
      </c>
      <c r="U174" s="90">
        <f t="shared" si="144"/>
        <v>0</v>
      </c>
      <c r="V174" s="90">
        <f t="shared" si="144"/>
        <v>0</v>
      </c>
      <c r="W174" s="90">
        <f t="shared" si="144"/>
        <v>0</v>
      </c>
      <c r="X174" s="90">
        <f t="shared" si="144"/>
        <v>0</v>
      </c>
      <c r="Y174" s="90">
        <f t="shared" si="144"/>
        <v>0</v>
      </c>
      <c r="Z174" s="90">
        <f t="shared" si="144"/>
        <v>0</v>
      </c>
      <c r="AA174" s="90">
        <f t="shared" si="144"/>
        <v>0</v>
      </c>
      <c r="AB174" s="90">
        <f t="shared" si="144"/>
        <v>1133333.3333333333</v>
      </c>
      <c r="AC174" s="90">
        <f t="shared" si="144"/>
        <v>2266666.6666666665</v>
      </c>
      <c r="AD174" s="90">
        <f t="shared" si="144"/>
        <v>3400000</v>
      </c>
      <c r="AE174" s="90">
        <f t="shared" si="144"/>
        <v>4533333.333333333</v>
      </c>
      <c r="AF174" s="90">
        <f t="shared" si="144"/>
        <v>5666666.666666666</v>
      </c>
      <c r="AG174" s="90">
        <f t="shared" si="144"/>
        <v>6799999.9999999991</v>
      </c>
      <c r="AH174" s="90">
        <f t="shared" si="144"/>
        <v>7933333.3333333321</v>
      </c>
      <c r="AI174" s="90">
        <f t="shared" si="144"/>
        <v>9066666.666666666</v>
      </c>
      <c r="AJ174" s="90">
        <f t="shared" si="144"/>
        <v>10200000</v>
      </c>
      <c r="AK174" s="90">
        <f t="shared" si="144"/>
        <v>11333333.333333334</v>
      </c>
      <c r="AL174" s="90">
        <f t="shared" si="144"/>
        <v>12466666.666666668</v>
      </c>
      <c r="AM174" s="90">
        <f t="shared" si="144"/>
        <v>13600000.000000002</v>
      </c>
      <c r="AN174" s="90">
        <f t="shared" si="144"/>
        <v>14733333.333333336</v>
      </c>
      <c r="AO174" s="90">
        <f t="shared" si="144"/>
        <v>15866666.66666667</v>
      </c>
      <c r="AP174" s="90">
        <f t="shared" si="144"/>
        <v>17000000.000000004</v>
      </c>
      <c r="AQ174" s="90">
        <f t="shared" si="144"/>
        <v>18133333.333333336</v>
      </c>
      <c r="AR174" s="90">
        <f t="shared" si="144"/>
        <v>19266666.666666668</v>
      </c>
      <c r="AS174" s="90">
        <f t="shared" si="144"/>
        <v>20400000</v>
      </c>
      <c r="AT174" s="90">
        <f t="shared" si="144"/>
        <v>21533333.333333332</v>
      </c>
      <c r="AU174" s="90">
        <f t="shared" si="144"/>
        <v>22666666.666666664</v>
      </c>
      <c r="AV174" s="90">
        <f t="shared" si="144"/>
        <v>23799999.999999996</v>
      </c>
      <c r="AW174" s="90">
        <f t="shared" si="144"/>
        <v>24933333.333333328</v>
      </c>
      <c r="AX174" s="90">
        <f t="shared" si="144"/>
        <v>26066666.66666666</v>
      </c>
      <c r="AY174" s="90">
        <f t="shared" si="144"/>
        <v>27199999.999999993</v>
      </c>
      <c r="AZ174" s="90">
        <f t="shared" si="144"/>
        <v>28333333.333333325</v>
      </c>
      <c r="BA174" s="90">
        <f t="shared" si="144"/>
        <v>29466666.666666657</v>
      </c>
      <c r="BB174" s="90">
        <f t="shared" si="144"/>
        <v>30599999.999999989</v>
      </c>
      <c r="BC174" s="90">
        <f t="shared" si="144"/>
        <v>31733333.333333321</v>
      </c>
      <c r="BD174" s="90">
        <f t="shared" si="144"/>
        <v>32866666.666666653</v>
      </c>
      <c r="BE174" s="90">
        <f t="shared" si="144"/>
        <v>33999999.999999985</v>
      </c>
      <c r="BF174" s="90">
        <f t="shared" si="144"/>
        <v>35133333.333333321</v>
      </c>
      <c r="BG174" s="90">
        <f t="shared" si="144"/>
        <v>36266666.666666657</v>
      </c>
      <c r="BH174" s="90">
        <f t="shared" si="144"/>
        <v>37399999.999999993</v>
      </c>
      <c r="BI174" s="90">
        <f t="shared" si="144"/>
        <v>50999999.999999993</v>
      </c>
      <c r="BJ174" s="90">
        <f t="shared" ref="BJ174:BO174" si="145">BI174+BJ158</f>
        <v>64599999.999999993</v>
      </c>
      <c r="BK174" s="90">
        <f t="shared" si="145"/>
        <v>78200000</v>
      </c>
      <c r="BL174" s="90">
        <f t="shared" si="145"/>
        <v>91800000</v>
      </c>
      <c r="BM174" s="90">
        <f t="shared" si="145"/>
        <v>105400000</v>
      </c>
      <c r="BN174" s="90">
        <f t="shared" si="145"/>
        <v>119000000</v>
      </c>
      <c r="BO174" s="90">
        <f t="shared" si="145"/>
        <v>132600000</v>
      </c>
    </row>
    <row r="175" spans="1:67">
      <c r="A175" s="11"/>
      <c r="B175" s="11" t="s">
        <v>323</v>
      </c>
      <c r="C175" s="11"/>
      <c r="D175" s="11"/>
      <c r="E175" s="3"/>
      <c r="F175" s="3"/>
      <c r="G175" s="90">
        <f t="shared" si="136"/>
        <v>0</v>
      </c>
      <c r="H175" s="90">
        <f t="shared" si="137"/>
        <v>0</v>
      </c>
      <c r="I175" s="90">
        <f t="shared" ref="I175:BI175" si="146">H175+I159</f>
        <v>0</v>
      </c>
      <c r="J175" s="90">
        <f t="shared" si="146"/>
        <v>0</v>
      </c>
      <c r="K175" s="90">
        <f t="shared" si="146"/>
        <v>0</v>
      </c>
      <c r="L175" s="90">
        <f t="shared" si="146"/>
        <v>0</v>
      </c>
      <c r="M175" s="90">
        <f t="shared" si="146"/>
        <v>0</v>
      </c>
      <c r="N175" s="90">
        <f t="shared" si="146"/>
        <v>0</v>
      </c>
      <c r="O175" s="90">
        <f t="shared" si="146"/>
        <v>0</v>
      </c>
      <c r="P175" s="90">
        <f t="shared" si="146"/>
        <v>0</v>
      </c>
      <c r="Q175" s="90">
        <f t="shared" si="146"/>
        <v>0</v>
      </c>
      <c r="R175" s="90">
        <f t="shared" si="146"/>
        <v>0</v>
      </c>
      <c r="S175" s="90">
        <f t="shared" si="146"/>
        <v>0</v>
      </c>
      <c r="T175" s="90">
        <f t="shared" si="146"/>
        <v>0</v>
      </c>
      <c r="U175" s="90">
        <f t="shared" si="146"/>
        <v>0</v>
      </c>
      <c r="V175" s="90">
        <f t="shared" si="146"/>
        <v>0</v>
      </c>
      <c r="W175" s="90">
        <f t="shared" si="146"/>
        <v>0</v>
      </c>
      <c r="X175" s="90">
        <f t="shared" si="146"/>
        <v>0</v>
      </c>
      <c r="Y175" s="90">
        <f t="shared" si="146"/>
        <v>0</v>
      </c>
      <c r="Z175" s="90">
        <f t="shared" si="146"/>
        <v>0</v>
      </c>
      <c r="AA175" s="90">
        <f t="shared" si="146"/>
        <v>0</v>
      </c>
      <c r="AB175" s="90">
        <f t="shared" si="146"/>
        <v>366666.66666666663</v>
      </c>
      <c r="AC175" s="90">
        <f t="shared" si="146"/>
        <v>733333.33333333326</v>
      </c>
      <c r="AD175" s="90">
        <f t="shared" si="146"/>
        <v>1100000</v>
      </c>
      <c r="AE175" s="90">
        <f t="shared" si="146"/>
        <v>1466666.6666666665</v>
      </c>
      <c r="AF175" s="90">
        <f t="shared" si="146"/>
        <v>1833333.333333333</v>
      </c>
      <c r="AG175" s="90">
        <f t="shared" si="146"/>
        <v>2199999.9999999995</v>
      </c>
      <c r="AH175" s="90">
        <f t="shared" si="146"/>
        <v>2566666.666666666</v>
      </c>
      <c r="AI175" s="90">
        <f t="shared" si="146"/>
        <v>2933333.3333333326</v>
      </c>
      <c r="AJ175" s="90">
        <f t="shared" si="146"/>
        <v>3299999.9999999991</v>
      </c>
      <c r="AK175" s="90">
        <f t="shared" si="146"/>
        <v>3666666.6666666656</v>
      </c>
      <c r="AL175" s="90">
        <f t="shared" si="146"/>
        <v>4033333.3333333321</v>
      </c>
      <c r="AM175" s="90">
        <f t="shared" si="146"/>
        <v>4399999.9999999991</v>
      </c>
      <c r="AN175" s="90">
        <f t="shared" si="146"/>
        <v>4766666.666666666</v>
      </c>
      <c r="AO175" s="90">
        <f t="shared" si="146"/>
        <v>5133333.333333333</v>
      </c>
      <c r="AP175" s="90">
        <f t="shared" si="146"/>
        <v>5500000</v>
      </c>
      <c r="AQ175" s="90">
        <f t="shared" si="146"/>
        <v>5866666.666666667</v>
      </c>
      <c r="AR175" s="90">
        <f t="shared" si="146"/>
        <v>6233333.333333334</v>
      </c>
      <c r="AS175" s="90">
        <f t="shared" si="146"/>
        <v>6600000.0000000009</v>
      </c>
      <c r="AT175" s="90">
        <f t="shared" si="146"/>
        <v>6966666.6666666679</v>
      </c>
      <c r="AU175" s="90">
        <f t="shared" si="146"/>
        <v>7333333.3333333349</v>
      </c>
      <c r="AV175" s="90">
        <f t="shared" si="146"/>
        <v>7700000.0000000019</v>
      </c>
      <c r="AW175" s="90">
        <f t="shared" si="146"/>
        <v>8066666.6666666688</v>
      </c>
      <c r="AX175" s="90">
        <f t="shared" si="146"/>
        <v>8433333.3333333358</v>
      </c>
      <c r="AY175" s="90">
        <f t="shared" si="146"/>
        <v>8800000.0000000019</v>
      </c>
      <c r="AZ175" s="90">
        <f t="shared" si="146"/>
        <v>9166666.6666666679</v>
      </c>
      <c r="BA175" s="90">
        <f t="shared" si="146"/>
        <v>9533333.333333334</v>
      </c>
      <c r="BB175" s="90">
        <f t="shared" si="146"/>
        <v>9900000</v>
      </c>
      <c r="BC175" s="90">
        <f t="shared" si="146"/>
        <v>10266666.666666666</v>
      </c>
      <c r="BD175" s="90">
        <f t="shared" si="146"/>
        <v>10633333.333333332</v>
      </c>
      <c r="BE175" s="90">
        <f t="shared" si="146"/>
        <v>10999999.999999998</v>
      </c>
      <c r="BF175" s="90">
        <f t="shared" si="146"/>
        <v>11366666.666666664</v>
      </c>
      <c r="BG175" s="90">
        <f t="shared" si="146"/>
        <v>11733333.33333333</v>
      </c>
      <c r="BH175" s="90">
        <f t="shared" si="146"/>
        <v>12099999.999999996</v>
      </c>
      <c r="BI175" s="90">
        <f t="shared" si="146"/>
        <v>16499999.999999996</v>
      </c>
      <c r="BJ175" s="90">
        <f t="shared" ref="BJ175:BO175" si="147">BI175+BJ159</f>
        <v>20899999.999999996</v>
      </c>
      <c r="BK175" s="90">
        <f t="shared" si="147"/>
        <v>25299999.999999996</v>
      </c>
      <c r="BL175" s="90">
        <f t="shared" si="147"/>
        <v>29699999.999999996</v>
      </c>
      <c r="BM175" s="90">
        <f t="shared" si="147"/>
        <v>34100000</v>
      </c>
      <c r="BN175" s="90">
        <f t="shared" si="147"/>
        <v>38500000</v>
      </c>
      <c r="BO175" s="90">
        <f t="shared" si="147"/>
        <v>42900000</v>
      </c>
    </row>
    <row r="176" spans="1:67">
      <c r="A176" s="11"/>
      <c r="B176" s="11" t="s">
        <v>194</v>
      </c>
      <c r="C176" s="11"/>
      <c r="D176" s="11"/>
      <c r="E176" s="3"/>
      <c r="F176" s="3"/>
      <c r="G176" s="90">
        <f t="shared" si="136"/>
        <v>0</v>
      </c>
      <c r="H176" s="90">
        <f t="shared" si="137"/>
        <v>0</v>
      </c>
      <c r="I176" s="90">
        <f t="shared" ref="I176:BI176" si="148">H176+I160</f>
        <v>0</v>
      </c>
      <c r="J176" s="90">
        <f t="shared" si="148"/>
        <v>0</v>
      </c>
      <c r="K176" s="90">
        <f t="shared" si="148"/>
        <v>0</v>
      </c>
      <c r="L176" s="90">
        <f t="shared" si="148"/>
        <v>0</v>
      </c>
      <c r="M176" s="90">
        <f t="shared" si="148"/>
        <v>0</v>
      </c>
      <c r="N176" s="90">
        <f t="shared" si="148"/>
        <v>0</v>
      </c>
      <c r="O176" s="90">
        <f t="shared" si="148"/>
        <v>0</v>
      </c>
      <c r="P176" s="90">
        <f t="shared" si="148"/>
        <v>0</v>
      </c>
      <c r="Q176" s="90">
        <f t="shared" si="148"/>
        <v>0</v>
      </c>
      <c r="R176" s="90">
        <f t="shared" si="148"/>
        <v>0</v>
      </c>
      <c r="S176" s="90">
        <f t="shared" si="148"/>
        <v>0</v>
      </c>
      <c r="T176" s="90">
        <f t="shared" si="148"/>
        <v>0</v>
      </c>
      <c r="U176" s="90">
        <f t="shared" si="148"/>
        <v>0</v>
      </c>
      <c r="V176" s="90">
        <f t="shared" si="148"/>
        <v>0</v>
      </c>
      <c r="W176" s="90">
        <f t="shared" si="148"/>
        <v>0</v>
      </c>
      <c r="X176" s="90">
        <f t="shared" si="148"/>
        <v>0</v>
      </c>
      <c r="Y176" s="90">
        <f t="shared" si="148"/>
        <v>0</v>
      </c>
      <c r="Z176" s="90">
        <f t="shared" si="148"/>
        <v>0</v>
      </c>
      <c r="AA176" s="90">
        <f t="shared" si="148"/>
        <v>0</v>
      </c>
      <c r="AB176" s="90">
        <f t="shared" si="148"/>
        <v>325000.00000000012</v>
      </c>
      <c r="AC176" s="90">
        <f t="shared" si="148"/>
        <v>650000.00000000023</v>
      </c>
      <c r="AD176" s="90">
        <f t="shared" si="148"/>
        <v>975000.00000000035</v>
      </c>
      <c r="AE176" s="90">
        <f t="shared" si="148"/>
        <v>1300000.0000000005</v>
      </c>
      <c r="AF176" s="90">
        <f t="shared" si="148"/>
        <v>1625000.0000000005</v>
      </c>
      <c r="AG176" s="90">
        <f t="shared" si="148"/>
        <v>1950000.0000000005</v>
      </c>
      <c r="AH176" s="90">
        <f t="shared" si="148"/>
        <v>2275000.0000000005</v>
      </c>
      <c r="AI176" s="90">
        <f t="shared" si="148"/>
        <v>2600000.0000000005</v>
      </c>
      <c r="AJ176" s="90">
        <f t="shared" si="148"/>
        <v>2925000.0000000005</v>
      </c>
      <c r="AK176" s="90">
        <f t="shared" si="148"/>
        <v>3250000.0000000005</v>
      </c>
      <c r="AL176" s="90">
        <f t="shared" si="148"/>
        <v>3575000.0000000005</v>
      </c>
      <c r="AM176" s="90">
        <f t="shared" si="148"/>
        <v>3900000.0000000005</v>
      </c>
      <c r="AN176" s="90">
        <f t="shared" si="148"/>
        <v>4225000.0000000009</v>
      </c>
      <c r="AO176" s="90">
        <f t="shared" si="148"/>
        <v>4550000.0000000009</v>
      </c>
      <c r="AP176" s="90">
        <f t="shared" si="148"/>
        <v>4875000.0000000009</v>
      </c>
      <c r="AQ176" s="90">
        <f t="shared" si="148"/>
        <v>5200000.0000000009</v>
      </c>
      <c r="AR176" s="90">
        <f t="shared" si="148"/>
        <v>5525000.0000000009</v>
      </c>
      <c r="AS176" s="90">
        <f t="shared" si="148"/>
        <v>5850000.0000000009</v>
      </c>
      <c r="AT176" s="90">
        <f t="shared" si="148"/>
        <v>6175000.0000000009</v>
      </c>
      <c r="AU176" s="90">
        <f t="shared" si="148"/>
        <v>6500000.0000000009</v>
      </c>
      <c r="AV176" s="90">
        <f t="shared" si="148"/>
        <v>6825000.0000000009</v>
      </c>
      <c r="AW176" s="90">
        <f t="shared" si="148"/>
        <v>7150000.0000000009</v>
      </c>
      <c r="AX176" s="90">
        <f t="shared" si="148"/>
        <v>7475000.0000000009</v>
      </c>
      <c r="AY176" s="90">
        <f t="shared" si="148"/>
        <v>7800000.0000000009</v>
      </c>
      <c r="AZ176" s="90">
        <f t="shared" si="148"/>
        <v>8125000.0000000009</v>
      </c>
      <c r="BA176" s="90">
        <f t="shared" si="148"/>
        <v>8450000.0000000019</v>
      </c>
      <c r="BB176" s="90">
        <f t="shared" si="148"/>
        <v>8775000.0000000019</v>
      </c>
      <c r="BC176" s="90">
        <f t="shared" si="148"/>
        <v>9100000.0000000019</v>
      </c>
      <c r="BD176" s="90">
        <f t="shared" si="148"/>
        <v>9425000.0000000019</v>
      </c>
      <c r="BE176" s="90">
        <f t="shared" si="148"/>
        <v>9750000.0000000019</v>
      </c>
      <c r="BF176" s="90">
        <f t="shared" si="148"/>
        <v>10075000.000000002</v>
      </c>
      <c r="BG176" s="90">
        <f t="shared" si="148"/>
        <v>10400000.000000002</v>
      </c>
      <c r="BH176" s="90">
        <f t="shared" si="148"/>
        <v>10725000.000000002</v>
      </c>
      <c r="BI176" s="90">
        <f t="shared" si="148"/>
        <v>14625000.000000004</v>
      </c>
      <c r="BJ176" s="90">
        <f t="shared" ref="BJ176:BO176" si="149">BI176+BJ160</f>
        <v>18525000.000000004</v>
      </c>
      <c r="BK176" s="90">
        <f t="shared" si="149"/>
        <v>22425000.000000004</v>
      </c>
      <c r="BL176" s="90">
        <f t="shared" si="149"/>
        <v>26325000.000000004</v>
      </c>
      <c r="BM176" s="90">
        <f t="shared" si="149"/>
        <v>30225000.000000004</v>
      </c>
      <c r="BN176" s="90">
        <f t="shared" si="149"/>
        <v>34125000.000000007</v>
      </c>
      <c r="BO176" s="90">
        <f t="shared" si="149"/>
        <v>38025000.000000007</v>
      </c>
    </row>
    <row r="177" spans="1:67">
      <c r="A177" s="11"/>
      <c r="B177" s="11" t="s">
        <v>195</v>
      </c>
      <c r="C177" s="11"/>
      <c r="D177" s="11"/>
      <c r="E177" s="3"/>
      <c r="F177" s="3"/>
      <c r="G177" s="90">
        <f t="shared" si="136"/>
        <v>0</v>
      </c>
      <c r="H177" s="90">
        <f t="shared" si="137"/>
        <v>0</v>
      </c>
      <c r="I177" s="90">
        <f t="shared" ref="I177:BI177" si="150">H177+I161</f>
        <v>0</v>
      </c>
      <c r="J177" s="90">
        <f t="shared" si="150"/>
        <v>0</v>
      </c>
      <c r="K177" s="90">
        <f t="shared" si="150"/>
        <v>0</v>
      </c>
      <c r="L177" s="90">
        <f t="shared" si="150"/>
        <v>0</v>
      </c>
      <c r="M177" s="90">
        <f t="shared" si="150"/>
        <v>0</v>
      </c>
      <c r="N177" s="90">
        <f t="shared" si="150"/>
        <v>0</v>
      </c>
      <c r="O177" s="90">
        <f t="shared" si="150"/>
        <v>0</v>
      </c>
      <c r="P177" s="90">
        <f t="shared" si="150"/>
        <v>0</v>
      </c>
      <c r="Q177" s="90">
        <f t="shared" si="150"/>
        <v>0</v>
      </c>
      <c r="R177" s="90">
        <f t="shared" si="150"/>
        <v>0</v>
      </c>
      <c r="S177" s="90">
        <f t="shared" si="150"/>
        <v>0</v>
      </c>
      <c r="T177" s="90">
        <f t="shared" si="150"/>
        <v>0</v>
      </c>
      <c r="U177" s="90">
        <f t="shared" si="150"/>
        <v>0</v>
      </c>
      <c r="V177" s="90">
        <f t="shared" si="150"/>
        <v>0</v>
      </c>
      <c r="W177" s="90">
        <f t="shared" si="150"/>
        <v>0</v>
      </c>
      <c r="X177" s="90">
        <f t="shared" si="150"/>
        <v>0</v>
      </c>
      <c r="Y177" s="90">
        <f t="shared" si="150"/>
        <v>0</v>
      </c>
      <c r="Z177" s="90">
        <f t="shared" si="150"/>
        <v>0</v>
      </c>
      <c r="AA177" s="90">
        <f t="shared" si="150"/>
        <v>0</v>
      </c>
      <c r="AB177" s="90">
        <f t="shared" si="150"/>
        <v>1325000</v>
      </c>
      <c r="AC177" s="90">
        <f t="shared" si="150"/>
        <v>2650000</v>
      </c>
      <c r="AD177" s="90">
        <f t="shared" si="150"/>
        <v>3975000</v>
      </c>
      <c r="AE177" s="90">
        <f t="shared" si="150"/>
        <v>5300000</v>
      </c>
      <c r="AF177" s="90">
        <f t="shared" si="150"/>
        <v>6625000</v>
      </c>
      <c r="AG177" s="90">
        <f t="shared" si="150"/>
        <v>7950000</v>
      </c>
      <c r="AH177" s="90">
        <f t="shared" si="150"/>
        <v>9275000</v>
      </c>
      <c r="AI177" s="90">
        <f t="shared" si="150"/>
        <v>10600000</v>
      </c>
      <c r="AJ177" s="90">
        <f t="shared" si="150"/>
        <v>11925000</v>
      </c>
      <c r="AK177" s="90">
        <f t="shared" si="150"/>
        <v>13250000</v>
      </c>
      <c r="AL177" s="90">
        <f t="shared" si="150"/>
        <v>14575000</v>
      </c>
      <c r="AM177" s="90">
        <f t="shared" si="150"/>
        <v>15900000</v>
      </c>
      <c r="AN177" s="90">
        <f t="shared" si="150"/>
        <v>17225000</v>
      </c>
      <c r="AO177" s="90">
        <f t="shared" si="150"/>
        <v>18550000</v>
      </c>
      <c r="AP177" s="90">
        <f t="shared" si="150"/>
        <v>19875000</v>
      </c>
      <c r="AQ177" s="90">
        <f t="shared" si="150"/>
        <v>21200000</v>
      </c>
      <c r="AR177" s="90">
        <f t="shared" si="150"/>
        <v>22525000</v>
      </c>
      <c r="AS177" s="90">
        <f t="shared" si="150"/>
        <v>23850000</v>
      </c>
      <c r="AT177" s="90">
        <f t="shared" si="150"/>
        <v>25175000</v>
      </c>
      <c r="AU177" s="90">
        <f t="shared" si="150"/>
        <v>26500000</v>
      </c>
      <c r="AV177" s="90">
        <f t="shared" si="150"/>
        <v>27825000</v>
      </c>
      <c r="AW177" s="90">
        <f t="shared" si="150"/>
        <v>29150000</v>
      </c>
      <c r="AX177" s="90">
        <f t="shared" si="150"/>
        <v>30475000</v>
      </c>
      <c r="AY177" s="90">
        <f t="shared" si="150"/>
        <v>31800000</v>
      </c>
      <c r="AZ177" s="90">
        <f t="shared" si="150"/>
        <v>33125000</v>
      </c>
      <c r="BA177" s="90">
        <f t="shared" si="150"/>
        <v>34450000</v>
      </c>
      <c r="BB177" s="90">
        <f t="shared" si="150"/>
        <v>35775000</v>
      </c>
      <c r="BC177" s="90">
        <f t="shared" si="150"/>
        <v>37100000</v>
      </c>
      <c r="BD177" s="90">
        <f t="shared" si="150"/>
        <v>38425000</v>
      </c>
      <c r="BE177" s="90">
        <f t="shared" si="150"/>
        <v>39750000</v>
      </c>
      <c r="BF177" s="90">
        <f t="shared" si="150"/>
        <v>41075000</v>
      </c>
      <c r="BG177" s="90">
        <f t="shared" si="150"/>
        <v>42400000</v>
      </c>
      <c r="BH177" s="90">
        <f t="shared" si="150"/>
        <v>43725000</v>
      </c>
      <c r="BI177" s="90">
        <f t="shared" si="150"/>
        <v>59625000</v>
      </c>
      <c r="BJ177" s="90">
        <f t="shared" ref="BJ177:BO177" si="151">BI177+BJ161</f>
        <v>75525000</v>
      </c>
      <c r="BK177" s="90">
        <f t="shared" si="151"/>
        <v>91425000</v>
      </c>
      <c r="BL177" s="90">
        <f t="shared" si="151"/>
        <v>107325000</v>
      </c>
      <c r="BM177" s="90">
        <f t="shared" si="151"/>
        <v>123225000</v>
      </c>
      <c r="BN177" s="90">
        <f t="shared" si="151"/>
        <v>139125000</v>
      </c>
      <c r="BO177" s="90">
        <f t="shared" si="151"/>
        <v>155025000</v>
      </c>
    </row>
    <row r="178" spans="1:67">
      <c r="A178" s="11"/>
      <c r="B178" s="11" t="s">
        <v>198</v>
      </c>
      <c r="C178" s="11"/>
      <c r="D178" s="11"/>
      <c r="E178" s="3"/>
      <c r="F178" s="3"/>
      <c r="G178" s="90">
        <f t="shared" si="136"/>
        <v>0</v>
      </c>
      <c r="H178" s="90">
        <f t="shared" si="137"/>
        <v>0</v>
      </c>
      <c r="I178" s="90">
        <f t="shared" ref="I178:BI178" si="152">H178+I162</f>
        <v>0</v>
      </c>
      <c r="J178" s="90">
        <f t="shared" si="152"/>
        <v>0</v>
      </c>
      <c r="K178" s="90">
        <f t="shared" si="152"/>
        <v>0</v>
      </c>
      <c r="L178" s="90">
        <f t="shared" si="152"/>
        <v>0</v>
      </c>
      <c r="M178" s="90">
        <f t="shared" si="152"/>
        <v>0</v>
      </c>
      <c r="N178" s="90">
        <f t="shared" si="152"/>
        <v>0</v>
      </c>
      <c r="O178" s="90">
        <f t="shared" si="152"/>
        <v>0</v>
      </c>
      <c r="P178" s="90">
        <f t="shared" si="152"/>
        <v>0</v>
      </c>
      <c r="Q178" s="90">
        <f t="shared" si="152"/>
        <v>0</v>
      </c>
      <c r="R178" s="90">
        <f t="shared" si="152"/>
        <v>0</v>
      </c>
      <c r="S178" s="90">
        <f t="shared" si="152"/>
        <v>0</v>
      </c>
      <c r="T178" s="90">
        <f t="shared" si="152"/>
        <v>0</v>
      </c>
      <c r="U178" s="90">
        <f t="shared" si="152"/>
        <v>0</v>
      </c>
      <c r="V178" s="90">
        <f t="shared" si="152"/>
        <v>0</v>
      </c>
      <c r="W178" s="90">
        <f t="shared" si="152"/>
        <v>0</v>
      </c>
      <c r="X178" s="90">
        <f t="shared" si="152"/>
        <v>0</v>
      </c>
      <c r="Y178" s="90">
        <f t="shared" si="152"/>
        <v>0</v>
      </c>
      <c r="Z178" s="90">
        <f t="shared" si="152"/>
        <v>0</v>
      </c>
      <c r="AA178" s="90">
        <f t="shared" si="152"/>
        <v>0</v>
      </c>
      <c r="AB178" s="90">
        <f t="shared" si="152"/>
        <v>200000</v>
      </c>
      <c r="AC178" s="90">
        <f t="shared" si="152"/>
        <v>400000</v>
      </c>
      <c r="AD178" s="90">
        <f t="shared" si="152"/>
        <v>600000</v>
      </c>
      <c r="AE178" s="90">
        <f t="shared" si="152"/>
        <v>800000</v>
      </c>
      <c r="AF178" s="90">
        <f t="shared" si="152"/>
        <v>1000000</v>
      </c>
      <c r="AG178" s="90">
        <f t="shared" si="152"/>
        <v>1200000</v>
      </c>
      <c r="AH178" s="90">
        <f t="shared" si="152"/>
        <v>1400000</v>
      </c>
      <c r="AI178" s="90">
        <f t="shared" si="152"/>
        <v>1600000</v>
      </c>
      <c r="AJ178" s="90">
        <f t="shared" si="152"/>
        <v>1800000</v>
      </c>
      <c r="AK178" s="90">
        <f t="shared" si="152"/>
        <v>2000000</v>
      </c>
      <c r="AL178" s="90">
        <f t="shared" si="152"/>
        <v>2200000</v>
      </c>
      <c r="AM178" s="90">
        <f t="shared" si="152"/>
        <v>2400000</v>
      </c>
      <c r="AN178" s="90">
        <f t="shared" si="152"/>
        <v>2600000</v>
      </c>
      <c r="AO178" s="90">
        <f t="shared" si="152"/>
        <v>2800000</v>
      </c>
      <c r="AP178" s="90">
        <f t="shared" si="152"/>
        <v>3000000</v>
      </c>
      <c r="AQ178" s="90">
        <f t="shared" si="152"/>
        <v>3200000</v>
      </c>
      <c r="AR178" s="90">
        <f t="shared" si="152"/>
        <v>3400000</v>
      </c>
      <c r="AS178" s="90">
        <f t="shared" si="152"/>
        <v>3600000</v>
      </c>
      <c r="AT178" s="90">
        <f t="shared" si="152"/>
        <v>3800000</v>
      </c>
      <c r="AU178" s="90">
        <f t="shared" si="152"/>
        <v>4000000</v>
      </c>
      <c r="AV178" s="90">
        <f t="shared" si="152"/>
        <v>4200000</v>
      </c>
      <c r="AW178" s="90">
        <f t="shared" si="152"/>
        <v>4400000</v>
      </c>
      <c r="AX178" s="90">
        <f t="shared" si="152"/>
        <v>4600000</v>
      </c>
      <c r="AY178" s="90">
        <f t="shared" si="152"/>
        <v>4800000</v>
      </c>
      <c r="AZ178" s="90">
        <f t="shared" si="152"/>
        <v>5000000</v>
      </c>
      <c r="BA178" s="90">
        <f t="shared" si="152"/>
        <v>5200000</v>
      </c>
      <c r="BB178" s="90">
        <f t="shared" si="152"/>
        <v>5400000</v>
      </c>
      <c r="BC178" s="90">
        <f t="shared" si="152"/>
        <v>5600000</v>
      </c>
      <c r="BD178" s="90">
        <f t="shared" si="152"/>
        <v>5800000</v>
      </c>
      <c r="BE178" s="90">
        <f t="shared" si="152"/>
        <v>6000000</v>
      </c>
      <c r="BF178" s="90">
        <f t="shared" si="152"/>
        <v>6200000</v>
      </c>
      <c r="BG178" s="90">
        <f t="shared" si="152"/>
        <v>6400000</v>
      </c>
      <c r="BH178" s="90">
        <f t="shared" si="152"/>
        <v>6600000</v>
      </c>
      <c r="BI178" s="90">
        <f t="shared" si="152"/>
        <v>9000000</v>
      </c>
      <c r="BJ178" s="90">
        <f t="shared" ref="BJ178:BO178" si="153">BI178+BJ162</f>
        <v>11400000</v>
      </c>
      <c r="BK178" s="90">
        <f t="shared" si="153"/>
        <v>12000000</v>
      </c>
      <c r="BL178" s="90">
        <f t="shared" si="153"/>
        <v>12000000</v>
      </c>
      <c r="BM178" s="90">
        <f t="shared" si="153"/>
        <v>12000000</v>
      </c>
      <c r="BN178" s="90">
        <f t="shared" si="153"/>
        <v>12000000</v>
      </c>
      <c r="BO178" s="90">
        <f t="shared" si="153"/>
        <v>12000000</v>
      </c>
    </row>
    <row r="179" spans="1:67">
      <c r="A179" s="11"/>
      <c r="B179" s="11" t="s">
        <v>310</v>
      </c>
      <c r="C179" s="11"/>
      <c r="D179" s="11"/>
      <c r="E179" s="3"/>
      <c r="F179" s="3"/>
      <c r="G179" s="90">
        <f t="shared" si="136"/>
        <v>0</v>
      </c>
      <c r="H179" s="90">
        <f t="shared" si="137"/>
        <v>0</v>
      </c>
      <c r="I179" s="90">
        <f t="shared" ref="I179:BI179" si="154">H179+I163</f>
        <v>0</v>
      </c>
      <c r="J179" s="90">
        <f t="shared" si="154"/>
        <v>0</v>
      </c>
      <c r="K179" s="90">
        <f t="shared" si="154"/>
        <v>0</v>
      </c>
      <c r="L179" s="90">
        <f t="shared" si="154"/>
        <v>0</v>
      </c>
      <c r="M179" s="90">
        <f t="shared" si="154"/>
        <v>0</v>
      </c>
      <c r="N179" s="90">
        <f t="shared" si="154"/>
        <v>0</v>
      </c>
      <c r="O179" s="90">
        <f t="shared" si="154"/>
        <v>0</v>
      </c>
      <c r="P179" s="90">
        <f t="shared" si="154"/>
        <v>0</v>
      </c>
      <c r="Q179" s="90">
        <f t="shared" si="154"/>
        <v>0</v>
      </c>
      <c r="R179" s="90">
        <f t="shared" si="154"/>
        <v>0</v>
      </c>
      <c r="S179" s="90">
        <f t="shared" si="154"/>
        <v>0</v>
      </c>
      <c r="T179" s="90">
        <f t="shared" si="154"/>
        <v>0</v>
      </c>
      <c r="U179" s="90">
        <f t="shared" si="154"/>
        <v>0</v>
      </c>
      <c r="V179" s="90">
        <f t="shared" si="154"/>
        <v>0</v>
      </c>
      <c r="W179" s="90">
        <f t="shared" si="154"/>
        <v>0</v>
      </c>
      <c r="X179" s="90">
        <f t="shared" si="154"/>
        <v>0</v>
      </c>
      <c r="Y179" s="90">
        <f t="shared" si="154"/>
        <v>0</v>
      </c>
      <c r="Z179" s="90">
        <f t="shared" si="154"/>
        <v>0</v>
      </c>
      <c r="AA179" s="90">
        <f t="shared" si="154"/>
        <v>0</v>
      </c>
      <c r="AB179" s="90">
        <f t="shared" si="154"/>
        <v>102500</v>
      </c>
      <c r="AC179" s="90">
        <f t="shared" si="154"/>
        <v>205000</v>
      </c>
      <c r="AD179" s="90">
        <f t="shared" si="154"/>
        <v>307500</v>
      </c>
      <c r="AE179" s="90">
        <f t="shared" si="154"/>
        <v>410000</v>
      </c>
      <c r="AF179" s="90">
        <f t="shared" si="154"/>
        <v>512500</v>
      </c>
      <c r="AG179" s="90">
        <f t="shared" si="154"/>
        <v>615000</v>
      </c>
      <c r="AH179" s="90">
        <f t="shared" si="154"/>
        <v>717500</v>
      </c>
      <c r="AI179" s="90">
        <f t="shared" si="154"/>
        <v>820000</v>
      </c>
      <c r="AJ179" s="90">
        <f t="shared" si="154"/>
        <v>922500</v>
      </c>
      <c r="AK179" s="90">
        <f t="shared" si="154"/>
        <v>1025000</v>
      </c>
      <c r="AL179" s="90">
        <f t="shared" si="154"/>
        <v>1127500</v>
      </c>
      <c r="AM179" s="90">
        <f t="shared" si="154"/>
        <v>1230000</v>
      </c>
      <c r="AN179" s="90">
        <f t="shared" si="154"/>
        <v>1332500</v>
      </c>
      <c r="AO179" s="90">
        <f t="shared" si="154"/>
        <v>1435000</v>
      </c>
      <c r="AP179" s="90">
        <f t="shared" si="154"/>
        <v>1537500</v>
      </c>
      <c r="AQ179" s="90">
        <f t="shared" si="154"/>
        <v>1640000</v>
      </c>
      <c r="AR179" s="90">
        <f t="shared" si="154"/>
        <v>1742500</v>
      </c>
      <c r="AS179" s="90">
        <f t="shared" si="154"/>
        <v>1845000</v>
      </c>
      <c r="AT179" s="90">
        <f t="shared" si="154"/>
        <v>1947500</v>
      </c>
      <c r="AU179" s="90">
        <f t="shared" si="154"/>
        <v>2050000</v>
      </c>
      <c r="AV179" s="90">
        <f t="shared" si="154"/>
        <v>2152500</v>
      </c>
      <c r="AW179" s="90">
        <f t="shared" si="154"/>
        <v>2255000</v>
      </c>
      <c r="AX179" s="90">
        <f t="shared" si="154"/>
        <v>2357500</v>
      </c>
      <c r="AY179" s="90">
        <f t="shared" si="154"/>
        <v>2460000</v>
      </c>
      <c r="AZ179" s="90">
        <f t="shared" si="154"/>
        <v>2562500</v>
      </c>
      <c r="BA179" s="90">
        <f t="shared" si="154"/>
        <v>2665000</v>
      </c>
      <c r="BB179" s="90">
        <f t="shared" si="154"/>
        <v>2767500</v>
      </c>
      <c r="BC179" s="90">
        <f t="shared" si="154"/>
        <v>2870000</v>
      </c>
      <c r="BD179" s="90">
        <f t="shared" si="154"/>
        <v>2972500</v>
      </c>
      <c r="BE179" s="90">
        <f t="shared" si="154"/>
        <v>3075000</v>
      </c>
      <c r="BF179" s="90">
        <f t="shared" si="154"/>
        <v>3177500</v>
      </c>
      <c r="BG179" s="90">
        <f t="shared" si="154"/>
        <v>3280000</v>
      </c>
      <c r="BH179" s="90">
        <f t="shared" si="154"/>
        <v>3382500</v>
      </c>
      <c r="BI179" s="90">
        <f t="shared" si="154"/>
        <v>4612500</v>
      </c>
      <c r="BJ179" s="90">
        <f t="shared" ref="BJ179:BO179" si="155">BI179+BJ163</f>
        <v>5842500</v>
      </c>
      <c r="BK179" s="90">
        <f t="shared" si="155"/>
        <v>6150000</v>
      </c>
      <c r="BL179" s="90">
        <f t="shared" si="155"/>
        <v>6150000</v>
      </c>
      <c r="BM179" s="90">
        <f t="shared" si="155"/>
        <v>6150000</v>
      </c>
      <c r="BN179" s="90">
        <f t="shared" si="155"/>
        <v>6150000</v>
      </c>
      <c r="BO179" s="90">
        <f t="shared" si="155"/>
        <v>6150000</v>
      </c>
    </row>
    <row r="180" spans="1:67">
      <c r="A180" s="11"/>
      <c r="B180" s="11" t="s">
        <v>324</v>
      </c>
      <c r="C180" s="11"/>
      <c r="D180" s="11"/>
      <c r="E180" s="3"/>
      <c r="F180" s="3"/>
      <c r="G180" s="90">
        <f t="shared" si="136"/>
        <v>0</v>
      </c>
      <c r="H180" s="90">
        <f t="shared" si="137"/>
        <v>0</v>
      </c>
      <c r="I180" s="90">
        <f t="shared" ref="I180:BI180" si="156">H180+I164</f>
        <v>0</v>
      </c>
      <c r="J180" s="90">
        <f t="shared" si="156"/>
        <v>0</v>
      </c>
      <c r="K180" s="90">
        <f t="shared" si="156"/>
        <v>0</v>
      </c>
      <c r="L180" s="90">
        <f t="shared" si="156"/>
        <v>0</v>
      </c>
      <c r="M180" s="90">
        <f t="shared" si="156"/>
        <v>0</v>
      </c>
      <c r="N180" s="90">
        <f t="shared" si="156"/>
        <v>0</v>
      </c>
      <c r="O180" s="90">
        <f t="shared" si="156"/>
        <v>0</v>
      </c>
      <c r="P180" s="90">
        <f t="shared" si="156"/>
        <v>0</v>
      </c>
      <c r="Q180" s="90">
        <f t="shared" si="156"/>
        <v>0</v>
      </c>
      <c r="R180" s="90">
        <f t="shared" si="156"/>
        <v>0</v>
      </c>
      <c r="S180" s="90">
        <f t="shared" si="156"/>
        <v>0</v>
      </c>
      <c r="T180" s="90">
        <f t="shared" si="156"/>
        <v>0</v>
      </c>
      <c r="U180" s="90">
        <f t="shared" si="156"/>
        <v>0</v>
      </c>
      <c r="V180" s="90">
        <f t="shared" si="156"/>
        <v>0</v>
      </c>
      <c r="W180" s="90">
        <f t="shared" si="156"/>
        <v>0</v>
      </c>
      <c r="X180" s="90">
        <f t="shared" si="156"/>
        <v>0</v>
      </c>
      <c r="Y180" s="90">
        <f t="shared" si="156"/>
        <v>0</v>
      </c>
      <c r="Z180" s="90">
        <f t="shared" si="156"/>
        <v>0</v>
      </c>
      <c r="AA180" s="90">
        <f t="shared" si="156"/>
        <v>0</v>
      </c>
      <c r="AB180" s="90">
        <f t="shared" si="156"/>
        <v>1064166.6666666665</v>
      </c>
      <c r="AC180" s="90">
        <f t="shared" si="156"/>
        <v>2128333.333333333</v>
      </c>
      <c r="AD180" s="90">
        <f t="shared" si="156"/>
        <v>3192499.9999999995</v>
      </c>
      <c r="AE180" s="90">
        <f t="shared" si="156"/>
        <v>4256666.666666666</v>
      </c>
      <c r="AF180" s="90">
        <f t="shared" si="156"/>
        <v>5320833.3333333321</v>
      </c>
      <c r="AG180" s="90">
        <f t="shared" si="156"/>
        <v>6384999.9999999981</v>
      </c>
      <c r="AH180" s="90">
        <f t="shared" si="156"/>
        <v>7449166.6666666642</v>
      </c>
      <c r="AI180" s="90">
        <f t="shared" si="156"/>
        <v>8513333.3333333302</v>
      </c>
      <c r="AJ180" s="90">
        <f t="shared" si="156"/>
        <v>9577499.9999999963</v>
      </c>
      <c r="AK180" s="90">
        <f t="shared" si="156"/>
        <v>10641666.666666662</v>
      </c>
      <c r="AL180" s="90">
        <f t="shared" si="156"/>
        <v>11705833.333333328</v>
      </c>
      <c r="AM180" s="90">
        <f t="shared" si="156"/>
        <v>12769999.999999994</v>
      </c>
      <c r="AN180" s="90">
        <f t="shared" si="156"/>
        <v>13834166.66666666</v>
      </c>
      <c r="AO180" s="90">
        <f t="shared" si="156"/>
        <v>14898333.333333327</v>
      </c>
      <c r="AP180" s="90">
        <f t="shared" si="156"/>
        <v>15962499.999999993</v>
      </c>
      <c r="AQ180" s="90">
        <f t="shared" si="156"/>
        <v>17026666.66666666</v>
      </c>
      <c r="AR180" s="90">
        <f t="shared" si="156"/>
        <v>18090833.333333328</v>
      </c>
      <c r="AS180" s="90">
        <f t="shared" si="156"/>
        <v>19154999.999999996</v>
      </c>
      <c r="AT180" s="90">
        <f t="shared" si="156"/>
        <v>20219166.666666664</v>
      </c>
      <c r="AU180" s="90">
        <f t="shared" si="156"/>
        <v>21283333.333333332</v>
      </c>
      <c r="AV180" s="90">
        <f t="shared" si="156"/>
        <v>22347500</v>
      </c>
      <c r="AW180" s="90">
        <f t="shared" si="156"/>
        <v>23411666.666666668</v>
      </c>
      <c r="AX180" s="90">
        <f t="shared" si="156"/>
        <v>24475833.333333336</v>
      </c>
      <c r="AY180" s="90">
        <f t="shared" si="156"/>
        <v>25540000.000000004</v>
      </c>
      <c r="AZ180" s="90">
        <f t="shared" si="156"/>
        <v>26604166.666666672</v>
      </c>
      <c r="BA180" s="90">
        <f t="shared" si="156"/>
        <v>27668333.33333334</v>
      </c>
      <c r="BB180" s="90">
        <f t="shared" si="156"/>
        <v>28732500.000000007</v>
      </c>
      <c r="BC180" s="90">
        <f t="shared" si="156"/>
        <v>29796666.666666675</v>
      </c>
      <c r="BD180" s="90">
        <f t="shared" si="156"/>
        <v>30860833.333333343</v>
      </c>
      <c r="BE180" s="90">
        <f t="shared" si="156"/>
        <v>31925000.000000011</v>
      </c>
      <c r="BF180" s="90">
        <f t="shared" si="156"/>
        <v>32989166.666666679</v>
      </c>
      <c r="BG180" s="90">
        <f t="shared" si="156"/>
        <v>34053333.333333343</v>
      </c>
      <c r="BH180" s="90">
        <f t="shared" si="156"/>
        <v>35117500.000000007</v>
      </c>
      <c r="BI180" s="90">
        <f t="shared" si="156"/>
        <v>47887500.000000007</v>
      </c>
      <c r="BJ180" s="90">
        <f t="shared" ref="BJ180:BO180" si="157">BI180+BJ164</f>
        <v>60657500.000000007</v>
      </c>
      <c r="BK180" s="90">
        <f t="shared" si="157"/>
        <v>63850000</v>
      </c>
      <c r="BL180" s="90">
        <f t="shared" si="157"/>
        <v>63850000</v>
      </c>
      <c r="BM180" s="90">
        <f t="shared" si="157"/>
        <v>63850000</v>
      </c>
      <c r="BN180" s="90">
        <f t="shared" si="157"/>
        <v>63850000</v>
      </c>
      <c r="BO180" s="90">
        <f t="shared" si="157"/>
        <v>63850000</v>
      </c>
    </row>
    <row r="181" spans="1:67">
      <c r="A181" s="11"/>
      <c r="B181" s="11" t="s">
        <v>325</v>
      </c>
      <c r="C181" s="11"/>
      <c r="D181" s="11"/>
      <c r="E181" s="3"/>
      <c r="F181" s="3"/>
      <c r="G181" s="90">
        <f t="shared" si="136"/>
        <v>0</v>
      </c>
      <c r="H181" s="90">
        <f t="shared" si="137"/>
        <v>0</v>
      </c>
      <c r="I181" s="90">
        <f t="shared" ref="I181:BI181" si="158">H181+I165</f>
        <v>0</v>
      </c>
      <c r="J181" s="90">
        <f t="shared" si="158"/>
        <v>0</v>
      </c>
      <c r="K181" s="90">
        <f t="shared" si="158"/>
        <v>0</v>
      </c>
      <c r="L181" s="90">
        <f t="shared" si="158"/>
        <v>0</v>
      </c>
      <c r="M181" s="90">
        <f t="shared" si="158"/>
        <v>0</v>
      </c>
      <c r="N181" s="90">
        <f t="shared" si="158"/>
        <v>0</v>
      </c>
      <c r="O181" s="90">
        <f t="shared" si="158"/>
        <v>0</v>
      </c>
      <c r="P181" s="90">
        <f t="shared" si="158"/>
        <v>0</v>
      </c>
      <c r="Q181" s="90">
        <f t="shared" si="158"/>
        <v>0</v>
      </c>
      <c r="R181" s="90">
        <f t="shared" si="158"/>
        <v>0</v>
      </c>
      <c r="S181" s="90">
        <f t="shared" si="158"/>
        <v>0</v>
      </c>
      <c r="T181" s="90">
        <f t="shared" si="158"/>
        <v>0</v>
      </c>
      <c r="U181" s="90">
        <f t="shared" si="158"/>
        <v>0</v>
      </c>
      <c r="V181" s="90">
        <f t="shared" si="158"/>
        <v>0</v>
      </c>
      <c r="W181" s="90">
        <f t="shared" si="158"/>
        <v>0</v>
      </c>
      <c r="X181" s="90">
        <f t="shared" si="158"/>
        <v>0</v>
      </c>
      <c r="Y181" s="90">
        <f t="shared" si="158"/>
        <v>0</v>
      </c>
      <c r="Z181" s="90">
        <f t="shared" si="158"/>
        <v>0</v>
      </c>
      <c r="AA181" s="90">
        <f t="shared" si="158"/>
        <v>0</v>
      </c>
      <c r="AB181" s="90">
        <f t="shared" si="158"/>
        <v>52777.777777777781</v>
      </c>
      <c r="AC181" s="90">
        <f t="shared" si="158"/>
        <v>105555.55555555556</v>
      </c>
      <c r="AD181" s="90">
        <f t="shared" si="158"/>
        <v>158333.33333333334</v>
      </c>
      <c r="AE181" s="90">
        <f t="shared" si="158"/>
        <v>211111.11111111112</v>
      </c>
      <c r="AF181" s="90">
        <f t="shared" si="158"/>
        <v>263888.88888888888</v>
      </c>
      <c r="AG181" s="90">
        <f t="shared" si="158"/>
        <v>316666.66666666663</v>
      </c>
      <c r="AH181" s="90">
        <f t="shared" si="158"/>
        <v>369444.44444444438</v>
      </c>
      <c r="AI181" s="90">
        <f t="shared" si="158"/>
        <v>422222.22222222213</v>
      </c>
      <c r="AJ181" s="90">
        <f t="shared" si="158"/>
        <v>474999.99999999988</v>
      </c>
      <c r="AK181" s="90">
        <f t="shared" si="158"/>
        <v>527777.77777777764</v>
      </c>
      <c r="AL181" s="90">
        <f t="shared" si="158"/>
        <v>580555.55555555539</v>
      </c>
      <c r="AM181" s="90">
        <f t="shared" si="158"/>
        <v>633333.33333333314</v>
      </c>
      <c r="AN181" s="90">
        <f t="shared" si="158"/>
        <v>686111.11111111089</v>
      </c>
      <c r="AO181" s="90">
        <f t="shared" si="158"/>
        <v>738888.88888888864</v>
      </c>
      <c r="AP181" s="90">
        <f t="shared" si="158"/>
        <v>791666.6666666664</v>
      </c>
      <c r="AQ181" s="90">
        <f t="shared" si="158"/>
        <v>844444.44444444415</v>
      </c>
      <c r="AR181" s="90">
        <f t="shared" si="158"/>
        <v>897222.2222222219</v>
      </c>
      <c r="AS181" s="90">
        <f t="shared" si="158"/>
        <v>949999.99999999965</v>
      </c>
      <c r="AT181" s="90">
        <f t="shared" si="158"/>
        <v>1002777.7777777774</v>
      </c>
      <c r="AU181" s="90">
        <f t="shared" si="158"/>
        <v>1055555.5555555553</v>
      </c>
      <c r="AV181" s="90">
        <f t="shared" si="158"/>
        <v>1108333.333333333</v>
      </c>
      <c r="AW181" s="90">
        <f t="shared" si="158"/>
        <v>1161111.1111111108</v>
      </c>
      <c r="AX181" s="90">
        <f t="shared" si="158"/>
        <v>1213888.8888888885</v>
      </c>
      <c r="AY181" s="90">
        <f t="shared" si="158"/>
        <v>1266666.6666666663</v>
      </c>
      <c r="AZ181" s="90">
        <f t="shared" si="158"/>
        <v>1319444.444444444</v>
      </c>
      <c r="BA181" s="90">
        <f t="shared" si="158"/>
        <v>1372222.2222222218</v>
      </c>
      <c r="BB181" s="90">
        <f t="shared" si="158"/>
        <v>1424999.9999999995</v>
      </c>
      <c r="BC181" s="90">
        <f t="shared" si="158"/>
        <v>1477777.7777777773</v>
      </c>
      <c r="BD181" s="90">
        <f t="shared" si="158"/>
        <v>1530555.555555555</v>
      </c>
      <c r="BE181" s="90">
        <f t="shared" si="158"/>
        <v>1583333.3333333328</v>
      </c>
      <c r="BF181" s="90">
        <f t="shared" si="158"/>
        <v>1636111.1111111105</v>
      </c>
      <c r="BG181" s="90">
        <f t="shared" si="158"/>
        <v>1688888.8888888883</v>
      </c>
      <c r="BH181" s="90">
        <f t="shared" si="158"/>
        <v>1741666.666666666</v>
      </c>
      <c r="BI181" s="90">
        <f t="shared" si="158"/>
        <v>2374999.9999999995</v>
      </c>
      <c r="BJ181" s="90">
        <f t="shared" ref="BJ181:BO181" si="159">BI181+BJ165</f>
        <v>3008333.333333333</v>
      </c>
      <c r="BK181" s="90">
        <f t="shared" si="159"/>
        <v>3641666.6666666665</v>
      </c>
      <c r="BL181" s="90">
        <f t="shared" si="159"/>
        <v>4275000</v>
      </c>
      <c r="BM181" s="90">
        <f t="shared" si="159"/>
        <v>4908333.333333333</v>
      </c>
      <c r="BN181" s="90">
        <f t="shared" si="159"/>
        <v>5541666.666666666</v>
      </c>
      <c r="BO181" s="90">
        <f t="shared" si="159"/>
        <v>6174999.9999999991</v>
      </c>
    </row>
    <row r="182" spans="1:67">
      <c r="A182" s="11"/>
      <c r="B182" s="11" t="s">
        <v>326</v>
      </c>
      <c r="C182" s="11"/>
      <c r="D182" s="11"/>
      <c r="E182" s="3"/>
      <c r="F182" s="3"/>
      <c r="G182" s="90">
        <f t="shared" si="136"/>
        <v>0</v>
      </c>
      <c r="H182" s="90">
        <f t="shared" si="137"/>
        <v>0</v>
      </c>
      <c r="I182" s="90">
        <f t="shared" ref="I182:BI182" si="160">H182+I166</f>
        <v>0</v>
      </c>
      <c r="J182" s="90">
        <f t="shared" si="160"/>
        <v>0</v>
      </c>
      <c r="K182" s="90">
        <f t="shared" si="160"/>
        <v>0</v>
      </c>
      <c r="L182" s="90">
        <f t="shared" si="160"/>
        <v>0</v>
      </c>
      <c r="M182" s="90">
        <f t="shared" si="160"/>
        <v>0</v>
      </c>
      <c r="N182" s="90">
        <f t="shared" si="160"/>
        <v>0</v>
      </c>
      <c r="O182" s="90">
        <f t="shared" si="160"/>
        <v>0</v>
      </c>
      <c r="P182" s="90">
        <f t="shared" si="160"/>
        <v>0</v>
      </c>
      <c r="Q182" s="90">
        <f t="shared" si="160"/>
        <v>0</v>
      </c>
      <c r="R182" s="90">
        <f t="shared" si="160"/>
        <v>0</v>
      </c>
      <c r="S182" s="90">
        <f t="shared" si="160"/>
        <v>0</v>
      </c>
      <c r="T182" s="90">
        <f t="shared" si="160"/>
        <v>0</v>
      </c>
      <c r="U182" s="90">
        <f t="shared" si="160"/>
        <v>0</v>
      </c>
      <c r="V182" s="90">
        <f t="shared" si="160"/>
        <v>0</v>
      </c>
      <c r="W182" s="90">
        <f t="shared" si="160"/>
        <v>0</v>
      </c>
      <c r="X182" s="90">
        <f t="shared" si="160"/>
        <v>0</v>
      </c>
      <c r="Y182" s="90">
        <f t="shared" si="160"/>
        <v>0</v>
      </c>
      <c r="Z182" s="90">
        <f t="shared" si="160"/>
        <v>0</v>
      </c>
      <c r="AA182" s="90">
        <f t="shared" si="160"/>
        <v>0</v>
      </c>
      <c r="AB182" s="90">
        <f t="shared" si="160"/>
        <v>244444.44444444444</v>
      </c>
      <c r="AC182" s="90">
        <f t="shared" si="160"/>
        <v>488888.88888888888</v>
      </c>
      <c r="AD182" s="90">
        <f t="shared" si="160"/>
        <v>733333.33333333326</v>
      </c>
      <c r="AE182" s="90">
        <f t="shared" si="160"/>
        <v>977777.77777777775</v>
      </c>
      <c r="AF182" s="90">
        <f t="shared" si="160"/>
        <v>1222222.2222222222</v>
      </c>
      <c r="AG182" s="90">
        <f t="shared" si="160"/>
        <v>1466666.6666666667</v>
      </c>
      <c r="AH182" s="90">
        <f t="shared" si="160"/>
        <v>1711111.1111111112</v>
      </c>
      <c r="AI182" s="90">
        <f t="shared" si="160"/>
        <v>1955555.5555555557</v>
      </c>
      <c r="AJ182" s="90">
        <f t="shared" si="160"/>
        <v>2200000</v>
      </c>
      <c r="AK182" s="90">
        <f t="shared" si="160"/>
        <v>2444444.4444444445</v>
      </c>
      <c r="AL182" s="90">
        <f t="shared" si="160"/>
        <v>2688888.888888889</v>
      </c>
      <c r="AM182" s="90">
        <f t="shared" si="160"/>
        <v>2933333.3333333335</v>
      </c>
      <c r="AN182" s="90">
        <f t="shared" si="160"/>
        <v>3177777.777777778</v>
      </c>
      <c r="AO182" s="90">
        <f t="shared" si="160"/>
        <v>3422222.2222222225</v>
      </c>
      <c r="AP182" s="90">
        <f t="shared" si="160"/>
        <v>3666666.666666667</v>
      </c>
      <c r="AQ182" s="90">
        <f t="shared" si="160"/>
        <v>3911111.1111111115</v>
      </c>
      <c r="AR182" s="90">
        <f t="shared" si="160"/>
        <v>4155555.555555556</v>
      </c>
      <c r="AS182" s="90">
        <f t="shared" si="160"/>
        <v>4400000</v>
      </c>
      <c r="AT182" s="90">
        <f t="shared" si="160"/>
        <v>4644444.444444444</v>
      </c>
      <c r="AU182" s="90">
        <f t="shared" si="160"/>
        <v>4888888.8888888881</v>
      </c>
      <c r="AV182" s="90">
        <f t="shared" si="160"/>
        <v>5133333.3333333321</v>
      </c>
      <c r="AW182" s="90">
        <f t="shared" si="160"/>
        <v>5377777.7777777761</v>
      </c>
      <c r="AX182" s="90">
        <f t="shared" si="160"/>
        <v>5622222.2222222202</v>
      </c>
      <c r="AY182" s="90">
        <f t="shared" si="160"/>
        <v>5866666.6666666642</v>
      </c>
      <c r="AZ182" s="90">
        <f t="shared" si="160"/>
        <v>6111111.1111111082</v>
      </c>
      <c r="BA182" s="90">
        <f t="shared" si="160"/>
        <v>6355555.5555555522</v>
      </c>
      <c r="BB182" s="90">
        <f t="shared" si="160"/>
        <v>6599999.9999999963</v>
      </c>
      <c r="BC182" s="90">
        <f t="shared" si="160"/>
        <v>6844444.4444444403</v>
      </c>
      <c r="BD182" s="90">
        <f t="shared" si="160"/>
        <v>7088888.8888888843</v>
      </c>
      <c r="BE182" s="90">
        <f t="shared" si="160"/>
        <v>7333333.3333333284</v>
      </c>
      <c r="BF182" s="90">
        <f t="shared" si="160"/>
        <v>7577777.7777777724</v>
      </c>
      <c r="BG182" s="90">
        <f t="shared" si="160"/>
        <v>7822222.2222222164</v>
      </c>
      <c r="BH182" s="90">
        <f t="shared" si="160"/>
        <v>8066666.6666666605</v>
      </c>
      <c r="BI182" s="90">
        <f t="shared" si="160"/>
        <v>10999999.999999994</v>
      </c>
      <c r="BJ182" s="90">
        <f t="shared" ref="BJ182:BO182" si="161">BI182+BJ166</f>
        <v>13933333.333333328</v>
      </c>
      <c r="BK182" s="90">
        <f t="shared" si="161"/>
        <v>16866666.66666666</v>
      </c>
      <c r="BL182" s="90">
        <f t="shared" si="161"/>
        <v>19799999.999999993</v>
      </c>
      <c r="BM182" s="90">
        <f t="shared" si="161"/>
        <v>22733333.333333325</v>
      </c>
      <c r="BN182" s="90">
        <f t="shared" si="161"/>
        <v>25666666.666666657</v>
      </c>
      <c r="BO182" s="90">
        <f t="shared" si="161"/>
        <v>28599999.999999989</v>
      </c>
    </row>
    <row r="183" spans="1:67">
      <c r="A183" s="11"/>
      <c r="B183" s="22" t="s">
        <v>331</v>
      </c>
      <c r="C183" s="22"/>
      <c r="D183" s="11"/>
      <c r="E183" s="3"/>
      <c r="F183" s="3"/>
      <c r="G183" s="89">
        <f>SUM(G171:G182)</f>
        <v>0</v>
      </c>
      <c r="H183" s="89">
        <f t="shared" ref="H183:BI183" si="162">SUM(H171:H182)</f>
        <v>0</v>
      </c>
      <c r="I183" s="89">
        <f t="shared" si="162"/>
        <v>0</v>
      </c>
      <c r="J183" s="89">
        <f t="shared" si="162"/>
        <v>0</v>
      </c>
      <c r="K183" s="89">
        <f t="shared" si="162"/>
        <v>0</v>
      </c>
      <c r="L183" s="89">
        <f t="shared" si="162"/>
        <v>0</v>
      </c>
      <c r="M183" s="89">
        <f t="shared" si="162"/>
        <v>0</v>
      </c>
      <c r="N183" s="89">
        <f t="shared" si="162"/>
        <v>0</v>
      </c>
      <c r="O183" s="89">
        <f t="shared" si="162"/>
        <v>0</v>
      </c>
      <c r="P183" s="89">
        <f t="shared" si="162"/>
        <v>0</v>
      </c>
      <c r="Q183" s="89">
        <f t="shared" si="162"/>
        <v>0</v>
      </c>
      <c r="R183" s="89">
        <f t="shared" si="162"/>
        <v>0</v>
      </c>
      <c r="S183" s="89">
        <f t="shared" si="162"/>
        <v>0</v>
      </c>
      <c r="T183" s="89">
        <f t="shared" si="162"/>
        <v>0</v>
      </c>
      <c r="U183" s="89">
        <f t="shared" si="162"/>
        <v>0</v>
      </c>
      <c r="V183" s="89">
        <f t="shared" si="162"/>
        <v>0</v>
      </c>
      <c r="W183" s="89">
        <f t="shared" si="162"/>
        <v>0</v>
      </c>
      <c r="X183" s="89">
        <f t="shared" si="162"/>
        <v>0</v>
      </c>
      <c r="Y183" s="89">
        <f t="shared" si="162"/>
        <v>0</v>
      </c>
      <c r="Z183" s="89">
        <f t="shared" si="162"/>
        <v>0</v>
      </c>
      <c r="AA183" s="89">
        <f t="shared" si="162"/>
        <v>0</v>
      </c>
      <c r="AB183" s="89">
        <f t="shared" si="162"/>
        <v>9564374.9999999981</v>
      </c>
      <c r="AC183" s="89">
        <f t="shared" si="162"/>
        <v>19138819.44444444</v>
      </c>
      <c r="AD183" s="89">
        <f t="shared" si="162"/>
        <v>28723333.333333328</v>
      </c>
      <c r="AE183" s="89">
        <f t="shared" si="162"/>
        <v>38317916.666666664</v>
      </c>
      <c r="AF183" s="89">
        <f t="shared" si="162"/>
        <v>47922569.44444444</v>
      </c>
      <c r="AG183" s="89">
        <f t="shared" si="162"/>
        <v>57537291.666666657</v>
      </c>
      <c r="AH183" s="89">
        <f t="shared" si="162"/>
        <v>67162083.333333328</v>
      </c>
      <c r="AI183" s="89">
        <f t="shared" si="162"/>
        <v>76796944.444444448</v>
      </c>
      <c r="AJ183" s="89">
        <f t="shared" si="162"/>
        <v>86441875</v>
      </c>
      <c r="AK183" s="89">
        <f t="shared" si="162"/>
        <v>96096874.999999985</v>
      </c>
      <c r="AL183" s="89">
        <f t="shared" si="162"/>
        <v>105761944.44444443</v>
      </c>
      <c r="AM183" s="89">
        <f t="shared" si="162"/>
        <v>115437083.33333333</v>
      </c>
      <c r="AN183" s="89">
        <f t="shared" si="162"/>
        <v>125122291.66666666</v>
      </c>
      <c r="AO183" s="89">
        <f t="shared" si="162"/>
        <v>134817569.44444445</v>
      </c>
      <c r="AP183" s="89">
        <f t="shared" si="162"/>
        <v>144522916.66666663</v>
      </c>
      <c r="AQ183" s="89">
        <f t="shared" si="162"/>
        <v>154238333.33333334</v>
      </c>
      <c r="AR183" s="89">
        <f t="shared" si="162"/>
        <v>163963819.44444439</v>
      </c>
      <c r="AS183" s="89">
        <f t="shared" si="162"/>
        <v>173699375</v>
      </c>
      <c r="AT183" s="89">
        <f t="shared" si="162"/>
        <v>183445000</v>
      </c>
      <c r="AU183" s="89">
        <f t="shared" si="162"/>
        <v>193200694.44444442</v>
      </c>
      <c r="AV183" s="89">
        <f t="shared" si="162"/>
        <v>202966458.33333334</v>
      </c>
      <c r="AW183" s="89">
        <f t="shared" si="162"/>
        <v>212742291.66666663</v>
      </c>
      <c r="AX183" s="89">
        <f t="shared" si="162"/>
        <v>222528194.44444445</v>
      </c>
      <c r="AY183" s="89">
        <f t="shared" si="162"/>
        <v>232324166.66666663</v>
      </c>
      <c r="AZ183" s="89">
        <f t="shared" si="162"/>
        <v>242130208.33333328</v>
      </c>
      <c r="BA183" s="89">
        <f t="shared" si="162"/>
        <v>251946319.44444445</v>
      </c>
      <c r="BB183" s="89">
        <f t="shared" si="162"/>
        <v>261772500</v>
      </c>
      <c r="BC183" s="89">
        <f t="shared" si="162"/>
        <v>271608750</v>
      </c>
      <c r="BD183" s="89">
        <f t="shared" si="162"/>
        <v>281455069.44444448</v>
      </c>
      <c r="BE183" s="89">
        <f t="shared" si="162"/>
        <v>291311458.33333325</v>
      </c>
      <c r="BF183" s="89">
        <f t="shared" si="162"/>
        <v>301177916.66666663</v>
      </c>
      <c r="BG183" s="89">
        <f t="shared" si="162"/>
        <v>311054444.44444448</v>
      </c>
      <c r="BH183" s="89">
        <f t="shared" si="162"/>
        <v>320941041.66666669</v>
      </c>
      <c r="BI183" s="89">
        <f t="shared" si="162"/>
        <v>441030208.33333331</v>
      </c>
      <c r="BJ183" s="89">
        <f t="shared" ref="BJ183" si="163">SUM(BJ171:BJ182)</f>
        <v>562569375.00000012</v>
      </c>
      <c r="BK183" s="89">
        <f t="shared" ref="BK183" si="164">SUM(BK171:BK182)</f>
        <v>673258541.66666651</v>
      </c>
      <c r="BL183" s="89">
        <f t="shared" ref="BL183" si="165">SUM(BL171:BL182)</f>
        <v>781297708.33333325</v>
      </c>
      <c r="BM183" s="89">
        <f t="shared" ref="BM183" si="166">SUM(BM171:BM182)</f>
        <v>890786875</v>
      </c>
      <c r="BN183" s="89">
        <f t="shared" ref="BN183" si="167">SUM(BN171:BN182)</f>
        <v>1001726041.6666665</v>
      </c>
      <c r="BO183" s="89">
        <f t="shared" ref="BO183" si="168">SUM(BO171:BO182)</f>
        <v>1114115208.3333333</v>
      </c>
    </row>
    <row r="184" spans="1:67">
      <c r="A184" s="20"/>
      <c r="B184" s="20"/>
      <c r="C184" s="20"/>
      <c r="D184" s="20"/>
      <c r="E184" s="20"/>
      <c r="F184" s="20"/>
      <c r="G184" s="20"/>
      <c r="H184" s="20"/>
      <c r="I184" s="20"/>
      <c r="J184" s="20"/>
      <c r="K184" s="20"/>
      <c r="L184" s="20"/>
      <c r="M184" s="20"/>
      <c r="N184" s="20"/>
      <c r="O184" s="20"/>
      <c r="P184" s="20"/>
      <c r="Q184" s="20"/>
      <c r="R184" s="20"/>
      <c r="S184" s="20"/>
      <c r="T184" s="20"/>
      <c r="U184" s="20"/>
      <c r="V184" s="20"/>
      <c r="W184" s="20"/>
      <c r="X184" s="20"/>
      <c r="Y184" s="20"/>
      <c r="Z184" s="20"/>
      <c r="AA184" s="20"/>
      <c r="AB184" s="20"/>
      <c r="AC184" s="20"/>
      <c r="AD184" s="20"/>
      <c r="AE184" s="20"/>
      <c r="AF184" s="20"/>
      <c r="AG184" s="20"/>
      <c r="AH184" s="20"/>
      <c r="AI184" s="20"/>
      <c r="AJ184" s="20"/>
      <c r="AK184" s="20"/>
      <c r="AL184" s="20"/>
      <c r="AM184" s="20"/>
      <c r="AN184" s="20"/>
      <c r="AO184" s="20"/>
      <c r="AP184" s="20"/>
      <c r="AQ184" s="20"/>
      <c r="AR184" s="20"/>
      <c r="AS184" s="20"/>
      <c r="AT184" s="20"/>
      <c r="AU184" s="20"/>
      <c r="AV184" s="20"/>
      <c r="AW184" s="20"/>
      <c r="AX184" s="20"/>
      <c r="AY184" s="20"/>
      <c r="AZ184" s="20"/>
      <c r="BA184" s="20"/>
      <c r="BB184" s="20"/>
      <c r="BC184" s="20"/>
      <c r="BD184" s="20"/>
      <c r="BE184" s="20"/>
      <c r="BF184" s="20"/>
      <c r="BG184" s="20"/>
      <c r="BH184" s="20"/>
      <c r="BI184" s="20"/>
      <c r="BJ184" s="20"/>
      <c r="BK184" s="20"/>
      <c r="BL184" s="20"/>
      <c r="BM184" s="20"/>
      <c r="BN184" s="20"/>
      <c r="BO184" s="20"/>
    </row>
    <row r="185" spans="1:67">
      <c r="A185" s="18" t="s">
        <v>1760</v>
      </c>
      <c r="B185" s="18"/>
      <c r="C185" s="18"/>
      <c r="D185" s="18"/>
      <c r="E185" s="40"/>
      <c r="F185" s="40"/>
      <c r="G185" s="40"/>
      <c r="H185" s="40"/>
      <c r="I185" s="40"/>
      <c r="J185" s="40"/>
      <c r="K185" s="40"/>
      <c r="L185" s="40"/>
      <c r="M185" s="40"/>
      <c r="N185" s="40"/>
      <c r="O185" s="40"/>
      <c r="P185" s="40"/>
      <c r="Q185" s="40"/>
      <c r="R185" s="40"/>
      <c r="S185" s="40"/>
      <c r="T185" s="40"/>
      <c r="U185" s="40"/>
      <c r="V185" s="40"/>
      <c r="W185" s="40"/>
      <c r="X185" s="40"/>
      <c r="Y185" s="40"/>
      <c r="Z185" s="40"/>
      <c r="AA185" s="40"/>
      <c r="AB185" s="40"/>
      <c r="AC185" s="40"/>
      <c r="AD185" s="40"/>
      <c r="AE185" s="40"/>
      <c r="AF185" s="40"/>
      <c r="AG185" s="40"/>
      <c r="AH185" s="40"/>
      <c r="AI185" s="40"/>
      <c r="AJ185" s="40"/>
      <c r="AK185" s="40"/>
      <c r="AL185" s="40"/>
      <c r="AM185" s="40"/>
      <c r="AN185" s="40"/>
      <c r="AO185" s="40"/>
      <c r="AP185" s="40"/>
      <c r="AQ185" s="40"/>
      <c r="AR185" s="40"/>
      <c r="AS185" s="40"/>
      <c r="AT185" s="40"/>
      <c r="AU185" s="40"/>
      <c r="AV185" s="40"/>
      <c r="AW185" s="40"/>
      <c r="AX185" s="40"/>
      <c r="AY185" s="40"/>
      <c r="AZ185" s="40"/>
      <c r="BA185" s="40"/>
      <c r="BB185" s="40"/>
      <c r="BC185" s="40"/>
      <c r="BD185" s="40"/>
      <c r="BE185" s="40"/>
      <c r="BF185" s="40"/>
      <c r="BG185" s="40"/>
      <c r="BH185" s="40"/>
      <c r="BI185" s="40"/>
      <c r="BJ185" s="40"/>
      <c r="BK185" s="40"/>
      <c r="BL185" s="40"/>
      <c r="BM185" s="40"/>
      <c r="BN185" s="40"/>
      <c r="BO185" s="40"/>
    </row>
    <row r="186" spans="1:67">
      <c r="A186" s="11"/>
      <c r="B186" s="11"/>
      <c r="C186" s="11"/>
      <c r="D186" s="11"/>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c r="AN186" s="3"/>
      <c r="AO186" s="3"/>
      <c r="AP186" s="3"/>
      <c r="AQ186" s="3"/>
      <c r="AR186" s="3"/>
      <c r="AS186" s="3"/>
      <c r="AT186" s="3"/>
      <c r="AU186" s="3"/>
      <c r="AV186" s="3"/>
      <c r="AW186" s="3"/>
      <c r="AX186" s="3"/>
      <c r="AY186" s="3"/>
      <c r="AZ186" s="3"/>
      <c r="BA186" s="3"/>
      <c r="BB186" s="3"/>
      <c r="BC186" s="3"/>
      <c r="BD186" s="3"/>
      <c r="BE186" s="3"/>
      <c r="BF186" s="3"/>
      <c r="BG186" s="3"/>
      <c r="BH186" s="3"/>
      <c r="BI186" s="3"/>
      <c r="BJ186" s="3"/>
      <c r="BK186" s="3"/>
      <c r="BL186" s="3"/>
      <c r="BM186" s="3"/>
      <c r="BN186" s="3"/>
      <c r="BO186" s="3"/>
    </row>
    <row r="187" spans="1:67">
      <c r="A187" s="11"/>
      <c r="B187" s="11" t="s">
        <v>191</v>
      </c>
      <c r="C187" s="11"/>
      <c r="D187" s="11"/>
      <c r="E187" s="3"/>
      <c r="F187" s="3"/>
      <c r="G187" s="90">
        <f t="shared" ref="G187:G198" si="169">G139-G171</f>
        <v>1680000</v>
      </c>
      <c r="H187" s="90">
        <f t="shared" ref="H187:BI187" si="170">H139-H171</f>
        <v>3360000</v>
      </c>
      <c r="I187" s="90">
        <f t="shared" si="170"/>
        <v>5040000</v>
      </c>
      <c r="J187" s="90">
        <f t="shared" si="170"/>
        <v>6510000</v>
      </c>
      <c r="K187" s="90">
        <f t="shared" si="170"/>
        <v>7980000</v>
      </c>
      <c r="L187" s="90">
        <f t="shared" si="170"/>
        <v>9450000</v>
      </c>
      <c r="M187" s="90">
        <f t="shared" si="170"/>
        <v>10920000</v>
      </c>
      <c r="N187" s="90">
        <f t="shared" si="170"/>
        <v>12390000</v>
      </c>
      <c r="O187" s="90">
        <f t="shared" si="170"/>
        <v>13860000</v>
      </c>
      <c r="P187" s="90">
        <f t="shared" si="170"/>
        <v>14455000</v>
      </c>
      <c r="Q187" s="90">
        <f t="shared" si="170"/>
        <v>15050000</v>
      </c>
      <c r="R187" s="90">
        <f t="shared" si="170"/>
        <v>15645000</v>
      </c>
      <c r="S187" s="90">
        <f t="shared" si="170"/>
        <v>16240000</v>
      </c>
      <c r="T187" s="90">
        <f t="shared" si="170"/>
        <v>16835000</v>
      </c>
      <c r="U187" s="90">
        <f t="shared" si="170"/>
        <v>17430000</v>
      </c>
      <c r="V187" s="90">
        <f t="shared" si="170"/>
        <v>18025000</v>
      </c>
      <c r="W187" s="90">
        <f t="shared" si="170"/>
        <v>18620000</v>
      </c>
      <c r="X187" s="90">
        <f t="shared" si="170"/>
        <v>19215000</v>
      </c>
      <c r="Y187" s="90">
        <f t="shared" si="170"/>
        <v>19810000</v>
      </c>
      <c r="Z187" s="90">
        <f t="shared" si="170"/>
        <v>20405000</v>
      </c>
      <c r="AA187" s="90">
        <f t="shared" si="170"/>
        <v>21000000</v>
      </c>
      <c r="AB187" s="90">
        <f t="shared" si="170"/>
        <v>20912500</v>
      </c>
      <c r="AC187" s="90">
        <f t="shared" si="170"/>
        <v>20825000</v>
      </c>
      <c r="AD187" s="90">
        <f t="shared" si="170"/>
        <v>20737500</v>
      </c>
      <c r="AE187" s="90">
        <f t="shared" si="170"/>
        <v>20650000</v>
      </c>
      <c r="AF187" s="90">
        <f t="shared" si="170"/>
        <v>20562500</v>
      </c>
      <c r="AG187" s="90">
        <f t="shared" si="170"/>
        <v>20475000</v>
      </c>
      <c r="AH187" s="90">
        <f t="shared" si="170"/>
        <v>20387500</v>
      </c>
      <c r="AI187" s="90">
        <f t="shared" si="170"/>
        <v>20300000</v>
      </c>
      <c r="AJ187" s="90">
        <f t="shared" si="170"/>
        <v>20212500</v>
      </c>
      <c r="AK187" s="90">
        <f t="shared" si="170"/>
        <v>20125000</v>
      </c>
      <c r="AL187" s="90">
        <f t="shared" si="170"/>
        <v>20037500</v>
      </c>
      <c r="AM187" s="90">
        <f t="shared" si="170"/>
        <v>19950000</v>
      </c>
      <c r="AN187" s="90">
        <f t="shared" si="170"/>
        <v>19862500</v>
      </c>
      <c r="AO187" s="90">
        <f t="shared" si="170"/>
        <v>19775000</v>
      </c>
      <c r="AP187" s="90">
        <f t="shared" si="170"/>
        <v>19687500</v>
      </c>
      <c r="AQ187" s="90">
        <f t="shared" si="170"/>
        <v>19600000</v>
      </c>
      <c r="AR187" s="90">
        <f t="shared" si="170"/>
        <v>19512500</v>
      </c>
      <c r="AS187" s="90">
        <f t="shared" si="170"/>
        <v>19425000</v>
      </c>
      <c r="AT187" s="90">
        <f t="shared" si="170"/>
        <v>19337500</v>
      </c>
      <c r="AU187" s="90">
        <f t="shared" si="170"/>
        <v>19250000</v>
      </c>
      <c r="AV187" s="90">
        <f t="shared" si="170"/>
        <v>19162500</v>
      </c>
      <c r="AW187" s="90">
        <f t="shared" si="170"/>
        <v>19075000</v>
      </c>
      <c r="AX187" s="90">
        <f t="shared" si="170"/>
        <v>18987500</v>
      </c>
      <c r="AY187" s="90">
        <f t="shared" si="170"/>
        <v>18900000</v>
      </c>
      <c r="AZ187" s="90">
        <f t="shared" si="170"/>
        <v>18812500</v>
      </c>
      <c r="BA187" s="90">
        <f t="shared" si="170"/>
        <v>18725000</v>
      </c>
      <c r="BB187" s="90">
        <f t="shared" si="170"/>
        <v>18637500</v>
      </c>
      <c r="BC187" s="90">
        <f t="shared" si="170"/>
        <v>18550000</v>
      </c>
      <c r="BD187" s="90">
        <f t="shared" si="170"/>
        <v>18462500</v>
      </c>
      <c r="BE187" s="90">
        <f t="shared" si="170"/>
        <v>18375000</v>
      </c>
      <c r="BF187" s="90">
        <f t="shared" si="170"/>
        <v>18287500</v>
      </c>
      <c r="BG187" s="90">
        <f t="shared" si="170"/>
        <v>18200000</v>
      </c>
      <c r="BH187" s="90">
        <f t="shared" si="170"/>
        <v>18112500</v>
      </c>
      <c r="BI187" s="90">
        <f t="shared" si="170"/>
        <v>17062500</v>
      </c>
      <c r="BJ187" s="90">
        <f t="shared" ref="BJ187:BO187" si="171">BJ139-BJ171</f>
        <v>16012500</v>
      </c>
      <c r="BK187" s="90">
        <f t="shared" si="171"/>
        <v>14962500</v>
      </c>
      <c r="BL187" s="90">
        <f t="shared" si="171"/>
        <v>13912500</v>
      </c>
      <c r="BM187" s="90">
        <f t="shared" si="171"/>
        <v>12862500</v>
      </c>
      <c r="BN187" s="90">
        <f t="shared" si="171"/>
        <v>11812500</v>
      </c>
      <c r="BO187" s="90">
        <f t="shared" si="171"/>
        <v>10762500</v>
      </c>
    </row>
    <row r="188" spans="1:67">
      <c r="A188" s="11"/>
      <c r="B188" s="11" t="s">
        <v>192</v>
      </c>
      <c r="C188" s="11"/>
      <c r="D188" s="11"/>
      <c r="E188" s="3"/>
      <c r="F188" s="3"/>
      <c r="G188" s="90">
        <f t="shared" si="169"/>
        <v>0</v>
      </c>
      <c r="H188" s="90">
        <f t="shared" ref="H188:BI188" si="172">H140-H172</f>
        <v>0</v>
      </c>
      <c r="I188" s="90">
        <f t="shared" si="172"/>
        <v>0</v>
      </c>
      <c r="J188" s="90">
        <f t="shared" si="172"/>
        <v>0</v>
      </c>
      <c r="K188" s="90">
        <f t="shared" si="172"/>
        <v>0</v>
      </c>
      <c r="L188" s="90">
        <f t="shared" si="172"/>
        <v>0</v>
      </c>
      <c r="M188" s="90">
        <f t="shared" si="172"/>
        <v>0</v>
      </c>
      <c r="N188" s="90">
        <f t="shared" si="172"/>
        <v>0</v>
      </c>
      <c r="O188" s="90">
        <f t="shared" si="172"/>
        <v>0</v>
      </c>
      <c r="P188" s="90">
        <f t="shared" si="172"/>
        <v>22724999.999999996</v>
      </c>
      <c r="Q188" s="90">
        <f t="shared" si="172"/>
        <v>45449999.999999993</v>
      </c>
      <c r="R188" s="90">
        <f t="shared" si="172"/>
        <v>68174999.999999985</v>
      </c>
      <c r="S188" s="90">
        <f t="shared" si="172"/>
        <v>90899999.999999985</v>
      </c>
      <c r="T188" s="90">
        <f t="shared" si="172"/>
        <v>113624999.99999999</v>
      </c>
      <c r="U188" s="90">
        <f t="shared" si="172"/>
        <v>136349999.99999997</v>
      </c>
      <c r="V188" s="90">
        <f t="shared" si="172"/>
        <v>159074999.99999997</v>
      </c>
      <c r="W188" s="90">
        <f t="shared" si="172"/>
        <v>181799999.99999997</v>
      </c>
      <c r="X188" s="90">
        <f t="shared" si="172"/>
        <v>204524999.99999997</v>
      </c>
      <c r="Y188" s="90">
        <f t="shared" si="172"/>
        <v>227249999.99999997</v>
      </c>
      <c r="Z188" s="90">
        <f t="shared" si="172"/>
        <v>249974999.99999997</v>
      </c>
      <c r="AA188" s="90">
        <f t="shared" si="172"/>
        <v>272699999.99999994</v>
      </c>
      <c r="AB188" s="90">
        <f t="shared" si="172"/>
        <v>271563749.99999994</v>
      </c>
      <c r="AC188" s="90">
        <f t="shared" si="172"/>
        <v>270427499.99999994</v>
      </c>
      <c r="AD188" s="90">
        <f t="shared" si="172"/>
        <v>269291249.99999994</v>
      </c>
      <c r="AE188" s="90">
        <f t="shared" si="172"/>
        <v>268154999.99999994</v>
      </c>
      <c r="AF188" s="90">
        <f t="shared" si="172"/>
        <v>267018749.99999994</v>
      </c>
      <c r="AG188" s="90">
        <f t="shared" si="172"/>
        <v>265882499.99999994</v>
      </c>
      <c r="AH188" s="90">
        <f t="shared" si="172"/>
        <v>264746249.99999994</v>
      </c>
      <c r="AI188" s="90">
        <f t="shared" si="172"/>
        <v>263609999.99999994</v>
      </c>
      <c r="AJ188" s="90">
        <f t="shared" si="172"/>
        <v>262473749.99999994</v>
      </c>
      <c r="AK188" s="90">
        <f t="shared" si="172"/>
        <v>261337499.99999994</v>
      </c>
      <c r="AL188" s="90">
        <f t="shared" si="172"/>
        <v>260201249.99999994</v>
      </c>
      <c r="AM188" s="90">
        <f t="shared" si="172"/>
        <v>259064999.99999994</v>
      </c>
      <c r="AN188" s="90">
        <f t="shared" si="172"/>
        <v>257928749.99999994</v>
      </c>
      <c r="AO188" s="90">
        <f t="shared" si="172"/>
        <v>256792499.99999994</v>
      </c>
      <c r="AP188" s="90">
        <f t="shared" si="172"/>
        <v>255656249.99999994</v>
      </c>
      <c r="AQ188" s="90">
        <f t="shared" si="172"/>
        <v>254519999.99999994</v>
      </c>
      <c r="AR188" s="90">
        <f t="shared" si="172"/>
        <v>253383749.99999994</v>
      </c>
      <c r="AS188" s="90">
        <f t="shared" si="172"/>
        <v>252247499.99999994</v>
      </c>
      <c r="AT188" s="90">
        <f t="shared" si="172"/>
        <v>251111249.99999994</v>
      </c>
      <c r="AU188" s="90">
        <f t="shared" si="172"/>
        <v>249974999.99999994</v>
      </c>
      <c r="AV188" s="90">
        <f t="shared" si="172"/>
        <v>248838749.99999994</v>
      </c>
      <c r="AW188" s="90">
        <f t="shared" si="172"/>
        <v>247702499.99999994</v>
      </c>
      <c r="AX188" s="90">
        <f t="shared" si="172"/>
        <v>246566249.99999994</v>
      </c>
      <c r="AY188" s="90">
        <f t="shared" si="172"/>
        <v>245429999.99999994</v>
      </c>
      <c r="AZ188" s="90">
        <f t="shared" si="172"/>
        <v>244293749.99999994</v>
      </c>
      <c r="BA188" s="90">
        <f t="shared" si="172"/>
        <v>243157499.99999994</v>
      </c>
      <c r="BB188" s="90">
        <f t="shared" si="172"/>
        <v>242021249.99999994</v>
      </c>
      <c r="BC188" s="90">
        <f t="shared" si="172"/>
        <v>240884999.99999994</v>
      </c>
      <c r="BD188" s="90">
        <f t="shared" si="172"/>
        <v>239748749.99999994</v>
      </c>
      <c r="BE188" s="90">
        <f t="shared" si="172"/>
        <v>238612499.99999994</v>
      </c>
      <c r="BF188" s="90">
        <f t="shared" si="172"/>
        <v>237476249.99999994</v>
      </c>
      <c r="BG188" s="90">
        <f t="shared" si="172"/>
        <v>236339999.99999994</v>
      </c>
      <c r="BH188" s="90">
        <f t="shared" si="172"/>
        <v>235203749.99999994</v>
      </c>
      <c r="BI188" s="90">
        <f t="shared" si="172"/>
        <v>221568749.99999994</v>
      </c>
      <c r="BJ188" s="90">
        <f t="shared" ref="BJ188:BO188" si="173">BJ140-BJ172</f>
        <v>207933749.99999994</v>
      </c>
      <c r="BK188" s="90">
        <f t="shared" si="173"/>
        <v>194298749.99999994</v>
      </c>
      <c r="BL188" s="90">
        <f t="shared" si="173"/>
        <v>180663749.99999994</v>
      </c>
      <c r="BM188" s="90">
        <f t="shared" si="173"/>
        <v>167028749.99999994</v>
      </c>
      <c r="BN188" s="90">
        <f t="shared" si="173"/>
        <v>153393749.99999994</v>
      </c>
      <c r="BO188" s="90">
        <f t="shared" si="173"/>
        <v>139758749.99999994</v>
      </c>
    </row>
    <row r="189" spans="1:67">
      <c r="A189" s="11"/>
      <c r="B189" s="11" t="s">
        <v>322</v>
      </c>
      <c r="C189" s="11"/>
      <c r="D189" s="11"/>
      <c r="E189" s="3"/>
      <c r="F189" s="3"/>
      <c r="G189" s="90">
        <f t="shared" si="169"/>
        <v>14480000</v>
      </c>
      <c r="H189" s="90">
        <f t="shared" ref="H189:BI189" si="174">H141-H173</f>
        <v>28960000</v>
      </c>
      <c r="I189" s="90">
        <f t="shared" si="174"/>
        <v>43440000</v>
      </c>
      <c r="J189" s="90">
        <f t="shared" si="174"/>
        <v>191710000</v>
      </c>
      <c r="K189" s="90">
        <f t="shared" si="174"/>
        <v>222991764.70588234</v>
      </c>
      <c r="L189" s="90">
        <f t="shared" si="174"/>
        <v>254273529.41176468</v>
      </c>
      <c r="M189" s="90">
        <f t="shared" si="174"/>
        <v>285555294.11764705</v>
      </c>
      <c r="N189" s="90">
        <f t="shared" si="174"/>
        <v>316837058.82352942</v>
      </c>
      <c r="O189" s="90">
        <f t="shared" si="174"/>
        <v>348118823.52941179</v>
      </c>
      <c r="P189" s="90">
        <f t="shared" si="174"/>
        <v>371858921.56862748</v>
      </c>
      <c r="Q189" s="90">
        <f t="shared" si="174"/>
        <v>395599019.60784316</v>
      </c>
      <c r="R189" s="90">
        <f t="shared" si="174"/>
        <v>419339117.64705884</v>
      </c>
      <c r="S189" s="90">
        <f t="shared" si="174"/>
        <v>443079215.68627453</v>
      </c>
      <c r="T189" s="90">
        <f t="shared" si="174"/>
        <v>466819313.72549021</v>
      </c>
      <c r="U189" s="90">
        <f t="shared" si="174"/>
        <v>490559411.7647059</v>
      </c>
      <c r="V189" s="90">
        <f t="shared" si="174"/>
        <v>514299509.80392158</v>
      </c>
      <c r="W189" s="90">
        <f t="shared" si="174"/>
        <v>538039607.84313726</v>
      </c>
      <c r="X189" s="90">
        <f t="shared" si="174"/>
        <v>561779705.88235295</v>
      </c>
      <c r="Y189" s="90">
        <f t="shared" si="174"/>
        <v>585519803.92156863</v>
      </c>
      <c r="Z189" s="90">
        <f t="shared" si="174"/>
        <v>609259901.96078432</v>
      </c>
      <c r="AA189" s="90">
        <f t="shared" si="174"/>
        <v>633000000</v>
      </c>
      <c r="AB189" s="90">
        <f t="shared" si="174"/>
        <v>631285763.88888884</v>
      </c>
      <c r="AC189" s="90">
        <f t="shared" si="174"/>
        <v>629561458.33333337</v>
      </c>
      <c r="AD189" s="90">
        <f t="shared" si="174"/>
        <v>627827083.33333337</v>
      </c>
      <c r="AE189" s="90">
        <f t="shared" si="174"/>
        <v>626082638.88888884</v>
      </c>
      <c r="AF189" s="90">
        <f t="shared" si="174"/>
        <v>624328125</v>
      </c>
      <c r="AG189" s="90">
        <f t="shared" si="174"/>
        <v>622563541.66666663</v>
      </c>
      <c r="AH189" s="90">
        <f t="shared" si="174"/>
        <v>620788888.88888884</v>
      </c>
      <c r="AI189" s="90">
        <f t="shared" si="174"/>
        <v>619004166.66666663</v>
      </c>
      <c r="AJ189" s="90">
        <f t="shared" si="174"/>
        <v>617209375</v>
      </c>
      <c r="AK189" s="90">
        <f t="shared" si="174"/>
        <v>615404513.88888884</v>
      </c>
      <c r="AL189" s="90">
        <f t="shared" si="174"/>
        <v>613589583.33333337</v>
      </c>
      <c r="AM189" s="90">
        <f t="shared" si="174"/>
        <v>611764583.33333337</v>
      </c>
      <c r="AN189" s="90">
        <f t="shared" si="174"/>
        <v>609929513.88888884</v>
      </c>
      <c r="AO189" s="90">
        <f t="shared" si="174"/>
        <v>608084375</v>
      </c>
      <c r="AP189" s="90">
        <f t="shared" si="174"/>
        <v>606229166.66666663</v>
      </c>
      <c r="AQ189" s="90">
        <f t="shared" si="174"/>
        <v>604363888.88888884</v>
      </c>
      <c r="AR189" s="90">
        <f t="shared" si="174"/>
        <v>602488541.66666663</v>
      </c>
      <c r="AS189" s="90">
        <f t="shared" si="174"/>
        <v>600603125</v>
      </c>
      <c r="AT189" s="90">
        <f t="shared" si="174"/>
        <v>598707638.88888884</v>
      </c>
      <c r="AU189" s="90">
        <f t="shared" si="174"/>
        <v>596802083.33333337</v>
      </c>
      <c r="AV189" s="90">
        <f t="shared" si="174"/>
        <v>594886458.33333337</v>
      </c>
      <c r="AW189" s="90">
        <f t="shared" si="174"/>
        <v>592960763.88888884</v>
      </c>
      <c r="AX189" s="90">
        <f t="shared" si="174"/>
        <v>591025000</v>
      </c>
      <c r="AY189" s="90">
        <f t="shared" si="174"/>
        <v>589079166.66666663</v>
      </c>
      <c r="AZ189" s="90">
        <f t="shared" si="174"/>
        <v>587123263.88888884</v>
      </c>
      <c r="BA189" s="90">
        <f t="shared" si="174"/>
        <v>585157291.66666663</v>
      </c>
      <c r="BB189" s="90">
        <f t="shared" si="174"/>
        <v>583181250</v>
      </c>
      <c r="BC189" s="90">
        <f t="shared" si="174"/>
        <v>581195138.88888884</v>
      </c>
      <c r="BD189" s="90">
        <f t="shared" si="174"/>
        <v>579198958.33333337</v>
      </c>
      <c r="BE189" s="90">
        <f t="shared" si="174"/>
        <v>577192708.33333337</v>
      </c>
      <c r="BF189" s="90">
        <f t="shared" si="174"/>
        <v>575176388.88888884</v>
      </c>
      <c r="BG189" s="90">
        <f t="shared" si="174"/>
        <v>573150000</v>
      </c>
      <c r="BH189" s="90">
        <f t="shared" si="174"/>
        <v>571113541.66666663</v>
      </c>
      <c r="BI189" s="90">
        <f t="shared" si="174"/>
        <v>545226041.66666675</v>
      </c>
      <c r="BJ189" s="90">
        <f t="shared" ref="BJ189:BO189" si="175">BJ141-BJ173</f>
        <v>517888541.66666669</v>
      </c>
      <c r="BK189" s="90">
        <f t="shared" si="175"/>
        <v>489101041.66666669</v>
      </c>
      <c r="BL189" s="90">
        <f t="shared" si="175"/>
        <v>458863541.66666669</v>
      </c>
      <c r="BM189" s="90">
        <f t="shared" si="175"/>
        <v>427176041.66666669</v>
      </c>
      <c r="BN189" s="90">
        <f t="shared" si="175"/>
        <v>394038541.66666669</v>
      </c>
      <c r="BO189" s="90">
        <f t="shared" si="175"/>
        <v>359451041.66666669</v>
      </c>
    </row>
    <row r="190" spans="1:67">
      <c r="A190" s="11"/>
      <c r="B190" s="11" t="s">
        <v>197</v>
      </c>
      <c r="C190" s="11"/>
      <c r="D190" s="11"/>
      <c r="E190" s="3"/>
      <c r="F190" s="3"/>
      <c r="G190" s="90">
        <f t="shared" si="169"/>
        <v>0</v>
      </c>
      <c r="H190" s="90">
        <f t="shared" ref="H190:BI190" si="176">H142-H174</f>
        <v>0</v>
      </c>
      <c r="I190" s="90">
        <f t="shared" si="176"/>
        <v>0</v>
      </c>
      <c r="J190" s="90">
        <f t="shared" si="176"/>
        <v>40800000</v>
      </c>
      <c r="K190" s="90">
        <f t="shared" si="176"/>
        <v>46400000</v>
      </c>
      <c r="L190" s="90">
        <f t="shared" si="176"/>
        <v>52000000</v>
      </c>
      <c r="M190" s="90">
        <f t="shared" si="176"/>
        <v>57600000</v>
      </c>
      <c r="N190" s="90">
        <f t="shared" si="176"/>
        <v>63200000</v>
      </c>
      <c r="O190" s="90">
        <f t="shared" si="176"/>
        <v>68800000</v>
      </c>
      <c r="P190" s="90">
        <f t="shared" si="176"/>
        <v>74400000</v>
      </c>
      <c r="Q190" s="90">
        <f t="shared" si="176"/>
        <v>80000000</v>
      </c>
      <c r="R190" s="90">
        <f t="shared" si="176"/>
        <v>85600000</v>
      </c>
      <c r="S190" s="90">
        <f t="shared" si="176"/>
        <v>91200000</v>
      </c>
      <c r="T190" s="90">
        <f t="shared" si="176"/>
        <v>96800000</v>
      </c>
      <c r="U190" s="90">
        <f t="shared" si="176"/>
        <v>102400000</v>
      </c>
      <c r="V190" s="90">
        <f t="shared" si="176"/>
        <v>108000000</v>
      </c>
      <c r="W190" s="90">
        <f t="shared" si="176"/>
        <v>113600000</v>
      </c>
      <c r="X190" s="90">
        <f t="shared" si="176"/>
        <v>119200000</v>
      </c>
      <c r="Y190" s="90">
        <f t="shared" si="176"/>
        <v>124800000</v>
      </c>
      <c r="Z190" s="90">
        <f t="shared" si="176"/>
        <v>130400000</v>
      </c>
      <c r="AA190" s="90">
        <f t="shared" si="176"/>
        <v>136000000</v>
      </c>
      <c r="AB190" s="90">
        <f t="shared" si="176"/>
        <v>134866666.66666666</v>
      </c>
      <c r="AC190" s="90">
        <f t="shared" si="176"/>
        <v>133733333.33333333</v>
      </c>
      <c r="AD190" s="90">
        <f t="shared" si="176"/>
        <v>132600000</v>
      </c>
      <c r="AE190" s="90">
        <f t="shared" si="176"/>
        <v>131466666.66666667</v>
      </c>
      <c r="AF190" s="90">
        <f t="shared" si="176"/>
        <v>130333333.33333333</v>
      </c>
      <c r="AG190" s="90">
        <f t="shared" si="176"/>
        <v>129200000</v>
      </c>
      <c r="AH190" s="90">
        <f t="shared" si="176"/>
        <v>128066666.66666667</v>
      </c>
      <c r="AI190" s="90">
        <f t="shared" si="176"/>
        <v>126933333.33333333</v>
      </c>
      <c r="AJ190" s="90">
        <f t="shared" si="176"/>
        <v>125800000</v>
      </c>
      <c r="AK190" s="90">
        <f t="shared" si="176"/>
        <v>124666666.66666667</v>
      </c>
      <c r="AL190" s="90">
        <f t="shared" si="176"/>
        <v>123533333.33333333</v>
      </c>
      <c r="AM190" s="90">
        <f t="shared" si="176"/>
        <v>122400000</v>
      </c>
      <c r="AN190" s="90">
        <f t="shared" si="176"/>
        <v>121266666.66666666</v>
      </c>
      <c r="AO190" s="90">
        <f t="shared" si="176"/>
        <v>120133333.33333333</v>
      </c>
      <c r="AP190" s="90">
        <f t="shared" si="176"/>
        <v>119000000</v>
      </c>
      <c r="AQ190" s="90">
        <f t="shared" si="176"/>
        <v>117866666.66666666</v>
      </c>
      <c r="AR190" s="90">
        <f t="shared" si="176"/>
        <v>116733333.33333333</v>
      </c>
      <c r="AS190" s="90">
        <f t="shared" si="176"/>
        <v>115600000</v>
      </c>
      <c r="AT190" s="90">
        <f t="shared" si="176"/>
        <v>114466666.66666667</v>
      </c>
      <c r="AU190" s="90">
        <f t="shared" si="176"/>
        <v>113333333.33333334</v>
      </c>
      <c r="AV190" s="90">
        <f t="shared" si="176"/>
        <v>112200000</v>
      </c>
      <c r="AW190" s="90">
        <f t="shared" si="176"/>
        <v>111066666.66666667</v>
      </c>
      <c r="AX190" s="90">
        <f t="shared" si="176"/>
        <v>109933333.33333334</v>
      </c>
      <c r="AY190" s="90">
        <f t="shared" si="176"/>
        <v>108800000</v>
      </c>
      <c r="AZ190" s="90">
        <f t="shared" si="176"/>
        <v>107666666.66666667</v>
      </c>
      <c r="BA190" s="90">
        <f t="shared" si="176"/>
        <v>106533333.33333334</v>
      </c>
      <c r="BB190" s="90">
        <f t="shared" si="176"/>
        <v>105400000.00000001</v>
      </c>
      <c r="BC190" s="90">
        <f t="shared" si="176"/>
        <v>104266666.66666669</v>
      </c>
      <c r="BD190" s="90">
        <f t="shared" si="176"/>
        <v>103133333.33333334</v>
      </c>
      <c r="BE190" s="90">
        <f t="shared" si="176"/>
        <v>102000000.00000001</v>
      </c>
      <c r="BF190" s="90">
        <f t="shared" si="176"/>
        <v>100866666.66666669</v>
      </c>
      <c r="BG190" s="90">
        <f t="shared" si="176"/>
        <v>99733333.333333343</v>
      </c>
      <c r="BH190" s="90">
        <f t="shared" si="176"/>
        <v>98600000</v>
      </c>
      <c r="BI190" s="90">
        <f t="shared" si="176"/>
        <v>85000000</v>
      </c>
      <c r="BJ190" s="90">
        <f t="shared" ref="BJ190:BO190" si="177">BJ142-BJ174</f>
        <v>71400000</v>
      </c>
      <c r="BK190" s="90">
        <f t="shared" si="177"/>
        <v>57800000</v>
      </c>
      <c r="BL190" s="90">
        <f t="shared" si="177"/>
        <v>44200000</v>
      </c>
      <c r="BM190" s="90">
        <f t="shared" si="177"/>
        <v>30600000</v>
      </c>
      <c r="BN190" s="90">
        <f t="shared" si="177"/>
        <v>17000000</v>
      </c>
      <c r="BO190" s="90">
        <f t="shared" si="177"/>
        <v>3400000</v>
      </c>
    </row>
    <row r="191" spans="1:67">
      <c r="A191" s="11"/>
      <c r="B191" s="11" t="s">
        <v>323</v>
      </c>
      <c r="C191" s="11"/>
      <c r="D191" s="11"/>
      <c r="E191" s="3"/>
      <c r="F191" s="3"/>
      <c r="G191" s="90">
        <f t="shared" si="169"/>
        <v>0</v>
      </c>
      <c r="H191" s="90">
        <f t="shared" ref="H191:BI191" si="178">H143-H175</f>
        <v>0</v>
      </c>
      <c r="I191" s="90">
        <f t="shared" si="178"/>
        <v>0</v>
      </c>
      <c r="J191" s="90">
        <f t="shared" si="178"/>
        <v>13200000</v>
      </c>
      <c r="K191" s="90">
        <f t="shared" si="178"/>
        <v>15011764.705882352</v>
      </c>
      <c r="L191" s="90">
        <f t="shared" si="178"/>
        <v>16823529.411764704</v>
      </c>
      <c r="M191" s="90">
        <f t="shared" si="178"/>
        <v>18635294.117647056</v>
      </c>
      <c r="N191" s="90">
        <f t="shared" si="178"/>
        <v>20447058.823529407</v>
      </c>
      <c r="O191" s="90">
        <f t="shared" si="178"/>
        <v>22258823.529411759</v>
      </c>
      <c r="P191" s="90">
        <f t="shared" si="178"/>
        <v>24070588.235294111</v>
      </c>
      <c r="Q191" s="90">
        <f t="shared" si="178"/>
        <v>25882352.941176463</v>
      </c>
      <c r="R191" s="90">
        <f t="shared" si="178"/>
        <v>27694117.647058815</v>
      </c>
      <c r="S191" s="90">
        <f t="shared" si="178"/>
        <v>29505882.352941167</v>
      </c>
      <c r="T191" s="90">
        <f t="shared" si="178"/>
        <v>31317647.058823518</v>
      </c>
      <c r="U191" s="90">
        <f t="shared" si="178"/>
        <v>33129411.76470587</v>
      </c>
      <c r="V191" s="90">
        <f t="shared" si="178"/>
        <v>34941176.470588222</v>
      </c>
      <c r="W191" s="90">
        <f t="shared" si="178"/>
        <v>36752941.176470578</v>
      </c>
      <c r="X191" s="90">
        <f t="shared" si="178"/>
        <v>38564705.882352933</v>
      </c>
      <c r="Y191" s="90">
        <f t="shared" si="178"/>
        <v>40376470.588235289</v>
      </c>
      <c r="Z191" s="90">
        <f t="shared" si="178"/>
        <v>42188235.294117644</v>
      </c>
      <c r="AA191" s="90">
        <f t="shared" si="178"/>
        <v>44000000</v>
      </c>
      <c r="AB191" s="90">
        <f t="shared" si="178"/>
        <v>43633333.333333336</v>
      </c>
      <c r="AC191" s="90">
        <f t="shared" si="178"/>
        <v>43266666.666666664</v>
      </c>
      <c r="AD191" s="90">
        <f t="shared" si="178"/>
        <v>42900000</v>
      </c>
      <c r="AE191" s="90">
        <f t="shared" si="178"/>
        <v>42533333.333333336</v>
      </c>
      <c r="AF191" s="90">
        <f t="shared" si="178"/>
        <v>42166666.666666664</v>
      </c>
      <c r="AG191" s="90">
        <f t="shared" si="178"/>
        <v>41800000</v>
      </c>
      <c r="AH191" s="90">
        <f t="shared" si="178"/>
        <v>41433333.333333336</v>
      </c>
      <c r="AI191" s="90">
        <f t="shared" si="178"/>
        <v>41066666.666666664</v>
      </c>
      <c r="AJ191" s="90">
        <f t="shared" si="178"/>
        <v>40700000</v>
      </c>
      <c r="AK191" s="90">
        <f t="shared" si="178"/>
        <v>40333333.333333336</v>
      </c>
      <c r="AL191" s="90">
        <f t="shared" si="178"/>
        <v>39966666.666666672</v>
      </c>
      <c r="AM191" s="90">
        <f t="shared" si="178"/>
        <v>39600000</v>
      </c>
      <c r="AN191" s="90">
        <f t="shared" si="178"/>
        <v>39233333.333333336</v>
      </c>
      <c r="AO191" s="90">
        <f t="shared" si="178"/>
        <v>38866666.666666664</v>
      </c>
      <c r="AP191" s="90">
        <f t="shared" si="178"/>
        <v>38500000</v>
      </c>
      <c r="AQ191" s="90">
        <f t="shared" si="178"/>
        <v>38133333.333333336</v>
      </c>
      <c r="AR191" s="90">
        <f t="shared" si="178"/>
        <v>37766666.666666664</v>
      </c>
      <c r="AS191" s="90">
        <f t="shared" si="178"/>
        <v>37400000</v>
      </c>
      <c r="AT191" s="90">
        <f t="shared" si="178"/>
        <v>37033333.333333328</v>
      </c>
      <c r="AU191" s="90">
        <f t="shared" si="178"/>
        <v>36666666.666666664</v>
      </c>
      <c r="AV191" s="90">
        <f t="shared" si="178"/>
        <v>36300000</v>
      </c>
      <c r="AW191" s="90">
        <f t="shared" si="178"/>
        <v>35933333.333333328</v>
      </c>
      <c r="AX191" s="90">
        <f t="shared" si="178"/>
        <v>35566666.666666664</v>
      </c>
      <c r="AY191" s="90">
        <f t="shared" si="178"/>
        <v>35200000</v>
      </c>
      <c r="AZ191" s="90">
        <f t="shared" si="178"/>
        <v>34833333.333333328</v>
      </c>
      <c r="BA191" s="90">
        <f t="shared" si="178"/>
        <v>34466666.666666664</v>
      </c>
      <c r="BB191" s="90">
        <f t="shared" si="178"/>
        <v>34100000</v>
      </c>
      <c r="BC191" s="90">
        <f t="shared" si="178"/>
        <v>33733333.333333336</v>
      </c>
      <c r="BD191" s="90">
        <f t="shared" si="178"/>
        <v>33366666.666666668</v>
      </c>
      <c r="BE191" s="90">
        <f t="shared" si="178"/>
        <v>33000000</v>
      </c>
      <c r="BF191" s="90">
        <f t="shared" si="178"/>
        <v>32633333.333333336</v>
      </c>
      <c r="BG191" s="90">
        <f t="shared" si="178"/>
        <v>32266666.666666672</v>
      </c>
      <c r="BH191" s="90">
        <f t="shared" si="178"/>
        <v>31900000.000000004</v>
      </c>
      <c r="BI191" s="90">
        <f t="shared" si="178"/>
        <v>27500000.000000004</v>
      </c>
      <c r="BJ191" s="90">
        <f t="shared" ref="BJ191:BO191" si="179">BJ143-BJ175</f>
        <v>23100000.000000004</v>
      </c>
      <c r="BK191" s="90">
        <f t="shared" si="179"/>
        <v>18700000.000000004</v>
      </c>
      <c r="BL191" s="90">
        <f t="shared" si="179"/>
        <v>14300000.000000004</v>
      </c>
      <c r="BM191" s="90">
        <f t="shared" si="179"/>
        <v>9900000</v>
      </c>
      <c r="BN191" s="90">
        <f t="shared" si="179"/>
        <v>5500000</v>
      </c>
      <c r="BO191" s="90">
        <f t="shared" si="179"/>
        <v>1100000</v>
      </c>
    </row>
    <row r="192" spans="1:67">
      <c r="A192" s="11"/>
      <c r="B192" s="11" t="s">
        <v>194</v>
      </c>
      <c r="C192" s="11"/>
      <c r="D192" s="11"/>
      <c r="E192" s="3"/>
      <c r="F192" s="3"/>
      <c r="G192" s="90">
        <f t="shared" si="169"/>
        <v>0</v>
      </c>
      <c r="H192" s="90">
        <f t="shared" ref="H192:BI192" si="180">H144-H176</f>
        <v>0</v>
      </c>
      <c r="I192" s="90">
        <f t="shared" si="180"/>
        <v>0</v>
      </c>
      <c r="J192" s="90">
        <f t="shared" si="180"/>
        <v>11700000</v>
      </c>
      <c r="K192" s="90">
        <f t="shared" si="180"/>
        <v>13305882.352941176</v>
      </c>
      <c r="L192" s="90">
        <f t="shared" si="180"/>
        <v>14911764.705882352</v>
      </c>
      <c r="M192" s="90">
        <f t="shared" si="180"/>
        <v>16517647.058823528</v>
      </c>
      <c r="N192" s="90">
        <f t="shared" si="180"/>
        <v>18123529.411764704</v>
      </c>
      <c r="O192" s="90">
        <f t="shared" si="180"/>
        <v>19729411.764705881</v>
      </c>
      <c r="P192" s="90">
        <f t="shared" si="180"/>
        <v>21335294.117647059</v>
      </c>
      <c r="Q192" s="90">
        <f t="shared" si="180"/>
        <v>22941176.470588237</v>
      </c>
      <c r="R192" s="90">
        <f t="shared" si="180"/>
        <v>24547058.823529415</v>
      </c>
      <c r="S192" s="90">
        <f t="shared" si="180"/>
        <v>26152941.176470593</v>
      </c>
      <c r="T192" s="90">
        <f t="shared" si="180"/>
        <v>27758823.52941177</v>
      </c>
      <c r="U192" s="90">
        <f t="shared" si="180"/>
        <v>29364705.882352948</v>
      </c>
      <c r="V192" s="90">
        <f t="shared" si="180"/>
        <v>30970588.235294126</v>
      </c>
      <c r="W192" s="90">
        <f t="shared" si="180"/>
        <v>32576470.588235304</v>
      </c>
      <c r="X192" s="90">
        <f t="shared" si="180"/>
        <v>34182352.941176482</v>
      </c>
      <c r="Y192" s="90">
        <f t="shared" si="180"/>
        <v>35788235.294117659</v>
      </c>
      <c r="Z192" s="90">
        <f t="shared" si="180"/>
        <v>37394117.647058837</v>
      </c>
      <c r="AA192" s="90">
        <f t="shared" si="180"/>
        <v>39000000.000000015</v>
      </c>
      <c r="AB192" s="90">
        <f t="shared" si="180"/>
        <v>38675000.000000015</v>
      </c>
      <c r="AC192" s="90">
        <f t="shared" si="180"/>
        <v>38350000.000000015</v>
      </c>
      <c r="AD192" s="90">
        <f t="shared" si="180"/>
        <v>38025000.000000015</v>
      </c>
      <c r="AE192" s="90">
        <f t="shared" si="180"/>
        <v>37700000.000000015</v>
      </c>
      <c r="AF192" s="90">
        <f t="shared" si="180"/>
        <v>37375000.000000015</v>
      </c>
      <c r="AG192" s="90">
        <f t="shared" si="180"/>
        <v>37050000.000000015</v>
      </c>
      <c r="AH192" s="90">
        <f t="shared" si="180"/>
        <v>36725000.000000015</v>
      </c>
      <c r="AI192" s="90">
        <f t="shared" si="180"/>
        <v>36400000.000000015</v>
      </c>
      <c r="AJ192" s="90">
        <f t="shared" si="180"/>
        <v>36075000.000000015</v>
      </c>
      <c r="AK192" s="90">
        <f t="shared" si="180"/>
        <v>35750000.000000015</v>
      </c>
      <c r="AL192" s="90">
        <f t="shared" si="180"/>
        <v>35425000.000000015</v>
      </c>
      <c r="AM192" s="90">
        <f t="shared" si="180"/>
        <v>35100000.000000015</v>
      </c>
      <c r="AN192" s="90">
        <f t="shared" si="180"/>
        <v>34775000.000000015</v>
      </c>
      <c r="AO192" s="90">
        <f t="shared" si="180"/>
        <v>34450000.000000015</v>
      </c>
      <c r="AP192" s="90">
        <f t="shared" si="180"/>
        <v>34125000.000000015</v>
      </c>
      <c r="AQ192" s="90">
        <f t="shared" si="180"/>
        <v>33800000.000000015</v>
      </c>
      <c r="AR192" s="90">
        <f t="shared" si="180"/>
        <v>33475000.000000015</v>
      </c>
      <c r="AS192" s="90">
        <f t="shared" si="180"/>
        <v>33150000.000000015</v>
      </c>
      <c r="AT192" s="90">
        <f t="shared" si="180"/>
        <v>32825000.000000015</v>
      </c>
      <c r="AU192" s="90">
        <f t="shared" si="180"/>
        <v>32500000.000000015</v>
      </c>
      <c r="AV192" s="90">
        <f t="shared" si="180"/>
        <v>32175000.000000015</v>
      </c>
      <c r="AW192" s="90">
        <f t="shared" si="180"/>
        <v>31850000.000000015</v>
      </c>
      <c r="AX192" s="90">
        <f t="shared" si="180"/>
        <v>31525000.000000015</v>
      </c>
      <c r="AY192" s="90">
        <f t="shared" si="180"/>
        <v>31200000.000000015</v>
      </c>
      <c r="AZ192" s="90">
        <f t="shared" si="180"/>
        <v>30875000.000000015</v>
      </c>
      <c r="BA192" s="90">
        <f t="shared" si="180"/>
        <v>30550000.000000015</v>
      </c>
      <c r="BB192" s="90">
        <f t="shared" si="180"/>
        <v>30225000.000000015</v>
      </c>
      <c r="BC192" s="90">
        <f t="shared" si="180"/>
        <v>29900000.000000015</v>
      </c>
      <c r="BD192" s="90">
        <f t="shared" si="180"/>
        <v>29575000.000000015</v>
      </c>
      <c r="BE192" s="90">
        <f t="shared" si="180"/>
        <v>29250000.000000015</v>
      </c>
      <c r="BF192" s="90">
        <f t="shared" si="180"/>
        <v>28925000.000000015</v>
      </c>
      <c r="BG192" s="90">
        <f t="shared" si="180"/>
        <v>28600000.000000015</v>
      </c>
      <c r="BH192" s="90">
        <f t="shared" si="180"/>
        <v>28275000.000000015</v>
      </c>
      <c r="BI192" s="90">
        <f t="shared" si="180"/>
        <v>24375000.000000011</v>
      </c>
      <c r="BJ192" s="90">
        <f t="shared" ref="BJ192:BO192" si="181">BJ144-BJ176</f>
        <v>20475000.000000011</v>
      </c>
      <c r="BK192" s="90">
        <f t="shared" si="181"/>
        <v>16575000.000000011</v>
      </c>
      <c r="BL192" s="90">
        <f t="shared" si="181"/>
        <v>12675000.000000011</v>
      </c>
      <c r="BM192" s="90">
        <f t="shared" si="181"/>
        <v>8775000.0000000112</v>
      </c>
      <c r="BN192" s="90">
        <f t="shared" si="181"/>
        <v>4875000.0000000075</v>
      </c>
      <c r="BO192" s="90">
        <f t="shared" si="181"/>
        <v>975000.00000000745</v>
      </c>
    </row>
    <row r="193" spans="1:67">
      <c r="A193" s="11"/>
      <c r="B193" s="11" t="s">
        <v>195</v>
      </c>
      <c r="C193" s="11"/>
      <c r="D193" s="11"/>
      <c r="E193" s="3"/>
      <c r="F193" s="3"/>
      <c r="G193" s="90">
        <f t="shared" si="169"/>
        <v>0</v>
      </c>
      <c r="H193" s="90">
        <f t="shared" ref="H193:BI193" si="182">H145-H177</f>
        <v>0</v>
      </c>
      <c r="I193" s="90">
        <f t="shared" si="182"/>
        <v>0</v>
      </c>
      <c r="J193" s="90">
        <f t="shared" si="182"/>
        <v>47700000</v>
      </c>
      <c r="K193" s="90">
        <f t="shared" si="182"/>
        <v>54247058.823529415</v>
      </c>
      <c r="L193" s="90">
        <f t="shared" si="182"/>
        <v>60794117.64705883</v>
      </c>
      <c r="M193" s="90">
        <f t="shared" si="182"/>
        <v>67341176.470588237</v>
      </c>
      <c r="N193" s="90">
        <f t="shared" si="182"/>
        <v>73888235.294117644</v>
      </c>
      <c r="O193" s="90">
        <f t="shared" si="182"/>
        <v>80435294.117647052</v>
      </c>
      <c r="P193" s="90">
        <f t="shared" si="182"/>
        <v>86982352.941176459</v>
      </c>
      <c r="Q193" s="90">
        <f t="shared" si="182"/>
        <v>93529411.764705867</v>
      </c>
      <c r="R193" s="90">
        <f t="shared" si="182"/>
        <v>100076470.58823527</v>
      </c>
      <c r="S193" s="90">
        <f t="shared" si="182"/>
        <v>106623529.41176468</v>
      </c>
      <c r="T193" s="90">
        <f t="shared" si="182"/>
        <v>113170588.23529409</v>
      </c>
      <c r="U193" s="90">
        <f t="shared" si="182"/>
        <v>119717647.0588235</v>
      </c>
      <c r="V193" s="90">
        <f t="shared" si="182"/>
        <v>126264705.8823529</v>
      </c>
      <c r="W193" s="90">
        <f t="shared" si="182"/>
        <v>132811764.70588231</v>
      </c>
      <c r="X193" s="90">
        <f t="shared" si="182"/>
        <v>139358823.52941173</v>
      </c>
      <c r="Y193" s="90">
        <f t="shared" si="182"/>
        <v>145905882.35294116</v>
      </c>
      <c r="Z193" s="90">
        <f t="shared" si="182"/>
        <v>152452941.17647058</v>
      </c>
      <c r="AA193" s="90">
        <f t="shared" si="182"/>
        <v>159000000</v>
      </c>
      <c r="AB193" s="90">
        <f t="shared" si="182"/>
        <v>157675000</v>
      </c>
      <c r="AC193" s="90">
        <f t="shared" si="182"/>
        <v>156350000</v>
      </c>
      <c r="AD193" s="90">
        <f t="shared" si="182"/>
        <v>155025000</v>
      </c>
      <c r="AE193" s="90">
        <f t="shared" si="182"/>
        <v>153700000</v>
      </c>
      <c r="AF193" s="90">
        <f t="shared" si="182"/>
        <v>152375000</v>
      </c>
      <c r="AG193" s="90">
        <f t="shared" si="182"/>
        <v>151050000</v>
      </c>
      <c r="AH193" s="90">
        <f t="shared" si="182"/>
        <v>149725000</v>
      </c>
      <c r="AI193" s="90">
        <f t="shared" si="182"/>
        <v>148400000</v>
      </c>
      <c r="AJ193" s="90">
        <f t="shared" si="182"/>
        <v>147075000</v>
      </c>
      <c r="AK193" s="90">
        <f t="shared" si="182"/>
        <v>145750000</v>
      </c>
      <c r="AL193" s="90">
        <f t="shared" si="182"/>
        <v>144425000</v>
      </c>
      <c r="AM193" s="90">
        <f t="shared" si="182"/>
        <v>143100000</v>
      </c>
      <c r="AN193" s="90">
        <f t="shared" si="182"/>
        <v>141775000</v>
      </c>
      <c r="AO193" s="90">
        <f t="shared" si="182"/>
        <v>140450000</v>
      </c>
      <c r="AP193" s="90">
        <f t="shared" si="182"/>
        <v>139125000</v>
      </c>
      <c r="AQ193" s="90">
        <f t="shared" si="182"/>
        <v>137800000</v>
      </c>
      <c r="AR193" s="90">
        <f t="shared" si="182"/>
        <v>136475000</v>
      </c>
      <c r="AS193" s="90">
        <f t="shared" si="182"/>
        <v>135150000</v>
      </c>
      <c r="AT193" s="90">
        <f t="shared" si="182"/>
        <v>133825000</v>
      </c>
      <c r="AU193" s="90">
        <f t="shared" si="182"/>
        <v>132500000</v>
      </c>
      <c r="AV193" s="90">
        <f t="shared" si="182"/>
        <v>131175000</v>
      </c>
      <c r="AW193" s="90">
        <f t="shared" si="182"/>
        <v>129850000</v>
      </c>
      <c r="AX193" s="90">
        <f t="shared" si="182"/>
        <v>128525000</v>
      </c>
      <c r="AY193" s="90">
        <f t="shared" si="182"/>
        <v>127200000</v>
      </c>
      <c r="AZ193" s="90">
        <f t="shared" si="182"/>
        <v>125875000</v>
      </c>
      <c r="BA193" s="90">
        <f t="shared" si="182"/>
        <v>124550000</v>
      </c>
      <c r="BB193" s="90">
        <f t="shared" si="182"/>
        <v>123225000</v>
      </c>
      <c r="BC193" s="90">
        <f t="shared" si="182"/>
        <v>121900000</v>
      </c>
      <c r="BD193" s="90">
        <f t="shared" si="182"/>
        <v>120575000</v>
      </c>
      <c r="BE193" s="90">
        <f t="shared" si="182"/>
        <v>119250000</v>
      </c>
      <c r="BF193" s="90">
        <f t="shared" si="182"/>
        <v>117925000</v>
      </c>
      <c r="BG193" s="90">
        <f t="shared" si="182"/>
        <v>116600000</v>
      </c>
      <c r="BH193" s="90">
        <f t="shared" si="182"/>
        <v>115275000</v>
      </c>
      <c r="BI193" s="90">
        <f t="shared" si="182"/>
        <v>99375000</v>
      </c>
      <c r="BJ193" s="90">
        <f t="shared" ref="BJ193:BO193" si="183">BJ145-BJ177</f>
        <v>83475000</v>
      </c>
      <c r="BK193" s="90">
        <f t="shared" si="183"/>
        <v>67575000</v>
      </c>
      <c r="BL193" s="90">
        <f t="shared" si="183"/>
        <v>51675000</v>
      </c>
      <c r="BM193" s="90">
        <f t="shared" si="183"/>
        <v>35775000</v>
      </c>
      <c r="BN193" s="90">
        <f t="shared" si="183"/>
        <v>19875000</v>
      </c>
      <c r="BO193" s="90">
        <f t="shared" si="183"/>
        <v>3975000</v>
      </c>
    </row>
    <row r="194" spans="1:67">
      <c r="A194" s="11"/>
      <c r="B194" s="11" t="s">
        <v>198</v>
      </c>
      <c r="C194" s="11"/>
      <c r="D194" s="11"/>
      <c r="E194" s="3"/>
      <c r="F194" s="3"/>
      <c r="G194" s="90">
        <f t="shared" si="169"/>
        <v>960000</v>
      </c>
      <c r="H194" s="90">
        <f t="shared" ref="H194:BI194" si="184">H146-H178</f>
        <v>1920000</v>
      </c>
      <c r="I194" s="90">
        <f t="shared" si="184"/>
        <v>2880000</v>
      </c>
      <c r="J194" s="90">
        <f t="shared" si="184"/>
        <v>3720000</v>
      </c>
      <c r="K194" s="90">
        <f t="shared" si="184"/>
        <v>4560000</v>
      </c>
      <c r="L194" s="90">
        <f t="shared" si="184"/>
        <v>5400000</v>
      </c>
      <c r="M194" s="90">
        <f t="shared" si="184"/>
        <v>6240000</v>
      </c>
      <c r="N194" s="90">
        <f t="shared" si="184"/>
        <v>7080000</v>
      </c>
      <c r="O194" s="90">
        <f t="shared" si="184"/>
        <v>7920000</v>
      </c>
      <c r="P194" s="90">
        <f t="shared" si="184"/>
        <v>8260000</v>
      </c>
      <c r="Q194" s="90">
        <f t="shared" si="184"/>
        <v>8600000</v>
      </c>
      <c r="R194" s="90">
        <f t="shared" si="184"/>
        <v>8940000</v>
      </c>
      <c r="S194" s="90">
        <f t="shared" si="184"/>
        <v>9280000</v>
      </c>
      <c r="T194" s="90">
        <f t="shared" si="184"/>
        <v>9620000</v>
      </c>
      <c r="U194" s="90">
        <f t="shared" si="184"/>
        <v>9960000</v>
      </c>
      <c r="V194" s="90">
        <f t="shared" si="184"/>
        <v>10300000</v>
      </c>
      <c r="W194" s="90">
        <f t="shared" si="184"/>
        <v>10640000</v>
      </c>
      <c r="X194" s="90">
        <f t="shared" si="184"/>
        <v>10980000</v>
      </c>
      <c r="Y194" s="90">
        <f t="shared" si="184"/>
        <v>11320000</v>
      </c>
      <c r="Z194" s="90">
        <f t="shared" si="184"/>
        <v>11660000</v>
      </c>
      <c r="AA194" s="90">
        <f t="shared" si="184"/>
        <v>12000000</v>
      </c>
      <c r="AB194" s="90">
        <f t="shared" si="184"/>
        <v>11800000</v>
      </c>
      <c r="AC194" s="90">
        <f t="shared" si="184"/>
        <v>11600000</v>
      </c>
      <c r="AD194" s="90">
        <f t="shared" si="184"/>
        <v>11400000</v>
      </c>
      <c r="AE194" s="90">
        <f t="shared" si="184"/>
        <v>11200000</v>
      </c>
      <c r="AF194" s="90">
        <f t="shared" si="184"/>
        <v>11000000</v>
      </c>
      <c r="AG194" s="90">
        <f t="shared" si="184"/>
        <v>10800000</v>
      </c>
      <c r="AH194" s="90">
        <f t="shared" si="184"/>
        <v>10600000</v>
      </c>
      <c r="AI194" s="90">
        <f t="shared" si="184"/>
        <v>10400000</v>
      </c>
      <c r="AJ194" s="90">
        <f t="shared" si="184"/>
        <v>10200000</v>
      </c>
      <c r="AK194" s="90">
        <f t="shared" si="184"/>
        <v>10000000</v>
      </c>
      <c r="AL194" s="90">
        <f t="shared" si="184"/>
        <v>9800000</v>
      </c>
      <c r="AM194" s="90">
        <f t="shared" si="184"/>
        <v>9600000</v>
      </c>
      <c r="AN194" s="90">
        <f t="shared" si="184"/>
        <v>9400000</v>
      </c>
      <c r="AO194" s="90">
        <f t="shared" si="184"/>
        <v>9200000</v>
      </c>
      <c r="AP194" s="90">
        <f t="shared" si="184"/>
        <v>9000000</v>
      </c>
      <c r="AQ194" s="90">
        <f t="shared" si="184"/>
        <v>8800000</v>
      </c>
      <c r="AR194" s="90">
        <f t="shared" si="184"/>
        <v>8600000</v>
      </c>
      <c r="AS194" s="90">
        <f t="shared" si="184"/>
        <v>8400000</v>
      </c>
      <c r="AT194" s="90">
        <f t="shared" si="184"/>
        <v>8200000</v>
      </c>
      <c r="AU194" s="90">
        <f t="shared" si="184"/>
        <v>8000000</v>
      </c>
      <c r="AV194" s="90">
        <f t="shared" si="184"/>
        <v>7800000</v>
      </c>
      <c r="AW194" s="90">
        <f t="shared" si="184"/>
        <v>7600000</v>
      </c>
      <c r="AX194" s="90">
        <f t="shared" si="184"/>
        <v>7400000</v>
      </c>
      <c r="AY194" s="90">
        <f t="shared" si="184"/>
        <v>7200000</v>
      </c>
      <c r="AZ194" s="90">
        <f t="shared" si="184"/>
        <v>7000000</v>
      </c>
      <c r="BA194" s="90">
        <f t="shared" si="184"/>
        <v>6800000</v>
      </c>
      <c r="BB194" s="90">
        <f t="shared" si="184"/>
        <v>6600000</v>
      </c>
      <c r="BC194" s="90">
        <f t="shared" si="184"/>
        <v>6400000</v>
      </c>
      <c r="BD194" s="90">
        <f t="shared" si="184"/>
        <v>6200000</v>
      </c>
      <c r="BE194" s="90">
        <f t="shared" si="184"/>
        <v>6000000</v>
      </c>
      <c r="BF194" s="90">
        <f t="shared" si="184"/>
        <v>5800000</v>
      </c>
      <c r="BG194" s="90">
        <f t="shared" si="184"/>
        <v>5600000</v>
      </c>
      <c r="BH194" s="90">
        <f t="shared" si="184"/>
        <v>5400000</v>
      </c>
      <c r="BI194" s="90">
        <f t="shared" si="184"/>
        <v>3000000</v>
      </c>
      <c r="BJ194" s="90">
        <f t="shared" ref="BJ194:BO194" si="185">BJ146-BJ178</f>
        <v>600000</v>
      </c>
      <c r="BK194" s="90">
        <f t="shared" si="185"/>
        <v>0</v>
      </c>
      <c r="BL194" s="90">
        <f t="shared" si="185"/>
        <v>0</v>
      </c>
      <c r="BM194" s="90">
        <f t="shared" si="185"/>
        <v>0</v>
      </c>
      <c r="BN194" s="90">
        <f t="shared" si="185"/>
        <v>0</v>
      </c>
      <c r="BO194" s="90">
        <f t="shared" si="185"/>
        <v>0</v>
      </c>
    </row>
    <row r="195" spans="1:67">
      <c r="A195" s="11"/>
      <c r="B195" s="11" t="s">
        <v>310</v>
      </c>
      <c r="C195" s="11"/>
      <c r="D195" s="11"/>
      <c r="E195" s="3"/>
      <c r="F195" s="3"/>
      <c r="G195" s="90">
        <f t="shared" si="169"/>
        <v>0</v>
      </c>
      <c r="H195" s="90">
        <f t="shared" ref="H195:BI195" si="186">H147-H179</f>
        <v>0</v>
      </c>
      <c r="I195" s="90">
        <f t="shared" si="186"/>
        <v>0</v>
      </c>
      <c r="J195" s="90">
        <f t="shared" si="186"/>
        <v>0</v>
      </c>
      <c r="K195" s="90">
        <f t="shared" si="186"/>
        <v>0</v>
      </c>
      <c r="L195" s="90">
        <f t="shared" si="186"/>
        <v>0</v>
      </c>
      <c r="M195" s="90">
        <f t="shared" si="186"/>
        <v>10000</v>
      </c>
      <c r="N195" s="90">
        <f t="shared" si="186"/>
        <v>20000</v>
      </c>
      <c r="O195" s="90">
        <f t="shared" si="186"/>
        <v>30000</v>
      </c>
      <c r="P195" s="90">
        <f t="shared" si="186"/>
        <v>40000</v>
      </c>
      <c r="Q195" s="90">
        <f t="shared" si="186"/>
        <v>50000</v>
      </c>
      <c r="R195" s="90">
        <f t="shared" si="186"/>
        <v>60000</v>
      </c>
      <c r="S195" s="90">
        <f t="shared" si="186"/>
        <v>736666.66666666663</v>
      </c>
      <c r="T195" s="90">
        <f t="shared" si="186"/>
        <v>1413333.3333333333</v>
      </c>
      <c r="U195" s="90">
        <f t="shared" si="186"/>
        <v>2090000</v>
      </c>
      <c r="V195" s="90">
        <f t="shared" si="186"/>
        <v>2766666.6666666665</v>
      </c>
      <c r="W195" s="90">
        <f t="shared" si="186"/>
        <v>3443333.333333333</v>
      </c>
      <c r="X195" s="90">
        <f t="shared" si="186"/>
        <v>4119999.9999999995</v>
      </c>
      <c r="Y195" s="90">
        <f t="shared" si="186"/>
        <v>4796666.666666666</v>
      </c>
      <c r="Z195" s="90">
        <f t="shared" si="186"/>
        <v>5473333.333333333</v>
      </c>
      <c r="AA195" s="90">
        <f t="shared" si="186"/>
        <v>6150000</v>
      </c>
      <c r="AB195" s="90">
        <f t="shared" si="186"/>
        <v>6047500</v>
      </c>
      <c r="AC195" s="90">
        <f t="shared" si="186"/>
        <v>5945000</v>
      </c>
      <c r="AD195" s="90">
        <f t="shared" si="186"/>
        <v>5842500</v>
      </c>
      <c r="AE195" s="90">
        <f t="shared" si="186"/>
        <v>5740000</v>
      </c>
      <c r="AF195" s="90">
        <f t="shared" si="186"/>
        <v>5637500</v>
      </c>
      <c r="AG195" s="90">
        <f t="shared" si="186"/>
        <v>5535000</v>
      </c>
      <c r="AH195" s="90">
        <f t="shared" si="186"/>
        <v>5432500</v>
      </c>
      <c r="AI195" s="90">
        <f t="shared" si="186"/>
        <v>5330000</v>
      </c>
      <c r="AJ195" s="90">
        <f t="shared" si="186"/>
        <v>5227500</v>
      </c>
      <c r="AK195" s="90">
        <f t="shared" si="186"/>
        <v>5125000</v>
      </c>
      <c r="AL195" s="90">
        <f t="shared" si="186"/>
        <v>5022500</v>
      </c>
      <c r="AM195" s="90">
        <f t="shared" si="186"/>
        <v>4920000</v>
      </c>
      <c r="AN195" s="90">
        <f t="shared" si="186"/>
        <v>4817500</v>
      </c>
      <c r="AO195" s="90">
        <f t="shared" si="186"/>
        <v>4715000</v>
      </c>
      <c r="AP195" s="90">
        <f t="shared" si="186"/>
        <v>4612500</v>
      </c>
      <c r="AQ195" s="90">
        <f t="shared" si="186"/>
        <v>4510000</v>
      </c>
      <c r="AR195" s="90">
        <f t="shared" si="186"/>
        <v>4407500</v>
      </c>
      <c r="AS195" s="90">
        <f t="shared" si="186"/>
        <v>4305000</v>
      </c>
      <c r="AT195" s="90">
        <f t="shared" si="186"/>
        <v>4202500</v>
      </c>
      <c r="AU195" s="90">
        <f t="shared" si="186"/>
        <v>4100000</v>
      </c>
      <c r="AV195" s="90">
        <f t="shared" si="186"/>
        <v>3997500</v>
      </c>
      <c r="AW195" s="90">
        <f t="shared" si="186"/>
        <v>3895000</v>
      </c>
      <c r="AX195" s="90">
        <f t="shared" si="186"/>
        <v>3792500</v>
      </c>
      <c r="AY195" s="90">
        <f t="shared" si="186"/>
        <v>3690000</v>
      </c>
      <c r="AZ195" s="90">
        <f t="shared" si="186"/>
        <v>3587500</v>
      </c>
      <c r="BA195" s="90">
        <f t="shared" si="186"/>
        <v>3485000</v>
      </c>
      <c r="BB195" s="90">
        <f t="shared" si="186"/>
        <v>3382500</v>
      </c>
      <c r="BC195" s="90">
        <f t="shared" si="186"/>
        <v>3280000</v>
      </c>
      <c r="BD195" s="90">
        <f t="shared" si="186"/>
        <v>3177500</v>
      </c>
      <c r="BE195" s="90">
        <f t="shared" si="186"/>
        <v>3075000</v>
      </c>
      <c r="BF195" s="90">
        <f t="shared" si="186"/>
        <v>2972500</v>
      </c>
      <c r="BG195" s="90">
        <f t="shared" si="186"/>
        <v>2870000</v>
      </c>
      <c r="BH195" s="90">
        <f t="shared" si="186"/>
        <v>2767500</v>
      </c>
      <c r="BI195" s="90">
        <f t="shared" si="186"/>
        <v>1537500</v>
      </c>
      <c r="BJ195" s="90">
        <f t="shared" ref="BJ195:BO195" si="187">BJ147-BJ179</f>
        <v>307500</v>
      </c>
      <c r="BK195" s="90">
        <f t="shared" si="187"/>
        <v>0</v>
      </c>
      <c r="BL195" s="90">
        <f t="shared" si="187"/>
        <v>0</v>
      </c>
      <c r="BM195" s="90">
        <f t="shared" si="187"/>
        <v>0</v>
      </c>
      <c r="BN195" s="90">
        <f t="shared" si="187"/>
        <v>0</v>
      </c>
      <c r="BO195" s="90">
        <f t="shared" si="187"/>
        <v>0</v>
      </c>
    </row>
    <row r="196" spans="1:67">
      <c r="A196" s="11"/>
      <c r="B196" s="11" t="s">
        <v>324</v>
      </c>
      <c r="C196" s="11"/>
      <c r="D196" s="11"/>
      <c r="E196" s="3"/>
      <c r="F196" s="3"/>
      <c r="G196" s="90">
        <f t="shared" si="169"/>
        <v>4767000</v>
      </c>
      <c r="H196" s="90">
        <f t="shared" ref="H196:BI196" si="188">H148-H180</f>
        <v>9534000</v>
      </c>
      <c r="I196" s="90">
        <f t="shared" si="188"/>
        <v>14301000</v>
      </c>
      <c r="J196" s="90">
        <f t="shared" si="188"/>
        <v>18528000</v>
      </c>
      <c r="K196" s="90">
        <f t="shared" si="188"/>
        <v>22755000</v>
      </c>
      <c r="L196" s="90">
        <f t="shared" si="188"/>
        <v>26982000</v>
      </c>
      <c r="M196" s="90">
        <f t="shared" si="188"/>
        <v>31209000</v>
      </c>
      <c r="N196" s="90">
        <f t="shared" si="188"/>
        <v>35436000</v>
      </c>
      <c r="O196" s="90">
        <f t="shared" si="188"/>
        <v>39663000</v>
      </c>
      <c r="P196" s="90">
        <f t="shared" si="188"/>
        <v>41640000</v>
      </c>
      <c r="Q196" s="90">
        <f t="shared" si="188"/>
        <v>43617000</v>
      </c>
      <c r="R196" s="90">
        <f t="shared" si="188"/>
        <v>45594000</v>
      </c>
      <c r="S196" s="90">
        <f t="shared" si="188"/>
        <v>47571000</v>
      </c>
      <c r="T196" s="90">
        <f t="shared" si="188"/>
        <v>49548000</v>
      </c>
      <c r="U196" s="90">
        <f t="shared" si="188"/>
        <v>51525000</v>
      </c>
      <c r="V196" s="90">
        <f t="shared" si="188"/>
        <v>53502000</v>
      </c>
      <c r="W196" s="90">
        <f t="shared" si="188"/>
        <v>55479000</v>
      </c>
      <c r="X196" s="90">
        <f t="shared" si="188"/>
        <v>57456000</v>
      </c>
      <c r="Y196" s="90">
        <f t="shared" si="188"/>
        <v>59433000</v>
      </c>
      <c r="Z196" s="90">
        <f t="shared" si="188"/>
        <v>61410000</v>
      </c>
      <c r="AA196" s="90">
        <f t="shared" si="188"/>
        <v>63850000</v>
      </c>
      <c r="AB196" s="90">
        <f t="shared" si="188"/>
        <v>62785833.333333336</v>
      </c>
      <c r="AC196" s="90">
        <f t="shared" si="188"/>
        <v>61721666.666666664</v>
      </c>
      <c r="AD196" s="90">
        <f t="shared" si="188"/>
        <v>60657500</v>
      </c>
      <c r="AE196" s="90">
        <f t="shared" si="188"/>
        <v>59593333.333333336</v>
      </c>
      <c r="AF196" s="90">
        <f t="shared" si="188"/>
        <v>58529166.666666672</v>
      </c>
      <c r="AG196" s="90">
        <f t="shared" si="188"/>
        <v>57465000</v>
      </c>
      <c r="AH196" s="90">
        <f t="shared" si="188"/>
        <v>56400833.333333336</v>
      </c>
      <c r="AI196" s="90">
        <f t="shared" si="188"/>
        <v>55336666.666666672</v>
      </c>
      <c r="AJ196" s="90">
        <f t="shared" si="188"/>
        <v>54272500</v>
      </c>
      <c r="AK196" s="90">
        <f t="shared" si="188"/>
        <v>53208333.333333336</v>
      </c>
      <c r="AL196" s="90">
        <f t="shared" si="188"/>
        <v>52144166.666666672</v>
      </c>
      <c r="AM196" s="90">
        <f t="shared" si="188"/>
        <v>51080000.000000007</v>
      </c>
      <c r="AN196" s="90">
        <f t="shared" si="188"/>
        <v>50015833.333333343</v>
      </c>
      <c r="AO196" s="90">
        <f t="shared" si="188"/>
        <v>48951666.666666672</v>
      </c>
      <c r="AP196" s="90">
        <f t="shared" si="188"/>
        <v>47887500.000000007</v>
      </c>
      <c r="AQ196" s="90">
        <f t="shared" si="188"/>
        <v>46823333.333333343</v>
      </c>
      <c r="AR196" s="90">
        <f t="shared" si="188"/>
        <v>45759166.666666672</v>
      </c>
      <c r="AS196" s="90">
        <f t="shared" si="188"/>
        <v>44695000</v>
      </c>
      <c r="AT196" s="90">
        <f t="shared" si="188"/>
        <v>43630833.333333336</v>
      </c>
      <c r="AU196" s="90">
        <f t="shared" si="188"/>
        <v>42566666.666666672</v>
      </c>
      <c r="AV196" s="90">
        <f t="shared" si="188"/>
        <v>41502500</v>
      </c>
      <c r="AW196" s="90">
        <f t="shared" si="188"/>
        <v>40438333.333333328</v>
      </c>
      <c r="AX196" s="90">
        <f t="shared" si="188"/>
        <v>39374166.666666664</v>
      </c>
      <c r="AY196" s="90">
        <f t="shared" si="188"/>
        <v>38310000</v>
      </c>
      <c r="AZ196" s="90">
        <f t="shared" si="188"/>
        <v>37245833.333333328</v>
      </c>
      <c r="BA196" s="90">
        <f t="shared" si="188"/>
        <v>36181666.666666657</v>
      </c>
      <c r="BB196" s="90">
        <f t="shared" si="188"/>
        <v>35117499.999999993</v>
      </c>
      <c r="BC196" s="90">
        <f t="shared" si="188"/>
        <v>34053333.333333328</v>
      </c>
      <c r="BD196" s="90">
        <f t="shared" si="188"/>
        <v>32989166.666666657</v>
      </c>
      <c r="BE196" s="90">
        <f t="shared" si="188"/>
        <v>31924999.999999989</v>
      </c>
      <c r="BF196" s="90">
        <f t="shared" si="188"/>
        <v>30860833.333333321</v>
      </c>
      <c r="BG196" s="90">
        <f t="shared" si="188"/>
        <v>29796666.666666657</v>
      </c>
      <c r="BH196" s="90">
        <f t="shared" si="188"/>
        <v>28732499.999999993</v>
      </c>
      <c r="BI196" s="90">
        <f t="shared" si="188"/>
        <v>15962499.999999993</v>
      </c>
      <c r="BJ196" s="90">
        <f t="shared" ref="BJ196:BO196" si="189">BJ148-BJ180</f>
        <v>3192499.9999999925</v>
      </c>
      <c r="BK196" s="90">
        <f t="shared" si="189"/>
        <v>0</v>
      </c>
      <c r="BL196" s="90">
        <f t="shared" si="189"/>
        <v>0</v>
      </c>
      <c r="BM196" s="90">
        <f t="shared" si="189"/>
        <v>0</v>
      </c>
      <c r="BN196" s="90">
        <f t="shared" si="189"/>
        <v>0</v>
      </c>
      <c r="BO196" s="90">
        <f t="shared" si="189"/>
        <v>0</v>
      </c>
    </row>
    <row r="197" spans="1:67">
      <c r="A197" s="11"/>
      <c r="B197" s="11" t="s">
        <v>325</v>
      </c>
      <c r="C197" s="11"/>
      <c r="D197" s="11"/>
      <c r="E197" s="3"/>
      <c r="F197" s="3"/>
      <c r="G197" s="90">
        <f t="shared" si="169"/>
        <v>1520000</v>
      </c>
      <c r="H197" s="90">
        <f t="shared" ref="H197:BI197" si="190">H149-H181</f>
        <v>3040000</v>
      </c>
      <c r="I197" s="90">
        <f t="shared" si="190"/>
        <v>4560000</v>
      </c>
      <c r="J197" s="90">
        <f t="shared" si="190"/>
        <v>5890000</v>
      </c>
      <c r="K197" s="90">
        <f t="shared" si="190"/>
        <v>7220000</v>
      </c>
      <c r="L197" s="90">
        <f t="shared" si="190"/>
        <v>8550000</v>
      </c>
      <c r="M197" s="90">
        <f t="shared" si="190"/>
        <v>9880000</v>
      </c>
      <c r="N197" s="90">
        <f t="shared" si="190"/>
        <v>11210000</v>
      </c>
      <c r="O197" s="90">
        <f t="shared" si="190"/>
        <v>12540000</v>
      </c>
      <c r="P197" s="90">
        <f t="shared" si="190"/>
        <v>13078333.333333334</v>
      </c>
      <c r="Q197" s="90">
        <f t="shared" si="190"/>
        <v>13616666.666666668</v>
      </c>
      <c r="R197" s="90">
        <f t="shared" si="190"/>
        <v>14155000.000000002</v>
      </c>
      <c r="S197" s="90">
        <f t="shared" si="190"/>
        <v>14693333.333333336</v>
      </c>
      <c r="T197" s="90">
        <f t="shared" si="190"/>
        <v>15231666.66666667</v>
      </c>
      <c r="U197" s="90">
        <f t="shared" si="190"/>
        <v>15770000.000000004</v>
      </c>
      <c r="V197" s="90">
        <f t="shared" si="190"/>
        <v>16308333.333333338</v>
      </c>
      <c r="W197" s="90">
        <f t="shared" si="190"/>
        <v>16846666.666666672</v>
      </c>
      <c r="X197" s="90">
        <f t="shared" si="190"/>
        <v>17385000.000000004</v>
      </c>
      <c r="Y197" s="90">
        <f t="shared" si="190"/>
        <v>17923333.333333336</v>
      </c>
      <c r="Z197" s="90">
        <f t="shared" si="190"/>
        <v>18461666.666666668</v>
      </c>
      <c r="AA197" s="90">
        <f t="shared" si="190"/>
        <v>19000000</v>
      </c>
      <c r="AB197" s="90">
        <f t="shared" si="190"/>
        <v>18947222.222222224</v>
      </c>
      <c r="AC197" s="90">
        <f t="shared" si="190"/>
        <v>18894444.444444444</v>
      </c>
      <c r="AD197" s="90">
        <f t="shared" si="190"/>
        <v>18841666.666666668</v>
      </c>
      <c r="AE197" s="90">
        <f t="shared" si="190"/>
        <v>18788888.888888888</v>
      </c>
      <c r="AF197" s="90">
        <f t="shared" si="190"/>
        <v>18736111.111111112</v>
      </c>
      <c r="AG197" s="90">
        <f t="shared" si="190"/>
        <v>18683333.333333332</v>
      </c>
      <c r="AH197" s="90">
        <f t="shared" si="190"/>
        <v>18630555.555555556</v>
      </c>
      <c r="AI197" s="90">
        <f t="shared" si="190"/>
        <v>18577777.777777776</v>
      </c>
      <c r="AJ197" s="90">
        <f t="shared" si="190"/>
        <v>18525000</v>
      </c>
      <c r="AK197" s="90">
        <f t="shared" si="190"/>
        <v>18472222.222222224</v>
      </c>
      <c r="AL197" s="90">
        <f t="shared" si="190"/>
        <v>18419444.444444444</v>
      </c>
      <c r="AM197" s="90">
        <f t="shared" si="190"/>
        <v>18366666.666666668</v>
      </c>
      <c r="AN197" s="90">
        <f t="shared" si="190"/>
        <v>18313888.888888888</v>
      </c>
      <c r="AO197" s="90">
        <f t="shared" si="190"/>
        <v>18261111.111111112</v>
      </c>
      <c r="AP197" s="90">
        <f t="shared" si="190"/>
        <v>18208333.333333332</v>
      </c>
      <c r="AQ197" s="90">
        <f t="shared" si="190"/>
        <v>18155555.555555556</v>
      </c>
      <c r="AR197" s="90">
        <f t="shared" si="190"/>
        <v>18102777.77777778</v>
      </c>
      <c r="AS197" s="90">
        <f t="shared" si="190"/>
        <v>18050000</v>
      </c>
      <c r="AT197" s="90">
        <f t="shared" si="190"/>
        <v>17997222.222222224</v>
      </c>
      <c r="AU197" s="90">
        <f t="shared" si="190"/>
        <v>17944444.444444444</v>
      </c>
      <c r="AV197" s="90">
        <f t="shared" si="190"/>
        <v>17891666.666666668</v>
      </c>
      <c r="AW197" s="90">
        <f t="shared" si="190"/>
        <v>17838888.888888888</v>
      </c>
      <c r="AX197" s="90">
        <f t="shared" si="190"/>
        <v>17786111.111111112</v>
      </c>
      <c r="AY197" s="90">
        <f t="shared" si="190"/>
        <v>17733333.333333332</v>
      </c>
      <c r="AZ197" s="90">
        <f t="shared" si="190"/>
        <v>17680555.555555556</v>
      </c>
      <c r="BA197" s="90">
        <f t="shared" si="190"/>
        <v>17627777.77777778</v>
      </c>
      <c r="BB197" s="90">
        <f t="shared" si="190"/>
        <v>17575000</v>
      </c>
      <c r="BC197" s="90">
        <f t="shared" si="190"/>
        <v>17522222.222222224</v>
      </c>
      <c r="BD197" s="90">
        <f t="shared" si="190"/>
        <v>17469444.444444444</v>
      </c>
      <c r="BE197" s="90">
        <f t="shared" si="190"/>
        <v>17416666.666666668</v>
      </c>
      <c r="BF197" s="90">
        <f t="shared" si="190"/>
        <v>17363888.888888888</v>
      </c>
      <c r="BG197" s="90">
        <f t="shared" si="190"/>
        <v>17311111.111111112</v>
      </c>
      <c r="BH197" s="90">
        <f t="shared" si="190"/>
        <v>17258333.333333336</v>
      </c>
      <c r="BI197" s="90">
        <f t="shared" si="190"/>
        <v>16625000</v>
      </c>
      <c r="BJ197" s="90">
        <f t="shared" ref="BJ197:BO197" si="191">BJ149-BJ181</f>
        <v>15991666.666666668</v>
      </c>
      <c r="BK197" s="90">
        <f t="shared" si="191"/>
        <v>15358333.333333334</v>
      </c>
      <c r="BL197" s="90">
        <f t="shared" si="191"/>
        <v>14725000</v>
      </c>
      <c r="BM197" s="90">
        <f t="shared" si="191"/>
        <v>14091666.666666668</v>
      </c>
      <c r="BN197" s="90">
        <f t="shared" si="191"/>
        <v>13458333.333333334</v>
      </c>
      <c r="BO197" s="90">
        <f t="shared" si="191"/>
        <v>12825000</v>
      </c>
    </row>
    <row r="198" spans="1:67">
      <c r="A198" s="11"/>
      <c r="B198" s="11" t="s">
        <v>326</v>
      </c>
      <c r="C198" s="11"/>
      <c r="D198" s="11"/>
      <c r="E198" s="3"/>
      <c r="F198" s="3"/>
      <c r="G198" s="90">
        <f t="shared" si="169"/>
        <v>0</v>
      </c>
      <c r="H198" s="90">
        <f t="shared" ref="H198:BI198" si="192">H150-H182</f>
        <v>0</v>
      </c>
      <c r="I198" s="90">
        <f t="shared" si="192"/>
        <v>0</v>
      </c>
      <c r="J198" s="90">
        <f t="shared" si="192"/>
        <v>0</v>
      </c>
      <c r="K198" s="90">
        <f t="shared" si="192"/>
        <v>0</v>
      </c>
      <c r="L198" s="90">
        <f t="shared" si="192"/>
        <v>0</v>
      </c>
      <c r="M198" s="90">
        <f t="shared" si="192"/>
        <v>0</v>
      </c>
      <c r="N198" s="90">
        <f t="shared" si="192"/>
        <v>0</v>
      </c>
      <c r="O198" s="90">
        <f t="shared" si="192"/>
        <v>0</v>
      </c>
      <c r="P198" s="90">
        <f t="shared" si="192"/>
        <v>0</v>
      </c>
      <c r="Q198" s="90">
        <f t="shared" si="192"/>
        <v>21378354.166666668</v>
      </c>
      <c r="R198" s="90">
        <f t="shared" si="192"/>
        <v>22011721.567095589</v>
      </c>
      <c r="S198" s="90">
        <f t="shared" si="192"/>
        <v>23003257.95107422</v>
      </c>
      <c r="T198" s="90">
        <f t="shared" si="192"/>
        <v>24358514.511707898</v>
      </c>
      <c r="U198" s="90">
        <f t="shared" si="192"/>
        <v>26079461.399953507</v>
      </c>
      <c r="V198" s="90">
        <f t="shared" si="192"/>
        <v>28168079.43841894</v>
      </c>
      <c r="W198" s="90">
        <f t="shared" si="192"/>
        <v>30626360.179167893</v>
      </c>
      <c r="X198" s="90">
        <f t="shared" si="192"/>
        <v>33456305.961837731</v>
      </c>
      <c r="Y198" s="90">
        <f t="shared" si="192"/>
        <v>36659929.972072199</v>
      </c>
      <c r="Z198" s="90">
        <f t="shared" si="192"/>
        <v>40239256.300270595</v>
      </c>
      <c r="AA198" s="90">
        <f t="shared" si="192"/>
        <v>44000000</v>
      </c>
      <c r="AB198" s="90">
        <f t="shared" si="192"/>
        <v>43755555.555555552</v>
      </c>
      <c r="AC198" s="90">
        <f t="shared" si="192"/>
        <v>43511111.111111112</v>
      </c>
      <c r="AD198" s="90">
        <f t="shared" si="192"/>
        <v>43266666.666666664</v>
      </c>
      <c r="AE198" s="90">
        <f t="shared" si="192"/>
        <v>43022222.222222224</v>
      </c>
      <c r="AF198" s="90">
        <f t="shared" si="192"/>
        <v>42777777.777777776</v>
      </c>
      <c r="AG198" s="90">
        <f t="shared" si="192"/>
        <v>42533333.333333336</v>
      </c>
      <c r="AH198" s="90">
        <f t="shared" si="192"/>
        <v>42288888.888888888</v>
      </c>
      <c r="AI198" s="90">
        <f t="shared" si="192"/>
        <v>42044444.444444448</v>
      </c>
      <c r="AJ198" s="90">
        <f t="shared" si="192"/>
        <v>41800000</v>
      </c>
      <c r="AK198" s="90">
        <f t="shared" si="192"/>
        <v>41555555.555555552</v>
      </c>
      <c r="AL198" s="90">
        <f t="shared" si="192"/>
        <v>41311111.111111112</v>
      </c>
      <c r="AM198" s="90">
        <f t="shared" si="192"/>
        <v>41066666.666666664</v>
      </c>
      <c r="AN198" s="90">
        <f t="shared" si="192"/>
        <v>40822222.222222224</v>
      </c>
      <c r="AO198" s="90">
        <f t="shared" si="192"/>
        <v>40577777.777777776</v>
      </c>
      <c r="AP198" s="90">
        <f t="shared" si="192"/>
        <v>40333333.333333336</v>
      </c>
      <c r="AQ198" s="90">
        <f t="shared" si="192"/>
        <v>40088888.888888888</v>
      </c>
      <c r="AR198" s="90">
        <f t="shared" si="192"/>
        <v>39844444.444444448</v>
      </c>
      <c r="AS198" s="90">
        <f t="shared" si="192"/>
        <v>39600000</v>
      </c>
      <c r="AT198" s="90">
        <f t="shared" si="192"/>
        <v>39355555.555555552</v>
      </c>
      <c r="AU198" s="90">
        <f t="shared" si="192"/>
        <v>39111111.111111112</v>
      </c>
      <c r="AV198" s="90">
        <f t="shared" si="192"/>
        <v>38866666.666666672</v>
      </c>
      <c r="AW198" s="90">
        <f t="shared" si="192"/>
        <v>38622222.222222224</v>
      </c>
      <c r="AX198" s="90">
        <f t="shared" si="192"/>
        <v>38377777.777777776</v>
      </c>
      <c r="AY198" s="90">
        <f t="shared" si="192"/>
        <v>38133333.333333336</v>
      </c>
      <c r="AZ198" s="90">
        <f t="shared" si="192"/>
        <v>37888888.888888896</v>
      </c>
      <c r="BA198" s="90">
        <f t="shared" si="192"/>
        <v>37644444.444444448</v>
      </c>
      <c r="BB198" s="90">
        <f t="shared" si="192"/>
        <v>37400000</v>
      </c>
      <c r="BC198" s="90">
        <f t="shared" si="192"/>
        <v>37155555.55555556</v>
      </c>
      <c r="BD198" s="90">
        <f t="shared" si="192"/>
        <v>36911111.111111119</v>
      </c>
      <c r="BE198" s="90">
        <f t="shared" si="192"/>
        <v>36666666.666666672</v>
      </c>
      <c r="BF198" s="90">
        <f t="shared" si="192"/>
        <v>36422222.222222224</v>
      </c>
      <c r="BG198" s="90">
        <f t="shared" si="192"/>
        <v>36177777.777777784</v>
      </c>
      <c r="BH198" s="90">
        <f t="shared" si="192"/>
        <v>35933333.333333343</v>
      </c>
      <c r="BI198" s="90">
        <f t="shared" si="192"/>
        <v>33000000.000000007</v>
      </c>
      <c r="BJ198" s="90">
        <f t="shared" ref="BJ198:BO198" si="193">BJ150-BJ182</f>
        <v>30066666.666666672</v>
      </c>
      <c r="BK198" s="90">
        <f t="shared" si="193"/>
        <v>27133333.33333334</v>
      </c>
      <c r="BL198" s="90">
        <f t="shared" si="193"/>
        <v>24200000.000000007</v>
      </c>
      <c r="BM198" s="90">
        <f t="shared" si="193"/>
        <v>21266666.666666675</v>
      </c>
      <c r="BN198" s="90">
        <f t="shared" si="193"/>
        <v>18333333.333333343</v>
      </c>
      <c r="BO198" s="90">
        <f t="shared" si="193"/>
        <v>15400000.000000011</v>
      </c>
    </row>
    <row r="199" spans="1:67">
      <c r="A199" s="11"/>
      <c r="B199" s="22" t="s">
        <v>332</v>
      </c>
      <c r="C199" s="22"/>
      <c r="D199" s="11"/>
      <c r="E199" s="3"/>
      <c r="F199" s="3"/>
      <c r="G199" s="89">
        <f>SUM(G187:G198)</f>
        <v>23407000</v>
      </c>
      <c r="H199" s="89">
        <f t="shared" ref="H199:BI199" si="194">SUM(H187:H198)</f>
        <v>46814000</v>
      </c>
      <c r="I199" s="89">
        <f t="shared" si="194"/>
        <v>70221000</v>
      </c>
      <c r="J199" s="89">
        <f t="shared" si="194"/>
        <v>339758000</v>
      </c>
      <c r="K199" s="89">
        <f t="shared" si="194"/>
        <v>394471470.58823526</v>
      </c>
      <c r="L199" s="89">
        <f t="shared" si="194"/>
        <v>449184941.17647058</v>
      </c>
      <c r="M199" s="89">
        <f t="shared" si="194"/>
        <v>503908411.7647059</v>
      </c>
      <c r="N199" s="89">
        <f t="shared" si="194"/>
        <v>558631882.35294116</v>
      </c>
      <c r="O199" s="89">
        <f t="shared" si="194"/>
        <v>613355352.94117641</v>
      </c>
      <c r="P199" s="89">
        <f t="shared" si="194"/>
        <v>678845490.19607842</v>
      </c>
      <c r="Q199" s="89">
        <f t="shared" si="194"/>
        <v>765713981.61764693</v>
      </c>
      <c r="R199" s="89">
        <f t="shared" si="194"/>
        <v>831837486.27297795</v>
      </c>
      <c r="S199" s="89">
        <f t="shared" si="194"/>
        <v>898985826.57852519</v>
      </c>
      <c r="T199" s="89">
        <f t="shared" si="194"/>
        <v>966497887.06072748</v>
      </c>
      <c r="U199" s="89">
        <f t="shared" si="194"/>
        <v>1034375637.8705417</v>
      </c>
      <c r="V199" s="89">
        <f t="shared" si="194"/>
        <v>1102621059.8305757</v>
      </c>
      <c r="W199" s="89">
        <f t="shared" si="194"/>
        <v>1171236144.4928935</v>
      </c>
      <c r="X199" s="89">
        <f t="shared" si="194"/>
        <v>1240222894.1971319</v>
      </c>
      <c r="Y199" s="89">
        <f t="shared" si="194"/>
        <v>1309583322.1289349</v>
      </c>
      <c r="Z199" s="89">
        <f t="shared" si="194"/>
        <v>1379319452.3787019</v>
      </c>
      <c r="AA199" s="89">
        <f t="shared" si="194"/>
        <v>1449700000</v>
      </c>
      <c r="AB199" s="89">
        <f t="shared" si="194"/>
        <v>1441948125</v>
      </c>
      <c r="AC199" s="89">
        <f t="shared" si="194"/>
        <v>1434186180.5555556</v>
      </c>
      <c r="AD199" s="89">
        <f t="shared" si="194"/>
        <v>1426414166.6666667</v>
      </c>
      <c r="AE199" s="89">
        <f t="shared" si="194"/>
        <v>1418632083.3333333</v>
      </c>
      <c r="AF199" s="89">
        <f t="shared" si="194"/>
        <v>1410839930.5555556</v>
      </c>
      <c r="AG199" s="89">
        <f t="shared" si="194"/>
        <v>1403037708.333333</v>
      </c>
      <c r="AH199" s="89">
        <f t="shared" si="194"/>
        <v>1395225416.6666665</v>
      </c>
      <c r="AI199" s="89">
        <f t="shared" si="194"/>
        <v>1387403055.5555553</v>
      </c>
      <c r="AJ199" s="89">
        <f t="shared" si="194"/>
        <v>1379570625</v>
      </c>
      <c r="AK199" s="89">
        <f t="shared" si="194"/>
        <v>1371728125</v>
      </c>
      <c r="AL199" s="89">
        <f t="shared" si="194"/>
        <v>1363875555.5555556</v>
      </c>
      <c r="AM199" s="89">
        <f t="shared" si="194"/>
        <v>1356012916.6666667</v>
      </c>
      <c r="AN199" s="89">
        <f t="shared" si="194"/>
        <v>1348140208.3333333</v>
      </c>
      <c r="AO199" s="89">
        <f t="shared" si="194"/>
        <v>1340257430.5555556</v>
      </c>
      <c r="AP199" s="89">
        <f t="shared" si="194"/>
        <v>1332364583.333333</v>
      </c>
      <c r="AQ199" s="89">
        <f t="shared" si="194"/>
        <v>1324461666.6666665</v>
      </c>
      <c r="AR199" s="89">
        <f t="shared" si="194"/>
        <v>1316548680.5555553</v>
      </c>
      <c r="AS199" s="89">
        <f t="shared" si="194"/>
        <v>1308625625</v>
      </c>
      <c r="AT199" s="89">
        <f t="shared" si="194"/>
        <v>1300692500</v>
      </c>
      <c r="AU199" s="89">
        <f t="shared" si="194"/>
        <v>1292749305.5555556</v>
      </c>
      <c r="AV199" s="89">
        <f t="shared" si="194"/>
        <v>1284796041.6666667</v>
      </c>
      <c r="AW199" s="89">
        <f t="shared" si="194"/>
        <v>1276832708.3333333</v>
      </c>
      <c r="AX199" s="89">
        <f t="shared" si="194"/>
        <v>1268859305.5555556</v>
      </c>
      <c r="AY199" s="89">
        <f t="shared" si="194"/>
        <v>1260875833.333333</v>
      </c>
      <c r="AZ199" s="89">
        <f t="shared" si="194"/>
        <v>1252882291.6666665</v>
      </c>
      <c r="BA199" s="89">
        <f t="shared" si="194"/>
        <v>1244878680.5555553</v>
      </c>
      <c r="BB199" s="89">
        <f t="shared" si="194"/>
        <v>1236865000</v>
      </c>
      <c r="BC199" s="89">
        <f t="shared" si="194"/>
        <v>1228841250</v>
      </c>
      <c r="BD199" s="89">
        <f t="shared" si="194"/>
        <v>1220807430.5555556</v>
      </c>
      <c r="BE199" s="89">
        <f t="shared" si="194"/>
        <v>1212763541.6666667</v>
      </c>
      <c r="BF199" s="89">
        <f t="shared" si="194"/>
        <v>1204709583.3333333</v>
      </c>
      <c r="BG199" s="89">
        <f t="shared" si="194"/>
        <v>1196645555.5555556</v>
      </c>
      <c r="BH199" s="89">
        <f t="shared" si="194"/>
        <v>1188571458.333333</v>
      </c>
      <c r="BI199" s="89">
        <f t="shared" si="194"/>
        <v>1090232291.6666667</v>
      </c>
      <c r="BJ199" s="89">
        <f t="shared" ref="BJ199" si="195">SUM(BJ187:BJ198)</f>
        <v>990443124.99999988</v>
      </c>
      <c r="BK199" s="89">
        <f t="shared" ref="BK199" si="196">SUM(BK187:BK198)</f>
        <v>901503958.33333337</v>
      </c>
      <c r="BL199" s="89">
        <f t="shared" ref="BL199" si="197">SUM(BL187:BL198)</f>
        <v>815214791.66666663</v>
      </c>
      <c r="BM199" s="89">
        <f t="shared" ref="BM199" si="198">SUM(BM187:BM198)</f>
        <v>727475624.99999988</v>
      </c>
      <c r="BN199" s="89">
        <f t="shared" ref="BN199" si="199">SUM(BN187:BN198)</f>
        <v>638286458.33333337</v>
      </c>
      <c r="BO199" s="89">
        <f t="shared" ref="BO199" si="200">SUM(BO187:BO198)</f>
        <v>547647291.66666663</v>
      </c>
    </row>
    <row r="200" spans="1:67">
      <c r="A200" s="11"/>
      <c r="B200" s="11"/>
      <c r="C200" s="11"/>
      <c r="D200" s="11"/>
      <c r="E200" s="33"/>
      <c r="F200" s="33"/>
      <c r="G200" s="33"/>
      <c r="H200" s="33"/>
      <c r="I200" s="33"/>
      <c r="J200" s="33"/>
      <c r="K200" s="33"/>
      <c r="L200" s="33"/>
      <c r="M200" s="33"/>
      <c r="N200" s="33"/>
      <c r="O200" s="33"/>
      <c r="P200" s="33"/>
      <c r="Q200" s="33"/>
      <c r="R200" s="33"/>
      <c r="S200" s="33"/>
      <c r="T200" s="33"/>
      <c r="U200" s="33"/>
      <c r="V200" s="33"/>
      <c r="W200" s="33"/>
      <c r="X200" s="33"/>
      <c r="Y200" s="33"/>
      <c r="Z200" s="33"/>
      <c r="AA200" s="33"/>
      <c r="AB200" s="33"/>
      <c r="AC200" s="33"/>
      <c r="AD200" s="33"/>
      <c r="AE200" s="33"/>
      <c r="AF200" s="33"/>
      <c r="AG200" s="33"/>
      <c r="AH200" s="33"/>
      <c r="AI200" s="33"/>
      <c r="AJ200" s="33"/>
      <c r="AK200" s="33"/>
      <c r="AL200" s="33"/>
      <c r="AM200" s="33"/>
      <c r="AN200" s="33"/>
      <c r="AO200" s="33"/>
      <c r="AP200" s="33"/>
      <c r="AQ200" s="33"/>
      <c r="AR200" s="33"/>
      <c r="AS200" s="33"/>
      <c r="AT200" s="33"/>
      <c r="AU200" s="33"/>
      <c r="AV200" s="33"/>
      <c r="AW200" s="33"/>
      <c r="AX200" s="33"/>
      <c r="AY200" s="33"/>
      <c r="AZ200" s="33"/>
      <c r="BA200" s="33"/>
      <c r="BB200" s="33"/>
      <c r="BC200" s="33"/>
      <c r="BD200" s="33"/>
      <c r="BE200" s="33"/>
      <c r="BF200" s="33"/>
      <c r="BG200" s="33"/>
      <c r="BH200" s="33"/>
      <c r="BI200" s="33"/>
      <c r="BJ200" s="44"/>
      <c r="BK200" s="44"/>
      <c r="BL200" s="44"/>
      <c r="BM200" s="44"/>
      <c r="BN200" s="44"/>
      <c r="BO200" s="44"/>
    </row>
    <row r="201" spans="1:67">
      <c r="A201" s="18" t="s">
        <v>1802</v>
      </c>
      <c r="B201" s="18"/>
      <c r="C201" s="18"/>
      <c r="D201" s="18"/>
      <c r="E201" s="39"/>
      <c r="F201" s="39"/>
      <c r="G201" s="39"/>
      <c r="H201" s="39"/>
      <c r="I201" s="39"/>
      <c r="J201" s="39"/>
      <c r="K201" s="39"/>
      <c r="L201" s="39"/>
      <c r="M201" s="39"/>
      <c r="N201" s="39"/>
      <c r="O201" s="39"/>
      <c r="P201" s="39"/>
      <c r="Q201" s="39"/>
      <c r="R201" s="39"/>
      <c r="S201" s="39"/>
      <c r="T201" s="39"/>
      <c r="U201" s="39"/>
      <c r="V201" s="39"/>
      <c r="W201" s="39"/>
      <c r="X201" s="39"/>
      <c r="Y201" s="39"/>
      <c r="Z201" s="39"/>
      <c r="AA201" s="39"/>
      <c r="AB201" s="39"/>
      <c r="AC201" s="39"/>
      <c r="AD201" s="39"/>
      <c r="AE201" s="39"/>
      <c r="AF201" s="39"/>
      <c r="AG201" s="39"/>
      <c r="AH201" s="39"/>
      <c r="AI201" s="39"/>
      <c r="AJ201" s="39"/>
      <c r="AK201" s="39"/>
      <c r="AL201" s="39"/>
      <c r="AM201" s="39"/>
      <c r="AN201" s="39"/>
      <c r="AO201" s="39"/>
      <c r="AP201" s="39"/>
      <c r="AQ201" s="39"/>
      <c r="AR201" s="39"/>
      <c r="AS201" s="39"/>
      <c r="AT201" s="39"/>
      <c r="AU201" s="39"/>
      <c r="AV201" s="39"/>
      <c r="AW201" s="39"/>
      <c r="AX201" s="39"/>
      <c r="AY201" s="39"/>
      <c r="AZ201" s="39"/>
      <c r="BA201" s="39"/>
      <c r="BB201" s="39"/>
      <c r="BC201" s="39"/>
      <c r="BD201" s="39"/>
      <c r="BE201" s="39"/>
      <c r="BF201" s="39"/>
      <c r="BG201" s="39"/>
      <c r="BH201" s="39"/>
      <c r="BI201" s="39"/>
      <c r="BJ201" s="45"/>
      <c r="BK201" s="45"/>
      <c r="BL201" s="45"/>
      <c r="BM201" s="45"/>
      <c r="BN201" s="45"/>
      <c r="BO201" s="45"/>
    </row>
    <row r="202" spans="1:67">
      <c r="A202" s="11"/>
      <c r="B202" s="11"/>
      <c r="C202" s="11"/>
      <c r="D202" s="11"/>
      <c r="E202" s="90"/>
      <c r="F202" s="33"/>
      <c r="G202" s="33"/>
      <c r="H202" s="33"/>
      <c r="I202" s="33"/>
      <c r="J202" s="33"/>
      <c r="K202" s="33"/>
      <c r="L202" s="33"/>
      <c r="M202" s="33"/>
      <c r="N202" s="33"/>
      <c r="O202" s="33"/>
      <c r="P202" s="33"/>
      <c r="Q202" s="33"/>
      <c r="R202" s="33"/>
      <c r="S202" s="33"/>
      <c r="T202" s="33"/>
      <c r="U202" s="33"/>
      <c r="V202" s="33"/>
      <c r="W202" s="33"/>
      <c r="X202" s="33"/>
      <c r="Y202" s="33"/>
      <c r="Z202" s="33"/>
      <c r="AA202" s="33"/>
      <c r="AB202" s="33"/>
      <c r="AC202" s="33"/>
      <c r="AD202" s="33"/>
      <c r="AE202" s="33"/>
      <c r="AF202" s="33"/>
      <c r="AG202" s="33"/>
      <c r="AH202" s="33"/>
      <c r="AI202" s="33"/>
      <c r="AJ202" s="33"/>
      <c r="AK202" s="33"/>
      <c r="AL202" s="33"/>
      <c r="AM202" s="33"/>
      <c r="AN202" s="33"/>
      <c r="AO202" s="33"/>
      <c r="AP202" s="33"/>
      <c r="AQ202" s="33"/>
      <c r="AR202" s="33"/>
      <c r="AS202" s="33"/>
      <c r="AT202" s="33"/>
      <c r="AU202" s="33"/>
      <c r="AV202" s="33"/>
      <c r="AW202" s="33"/>
      <c r="AX202" s="33"/>
      <c r="AY202" s="33"/>
      <c r="AZ202" s="33"/>
      <c r="BA202" s="33"/>
      <c r="BB202" s="33"/>
      <c r="BC202" s="33"/>
      <c r="BD202" s="33"/>
      <c r="BE202" s="33"/>
      <c r="BF202" s="33"/>
      <c r="BG202" s="33"/>
      <c r="BH202" s="33"/>
      <c r="BI202" s="33"/>
      <c r="BJ202" s="44"/>
      <c r="BK202" s="44"/>
      <c r="BL202" s="44"/>
      <c r="BM202" s="44"/>
      <c r="BN202" s="44"/>
      <c r="BO202" s="44"/>
    </row>
    <row r="203" spans="1:67">
      <c r="A203" s="11"/>
      <c r="B203" s="11"/>
      <c r="C203" s="11"/>
      <c r="D203" s="11"/>
      <c r="E203" s="6"/>
      <c r="F203" s="33"/>
      <c r="G203" s="33"/>
      <c r="H203" s="33"/>
      <c r="I203" s="33"/>
      <c r="J203" s="33"/>
      <c r="K203" s="33"/>
      <c r="L203" s="33"/>
      <c r="M203" s="33"/>
      <c r="N203" s="33"/>
      <c r="O203" s="33"/>
      <c r="P203" s="33"/>
      <c r="Q203" s="33"/>
      <c r="R203" s="33"/>
      <c r="S203" s="33"/>
      <c r="T203" s="33"/>
      <c r="U203" s="33"/>
      <c r="V203" s="33"/>
      <c r="W203" s="33"/>
      <c r="X203" s="33"/>
      <c r="Y203" s="33"/>
      <c r="Z203" s="33"/>
      <c r="AA203" s="33"/>
      <c r="AB203" s="33"/>
      <c r="AC203" s="33"/>
      <c r="AD203" s="33"/>
      <c r="AE203" s="33"/>
      <c r="AF203" s="33"/>
      <c r="AG203" s="33"/>
      <c r="AH203" s="33"/>
      <c r="AI203" s="33"/>
      <c r="AJ203" s="33"/>
      <c r="AK203" s="33"/>
      <c r="AL203" s="33"/>
      <c r="AM203" s="33"/>
      <c r="AN203" s="33"/>
      <c r="AO203" s="33"/>
      <c r="AP203" s="33"/>
      <c r="AQ203" s="33"/>
      <c r="AR203" s="33"/>
      <c r="AS203" s="33"/>
      <c r="AT203" s="33"/>
      <c r="AU203" s="33"/>
      <c r="AV203" s="33"/>
      <c r="AW203" s="33"/>
      <c r="AX203" s="33"/>
      <c r="AY203" s="33"/>
      <c r="AZ203" s="33"/>
      <c r="BA203" s="33"/>
      <c r="BB203" s="33"/>
      <c r="BC203" s="33"/>
      <c r="BD203" s="33"/>
      <c r="BE203" s="33"/>
      <c r="BF203" s="33"/>
      <c r="BG203" s="33"/>
      <c r="BH203" s="33"/>
      <c r="BI203" s="33"/>
      <c r="BJ203" s="44"/>
      <c r="BK203" s="44"/>
      <c r="BL203" s="44"/>
      <c r="BM203" s="44"/>
      <c r="BN203" s="44"/>
      <c r="BO203" s="44"/>
    </row>
    <row r="204" spans="1:67">
      <c r="A204" s="11"/>
      <c r="B204" s="11"/>
      <c r="C204" s="11"/>
      <c r="D204" s="11"/>
      <c r="E204" s="33"/>
      <c r="F204" s="33"/>
      <c r="G204" s="33"/>
      <c r="H204" s="33"/>
      <c r="I204" s="33"/>
      <c r="J204" s="33"/>
      <c r="K204" s="33"/>
      <c r="L204" s="33"/>
      <c r="M204" s="33"/>
      <c r="N204" s="33"/>
      <c r="O204" s="33"/>
      <c r="P204" s="33"/>
      <c r="Q204" s="33"/>
      <c r="R204" s="33"/>
      <c r="S204" s="33"/>
      <c r="T204" s="33"/>
      <c r="U204" s="33"/>
      <c r="V204" s="33"/>
      <c r="W204" s="33"/>
      <c r="X204" s="33"/>
      <c r="Y204" s="33"/>
      <c r="Z204" s="33"/>
      <c r="AA204" s="33"/>
      <c r="AB204" s="33"/>
      <c r="AC204" s="33"/>
      <c r="AD204" s="33"/>
      <c r="AE204" s="33"/>
      <c r="AF204" s="33"/>
      <c r="AG204" s="33"/>
      <c r="AH204" s="33"/>
      <c r="AI204" s="33"/>
      <c r="AJ204" s="33"/>
      <c r="AK204" s="33"/>
      <c r="AL204" s="33"/>
      <c r="AM204" s="33"/>
      <c r="AN204" s="33"/>
      <c r="AO204" s="33"/>
      <c r="AP204" s="33"/>
      <c r="AQ204" s="33"/>
      <c r="AR204" s="33"/>
      <c r="AS204" s="33"/>
      <c r="AT204" s="33"/>
      <c r="AU204" s="33"/>
      <c r="AV204" s="33"/>
      <c r="AW204" s="33"/>
      <c r="AX204" s="33"/>
      <c r="AY204" s="33"/>
      <c r="AZ204" s="33"/>
      <c r="BA204" s="33"/>
      <c r="BB204" s="33"/>
      <c r="BC204" s="33"/>
      <c r="BD204" s="33"/>
      <c r="BE204" s="33"/>
      <c r="BF204" s="33"/>
      <c r="BG204" s="33"/>
      <c r="BH204" s="33"/>
      <c r="BI204" s="33"/>
      <c r="BJ204" s="44"/>
      <c r="BK204" s="44"/>
      <c r="BL204" s="44"/>
      <c r="BM204" s="44"/>
      <c r="BN204" s="44"/>
      <c r="BO204" s="44"/>
    </row>
    <row r="205" spans="1:67">
      <c r="A205" s="11"/>
      <c r="B205" s="22" t="s">
        <v>1514</v>
      </c>
      <c r="C205" s="22"/>
      <c r="D205" s="22" t="s">
        <v>1515</v>
      </c>
      <c r="E205" s="22" t="s">
        <v>1516</v>
      </c>
      <c r="F205" s="22"/>
      <c r="G205" s="22"/>
      <c r="H205" s="22" t="s">
        <v>1517</v>
      </c>
      <c r="I205" s="22" t="s">
        <v>1661</v>
      </c>
      <c r="J205" s="33"/>
      <c r="K205" s="33"/>
      <c r="L205" s="33"/>
      <c r="M205" s="33"/>
      <c r="N205" s="33"/>
      <c r="O205" s="33"/>
      <c r="P205" s="33"/>
      <c r="Q205" s="33"/>
      <c r="R205" s="33"/>
      <c r="S205" s="33"/>
      <c r="T205" s="33"/>
      <c r="U205" s="33"/>
      <c r="V205" s="33"/>
      <c r="W205" s="33"/>
      <c r="X205" s="33"/>
      <c r="Y205" s="33"/>
      <c r="Z205" s="33"/>
      <c r="AA205" s="33"/>
      <c r="AB205" s="33"/>
      <c r="AC205" s="33"/>
      <c r="AD205" s="33"/>
      <c r="AE205" s="33"/>
      <c r="AF205" s="33"/>
      <c r="AG205" s="33"/>
      <c r="AH205" s="33"/>
      <c r="AI205" s="33"/>
      <c r="AJ205" s="33"/>
      <c r="AK205" s="33"/>
      <c r="AL205" s="33"/>
      <c r="AM205" s="33"/>
      <c r="AN205" s="33"/>
      <c r="AO205" s="33"/>
      <c r="AP205" s="33"/>
      <c r="AQ205" s="33"/>
      <c r="AR205" s="33"/>
      <c r="AS205" s="33"/>
      <c r="AT205" s="33"/>
      <c r="AU205" s="33"/>
      <c r="AV205" s="33"/>
      <c r="AW205" s="33"/>
      <c r="AX205" s="33"/>
      <c r="AY205" s="33"/>
      <c r="AZ205" s="33"/>
      <c r="BA205" s="33"/>
      <c r="BB205" s="33"/>
      <c r="BC205" s="33"/>
      <c r="BD205" s="33"/>
      <c r="BE205" s="33"/>
      <c r="BF205" s="33"/>
      <c r="BG205" s="33"/>
      <c r="BH205" s="33"/>
      <c r="BI205" s="33"/>
      <c r="BJ205" s="44"/>
      <c r="BK205" s="44"/>
      <c r="BL205" s="44"/>
      <c r="BM205" s="44"/>
      <c r="BN205" s="44"/>
      <c r="BO205" s="44"/>
    </row>
    <row r="206" spans="1:67">
      <c r="A206" s="11"/>
      <c r="B206" s="11" t="s">
        <v>1518</v>
      </c>
      <c r="C206" s="11"/>
      <c r="D206" s="10" t="s">
        <v>1519</v>
      </c>
      <c r="E206" s="90">
        <v>1</v>
      </c>
      <c r="F206" s="90"/>
      <c r="G206" s="90"/>
      <c r="H206" s="10" t="s">
        <v>1803</v>
      </c>
      <c r="I206" s="33"/>
      <c r="J206" s="33"/>
      <c r="K206" s="33"/>
      <c r="L206" s="33"/>
      <c r="M206" s="33"/>
      <c r="N206" s="33"/>
      <c r="O206" s="33"/>
      <c r="P206" s="33"/>
      <c r="Q206" s="33"/>
      <c r="R206" s="33"/>
      <c r="S206" s="33"/>
      <c r="T206" s="33"/>
      <c r="U206" s="33"/>
      <c r="V206" s="33"/>
      <c r="W206" s="33"/>
      <c r="X206" s="33"/>
      <c r="Y206" s="33"/>
      <c r="Z206" s="33"/>
      <c r="AA206" s="33"/>
      <c r="AB206" s="33"/>
      <c r="AC206" s="33"/>
      <c r="AD206" s="33"/>
      <c r="AE206" s="33"/>
      <c r="AF206" s="33"/>
      <c r="AG206" s="33"/>
      <c r="AH206" s="33"/>
      <c r="AI206" s="33"/>
      <c r="AJ206" s="33"/>
      <c r="AK206" s="33"/>
      <c r="AL206" s="33"/>
      <c r="AM206" s="33"/>
      <c r="AN206" s="33"/>
      <c r="AO206" s="33"/>
      <c r="AP206" s="33"/>
      <c r="AQ206" s="33"/>
      <c r="AR206" s="33"/>
      <c r="AS206" s="33"/>
      <c r="AT206" s="33"/>
      <c r="AU206" s="33"/>
      <c r="AV206" s="33"/>
      <c r="AW206" s="33"/>
      <c r="AX206" s="33"/>
      <c r="AY206" s="33"/>
      <c r="AZ206" s="33"/>
      <c r="BA206" s="33"/>
      <c r="BB206" s="33"/>
      <c r="BC206" s="33"/>
      <c r="BD206" s="33"/>
      <c r="BE206" s="33"/>
      <c r="BF206" s="33"/>
      <c r="BG206" s="33"/>
      <c r="BH206" s="33"/>
      <c r="BI206" s="33"/>
      <c r="BJ206" s="44"/>
      <c r="BK206" s="44"/>
      <c r="BL206" s="44"/>
      <c r="BM206" s="44"/>
      <c r="BN206" s="44"/>
      <c r="BO206" s="44"/>
    </row>
    <row r="207" spans="1:67">
      <c r="A207" s="11"/>
      <c r="B207" s="11" t="s">
        <v>1520</v>
      </c>
      <c r="C207" s="11"/>
      <c r="D207" s="10" t="s">
        <v>1521</v>
      </c>
      <c r="E207" s="63">
        <v>0.6</v>
      </c>
      <c r="F207" s="90"/>
      <c r="G207" s="90"/>
      <c r="H207" s="10" t="s">
        <v>1522</v>
      </c>
      <c r="I207" s="63">
        <f t="shared" ref="I207:I227" si="201">$E$308^E207</f>
        <v>0.6597539553864471</v>
      </c>
      <c r="J207" s="33"/>
      <c r="K207" s="33"/>
      <c r="L207" s="33"/>
      <c r="M207" s="33"/>
      <c r="N207" s="33"/>
      <c r="O207" s="33"/>
      <c r="P207" s="33"/>
      <c r="Q207" s="33"/>
      <c r="R207" s="33"/>
      <c r="S207" s="33"/>
      <c r="T207" s="33"/>
      <c r="U207" s="33"/>
      <c r="V207" s="33"/>
      <c r="W207" s="33"/>
      <c r="X207" s="33"/>
      <c r="Y207" s="33"/>
      <c r="Z207" s="33"/>
      <c r="AA207" s="33"/>
      <c r="AB207" s="33"/>
      <c r="AC207" s="33"/>
      <c r="AD207" s="33"/>
      <c r="AE207" s="33"/>
      <c r="AF207" s="33"/>
      <c r="AG207" s="33"/>
      <c r="AH207" s="33"/>
      <c r="AI207" s="33"/>
      <c r="AJ207" s="33"/>
      <c r="AK207" s="33"/>
      <c r="AL207" s="33"/>
      <c r="AM207" s="33"/>
      <c r="AN207" s="33"/>
      <c r="AO207" s="33"/>
      <c r="AP207" s="33"/>
      <c r="AQ207" s="33"/>
      <c r="AR207" s="33"/>
      <c r="AS207" s="33"/>
      <c r="AT207" s="33"/>
      <c r="AU207" s="33"/>
      <c r="AV207" s="33"/>
      <c r="AW207" s="33"/>
      <c r="AX207" s="33"/>
      <c r="AY207" s="33"/>
      <c r="AZ207" s="33"/>
      <c r="BA207" s="33"/>
      <c r="BB207" s="33"/>
      <c r="BC207" s="33"/>
      <c r="BD207" s="33"/>
      <c r="BE207" s="33"/>
      <c r="BF207" s="33"/>
      <c r="BG207" s="33"/>
      <c r="BH207" s="33"/>
      <c r="BI207" s="33"/>
      <c r="BJ207" s="44"/>
      <c r="BK207" s="44"/>
      <c r="BL207" s="44"/>
      <c r="BM207" s="44"/>
      <c r="BN207" s="44"/>
      <c r="BO207" s="44"/>
    </row>
    <row r="208" spans="1:67">
      <c r="A208" s="11"/>
      <c r="B208" s="11" t="s">
        <v>263</v>
      </c>
      <c r="C208" s="11"/>
      <c r="D208" s="10" t="s">
        <v>1523</v>
      </c>
      <c r="E208" s="90">
        <v>0</v>
      </c>
      <c r="F208" s="90"/>
      <c r="G208" s="90"/>
      <c r="H208" s="10" t="s">
        <v>1524</v>
      </c>
      <c r="I208" s="90">
        <f t="shared" si="201"/>
        <v>1</v>
      </c>
      <c r="J208" s="33"/>
      <c r="K208" s="33"/>
      <c r="L208" s="33"/>
      <c r="M208" s="33"/>
      <c r="N208" s="33"/>
      <c r="O208" s="33"/>
      <c r="P208" s="33"/>
      <c r="Q208" s="33"/>
      <c r="R208" s="33"/>
      <c r="S208" s="33"/>
      <c r="T208" s="33"/>
      <c r="U208" s="33"/>
      <c r="V208" s="33"/>
      <c r="W208" s="33"/>
      <c r="X208" s="33"/>
      <c r="Y208" s="33"/>
      <c r="Z208" s="33"/>
      <c r="AA208" s="33"/>
      <c r="AB208" s="33"/>
      <c r="AC208" s="33"/>
      <c r="AD208" s="33"/>
      <c r="AE208" s="33"/>
      <c r="AF208" s="33"/>
      <c r="AG208" s="33"/>
      <c r="AH208" s="33"/>
      <c r="AI208" s="33"/>
      <c r="AJ208" s="33"/>
      <c r="AK208" s="33"/>
      <c r="AL208" s="33"/>
      <c r="AM208" s="33"/>
      <c r="AN208" s="33"/>
      <c r="AO208" s="33"/>
      <c r="AP208" s="33"/>
      <c r="AQ208" s="33"/>
      <c r="AR208" s="33"/>
      <c r="AS208" s="33"/>
      <c r="AT208" s="33"/>
      <c r="AU208" s="33"/>
      <c r="AV208" s="33"/>
      <c r="AW208" s="33"/>
      <c r="AX208" s="33"/>
      <c r="AY208" s="33"/>
      <c r="AZ208" s="33"/>
      <c r="BA208" s="33"/>
      <c r="BB208" s="33"/>
      <c r="BC208" s="33"/>
      <c r="BD208" s="33"/>
      <c r="BE208" s="33"/>
      <c r="BF208" s="33"/>
      <c r="BG208" s="33"/>
      <c r="BH208" s="33"/>
      <c r="BI208" s="33"/>
      <c r="BJ208" s="44"/>
      <c r="BK208" s="44"/>
      <c r="BL208" s="44"/>
      <c r="BM208" s="44"/>
      <c r="BN208" s="44"/>
      <c r="BO208" s="44"/>
    </row>
    <row r="209" spans="1:67">
      <c r="A209" s="11"/>
      <c r="B209" s="11" t="s">
        <v>264</v>
      </c>
      <c r="C209" s="11"/>
      <c r="D209" s="10" t="s">
        <v>1525</v>
      </c>
      <c r="E209" s="63">
        <v>0.6</v>
      </c>
      <c r="F209" s="90"/>
      <c r="G209" s="90"/>
      <c r="H209" s="10" t="s">
        <v>1526</v>
      </c>
      <c r="I209" s="63">
        <f t="shared" si="201"/>
        <v>0.6597539553864471</v>
      </c>
      <c r="J209" s="33"/>
      <c r="K209" s="33"/>
      <c r="L209" s="33"/>
      <c r="M209" s="33"/>
      <c r="N209" s="33"/>
      <c r="O209" s="33"/>
      <c r="P209" s="33"/>
      <c r="Q209" s="33"/>
      <c r="R209" s="33"/>
      <c r="S209" s="33"/>
      <c r="T209" s="33"/>
      <c r="U209" s="33"/>
      <c r="V209" s="33"/>
      <c r="W209" s="33"/>
      <c r="X209" s="33"/>
      <c r="Y209" s="33"/>
      <c r="Z209" s="33"/>
      <c r="AA209" s="33"/>
      <c r="AB209" s="33"/>
      <c r="AC209" s="33"/>
      <c r="AD209" s="33"/>
      <c r="AE209" s="33"/>
      <c r="AF209" s="33"/>
      <c r="AG209" s="33"/>
      <c r="AH209" s="33"/>
      <c r="AI209" s="33"/>
      <c r="AJ209" s="33"/>
      <c r="AK209" s="33"/>
      <c r="AL209" s="33"/>
      <c r="AM209" s="33"/>
      <c r="AN209" s="33"/>
      <c r="AO209" s="33"/>
      <c r="AP209" s="33"/>
      <c r="AQ209" s="33"/>
      <c r="AR209" s="33"/>
      <c r="AS209" s="33"/>
      <c r="AT209" s="33"/>
      <c r="AU209" s="33"/>
      <c r="AV209" s="33"/>
      <c r="AW209" s="33"/>
      <c r="AX209" s="33"/>
      <c r="AY209" s="33"/>
      <c r="AZ209" s="33"/>
      <c r="BA209" s="33"/>
      <c r="BB209" s="33"/>
      <c r="BC209" s="33"/>
      <c r="BD209" s="33"/>
      <c r="BE209" s="33"/>
      <c r="BF209" s="33"/>
      <c r="BG209" s="33"/>
      <c r="BH209" s="33"/>
      <c r="BI209" s="33"/>
      <c r="BJ209" s="44"/>
      <c r="BK209" s="44"/>
      <c r="BL209" s="44"/>
      <c r="BM209" s="44"/>
      <c r="BN209" s="44"/>
      <c r="BO209" s="44"/>
    </row>
    <row r="210" spans="1:67">
      <c r="A210" s="11"/>
      <c r="B210" s="11" t="s">
        <v>265</v>
      </c>
      <c r="C210" s="11"/>
      <c r="D210" s="10" t="s">
        <v>1527</v>
      </c>
      <c r="E210" s="63">
        <v>0.6</v>
      </c>
      <c r="F210" s="90"/>
      <c r="G210" s="90"/>
      <c r="H210" s="10" t="s">
        <v>1528</v>
      </c>
      <c r="I210" s="63">
        <f t="shared" si="201"/>
        <v>0.6597539553864471</v>
      </c>
      <c r="J210" s="33"/>
      <c r="K210" s="33"/>
      <c r="L210" s="33"/>
      <c r="M210" s="33"/>
      <c r="N210" s="33"/>
      <c r="O210" s="33"/>
      <c r="P210" s="33"/>
      <c r="Q210" s="33"/>
      <c r="R210" s="33"/>
      <c r="S210" s="33"/>
      <c r="T210" s="33"/>
      <c r="U210" s="33"/>
      <c r="V210" s="33"/>
      <c r="W210" s="33"/>
      <c r="X210" s="33"/>
      <c r="Y210" s="33"/>
      <c r="Z210" s="33"/>
      <c r="AA210" s="33"/>
      <c r="AB210" s="33"/>
      <c r="AC210" s="33"/>
      <c r="AD210" s="33"/>
      <c r="AE210" s="33"/>
      <c r="AF210" s="33"/>
      <c r="AG210" s="33"/>
      <c r="AH210" s="33"/>
      <c r="AI210" s="33"/>
      <c r="AJ210" s="33"/>
      <c r="AK210" s="33"/>
      <c r="AL210" s="33"/>
      <c r="AM210" s="33"/>
      <c r="AN210" s="33"/>
      <c r="AO210" s="33"/>
      <c r="AP210" s="33"/>
      <c r="AQ210" s="33"/>
      <c r="AR210" s="33"/>
      <c r="AS210" s="33"/>
      <c r="AT210" s="33"/>
      <c r="AU210" s="33"/>
      <c r="AV210" s="33"/>
      <c r="AW210" s="33"/>
      <c r="AX210" s="33"/>
      <c r="AY210" s="33"/>
      <c r="AZ210" s="33"/>
      <c r="BA210" s="33"/>
      <c r="BB210" s="33"/>
      <c r="BC210" s="33"/>
      <c r="BD210" s="33"/>
      <c r="BE210" s="33"/>
      <c r="BF210" s="33"/>
      <c r="BG210" s="33"/>
      <c r="BH210" s="33"/>
      <c r="BI210" s="33"/>
      <c r="BJ210" s="44"/>
      <c r="BK210" s="44"/>
      <c r="BL210" s="44"/>
      <c r="BM210" s="44"/>
      <c r="BN210" s="44"/>
      <c r="BO210" s="44"/>
    </row>
    <row r="211" spans="1:67">
      <c r="A211" s="11"/>
      <c r="B211" s="11" t="s">
        <v>266</v>
      </c>
      <c r="C211" s="11"/>
      <c r="D211" s="10" t="s">
        <v>1529</v>
      </c>
      <c r="E211" s="63">
        <v>0.6</v>
      </c>
      <c r="F211" s="90"/>
      <c r="G211" s="90"/>
      <c r="H211" s="10" t="s">
        <v>1528</v>
      </c>
      <c r="I211" s="63">
        <f t="shared" si="201"/>
        <v>0.6597539553864471</v>
      </c>
      <c r="J211" s="33"/>
      <c r="K211" s="33"/>
      <c r="L211" s="33"/>
      <c r="M211" s="33"/>
      <c r="N211" s="33"/>
      <c r="O211" s="33"/>
      <c r="P211" s="33"/>
      <c r="Q211" s="33"/>
      <c r="R211" s="33"/>
      <c r="S211" s="33"/>
      <c r="T211" s="33"/>
      <c r="U211" s="33"/>
      <c r="V211" s="33"/>
      <c r="W211" s="33"/>
      <c r="X211" s="33"/>
      <c r="Y211" s="33"/>
      <c r="Z211" s="33"/>
      <c r="AA211" s="33"/>
      <c r="AB211" s="33"/>
      <c r="AC211" s="33"/>
      <c r="AD211" s="33"/>
      <c r="AE211" s="33"/>
      <c r="AF211" s="33"/>
      <c r="AG211" s="33"/>
      <c r="AH211" s="33"/>
      <c r="AI211" s="33"/>
      <c r="AJ211" s="33"/>
      <c r="AK211" s="33"/>
      <c r="AL211" s="33"/>
      <c r="AM211" s="33"/>
      <c r="AN211" s="33"/>
      <c r="AO211" s="33"/>
      <c r="AP211" s="33"/>
      <c r="AQ211" s="33"/>
      <c r="AR211" s="33"/>
      <c r="AS211" s="33"/>
      <c r="AT211" s="33"/>
      <c r="AU211" s="33"/>
      <c r="AV211" s="33"/>
      <c r="AW211" s="33"/>
      <c r="AX211" s="33"/>
      <c r="AY211" s="33"/>
      <c r="AZ211" s="33"/>
      <c r="BA211" s="33"/>
      <c r="BB211" s="33"/>
      <c r="BC211" s="33"/>
      <c r="BD211" s="33"/>
      <c r="BE211" s="33"/>
      <c r="BF211" s="33"/>
      <c r="BG211" s="33"/>
      <c r="BH211" s="33"/>
      <c r="BI211" s="33"/>
      <c r="BJ211" s="44"/>
      <c r="BK211" s="44"/>
      <c r="BL211" s="44"/>
      <c r="BM211" s="44"/>
      <c r="BN211" s="44"/>
      <c r="BO211" s="44"/>
    </row>
    <row r="212" spans="1:67">
      <c r="A212" s="11"/>
      <c r="B212" s="11" t="s">
        <v>267</v>
      </c>
      <c r="C212" s="11"/>
      <c r="D212" s="10" t="s">
        <v>1530</v>
      </c>
      <c r="E212" s="63">
        <v>0.6</v>
      </c>
      <c r="F212" s="90"/>
      <c r="G212" s="90"/>
      <c r="H212" s="10" t="s">
        <v>1528</v>
      </c>
      <c r="I212" s="63">
        <f t="shared" si="201"/>
        <v>0.6597539553864471</v>
      </c>
      <c r="J212" s="33"/>
      <c r="K212" s="33"/>
      <c r="L212" s="33"/>
      <c r="M212" s="33"/>
      <c r="N212" s="33"/>
      <c r="O212" s="33"/>
      <c r="P212" s="33"/>
      <c r="Q212" s="33"/>
      <c r="R212" s="33"/>
      <c r="S212" s="33"/>
      <c r="T212" s="33"/>
      <c r="U212" s="33"/>
      <c r="V212" s="33"/>
      <c r="W212" s="33"/>
      <c r="X212" s="33"/>
      <c r="Y212" s="33"/>
      <c r="Z212" s="33"/>
      <c r="AA212" s="33"/>
      <c r="AB212" s="33"/>
      <c r="AC212" s="33"/>
      <c r="AD212" s="33"/>
      <c r="AE212" s="33"/>
      <c r="AF212" s="33"/>
      <c r="AG212" s="33"/>
      <c r="AH212" s="33"/>
      <c r="AI212" s="33"/>
      <c r="AJ212" s="33"/>
      <c r="AK212" s="33"/>
      <c r="AL212" s="33"/>
      <c r="AM212" s="33"/>
      <c r="AN212" s="33"/>
      <c r="AO212" s="33"/>
      <c r="AP212" s="33"/>
      <c r="AQ212" s="33"/>
      <c r="AR212" s="33"/>
      <c r="AS212" s="33"/>
      <c r="AT212" s="33"/>
      <c r="AU212" s="33"/>
      <c r="AV212" s="33"/>
      <c r="AW212" s="33"/>
      <c r="AX212" s="33"/>
      <c r="AY212" s="33"/>
      <c r="AZ212" s="33"/>
      <c r="BA212" s="33"/>
      <c r="BB212" s="33"/>
      <c r="BC212" s="33"/>
      <c r="BD212" s="33"/>
      <c r="BE212" s="33"/>
      <c r="BF212" s="33"/>
      <c r="BG212" s="33"/>
      <c r="BH212" s="33"/>
      <c r="BI212" s="33"/>
      <c r="BJ212" s="44"/>
      <c r="BK212" s="44"/>
      <c r="BL212" s="44"/>
      <c r="BM212" s="44"/>
      <c r="BN212" s="44"/>
      <c r="BO212" s="44"/>
    </row>
    <row r="213" spans="1:67">
      <c r="A213" s="11"/>
      <c r="B213" s="11" t="s">
        <v>1531</v>
      </c>
      <c r="C213" s="11"/>
      <c r="D213" s="10" t="s">
        <v>1532</v>
      </c>
      <c r="E213" s="63">
        <v>0.6</v>
      </c>
      <c r="F213" s="90"/>
      <c r="G213" s="90"/>
      <c r="H213" s="10" t="s">
        <v>1528</v>
      </c>
      <c r="I213" s="63">
        <f t="shared" si="201"/>
        <v>0.6597539553864471</v>
      </c>
      <c r="J213" s="33"/>
      <c r="K213" s="33"/>
      <c r="L213" s="33"/>
      <c r="M213" s="33"/>
      <c r="N213" s="33"/>
      <c r="O213" s="33"/>
      <c r="P213" s="33"/>
      <c r="Q213" s="33"/>
      <c r="R213" s="33"/>
      <c r="S213" s="33"/>
      <c r="T213" s="33"/>
      <c r="U213" s="33"/>
      <c r="V213" s="33"/>
      <c r="W213" s="33"/>
      <c r="X213" s="33"/>
      <c r="Y213" s="33"/>
      <c r="Z213" s="33"/>
      <c r="AA213" s="33"/>
      <c r="AB213" s="33"/>
      <c r="AC213" s="33"/>
      <c r="AD213" s="33"/>
      <c r="AE213" s="33"/>
      <c r="AF213" s="33"/>
      <c r="AG213" s="33"/>
      <c r="AH213" s="33"/>
      <c r="AI213" s="33"/>
      <c r="AJ213" s="33"/>
      <c r="AK213" s="33"/>
      <c r="AL213" s="33"/>
      <c r="AM213" s="33"/>
      <c r="AN213" s="33"/>
      <c r="AO213" s="33"/>
      <c r="AP213" s="33"/>
      <c r="AQ213" s="33"/>
      <c r="AR213" s="33"/>
      <c r="AS213" s="33"/>
      <c r="AT213" s="33"/>
      <c r="AU213" s="33"/>
      <c r="AV213" s="33"/>
      <c r="AW213" s="33"/>
      <c r="AX213" s="33"/>
      <c r="AY213" s="33"/>
      <c r="AZ213" s="33"/>
      <c r="BA213" s="33"/>
      <c r="BB213" s="33"/>
      <c r="BC213" s="33"/>
      <c r="BD213" s="33"/>
      <c r="BE213" s="33"/>
      <c r="BF213" s="33"/>
      <c r="BG213" s="33"/>
      <c r="BH213" s="33"/>
      <c r="BI213" s="33"/>
      <c r="BJ213" s="44"/>
      <c r="BK213" s="44"/>
      <c r="BL213" s="44"/>
      <c r="BM213" s="44"/>
      <c r="BN213" s="44"/>
      <c r="BO213" s="44"/>
    </row>
    <row r="214" spans="1:67">
      <c r="A214" s="11"/>
      <c r="B214" s="11" t="s">
        <v>269</v>
      </c>
      <c r="C214" s="11"/>
      <c r="D214" s="10" t="s">
        <v>1533</v>
      </c>
      <c r="E214" s="90">
        <v>0</v>
      </c>
      <c r="F214" s="90"/>
      <c r="G214" s="90"/>
      <c r="H214" s="10" t="s">
        <v>1534</v>
      </c>
      <c r="I214" s="90">
        <f t="shared" si="201"/>
        <v>1</v>
      </c>
      <c r="J214" s="33"/>
      <c r="K214" s="33"/>
      <c r="L214" s="33"/>
      <c r="M214" s="33"/>
      <c r="N214" s="33"/>
      <c r="O214" s="33"/>
      <c r="P214" s="33"/>
      <c r="Q214" s="33"/>
      <c r="R214" s="33"/>
      <c r="S214" s="33"/>
      <c r="T214" s="33"/>
      <c r="U214" s="33"/>
      <c r="V214" s="33"/>
      <c r="W214" s="33"/>
      <c r="X214" s="33"/>
      <c r="Y214" s="33"/>
      <c r="Z214" s="33"/>
      <c r="AA214" s="33"/>
      <c r="AB214" s="33"/>
      <c r="AC214" s="33"/>
      <c r="AD214" s="33"/>
      <c r="AE214" s="33"/>
      <c r="AF214" s="33"/>
      <c r="AG214" s="33"/>
      <c r="AH214" s="33"/>
      <c r="AI214" s="33"/>
      <c r="AJ214" s="33"/>
      <c r="AK214" s="33"/>
      <c r="AL214" s="33"/>
      <c r="AM214" s="33"/>
      <c r="AN214" s="33"/>
      <c r="AO214" s="33"/>
      <c r="AP214" s="33"/>
      <c r="AQ214" s="33"/>
      <c r="AR214" s="33"/>
      <c r="AS214" s="33"/>
      <c r="AT214" s="33"/>
      <c r="AU214" s="33"/>
      <c r="AV214" s="33"/>
      <c r="AW214" s="33"/>
      <c r="AX214" s="33"/>
      <c r="AY214" s="33"/>
      <c r="AZ214" s="33"/>
      <c r="BA214" s="33"/>
      <c r="BB214" s="33"/>
      <c r="BC214" s="33"/>
      <c r="BD214" s="33"/>
      <c r="BE214" s="33"/>
      <c r="BF214" s="33"/>
      <c r="BG214" s="33"/>
      <c r="BH214" s="33"/>
      <c r="BI214" s="33"/>
      <c r="BJ214" s="44"/>
      <c r="BK214" s="44"/>
      <c r="BL214" s="44"/>
      <c r="BM214" s="44"/>
      <c r="BN214" s="44"/>
      <c r="BO214" s="44"/>
    </row>
    <row r="215" spans="1:67">
      <c r="A215" s="11"/>
      <c r="B215" s="11" t="s">
        <v>270</v>
      </c>
      <c r="C215" s="11"/>
      <c r="D215" s="10" t="s">
        <v>1535</v>
      </c>
      <c r="E215" s="63">
        <v>0.6</v>
      </c>
      <c r="F215" s="90"/>
      <c r="G215" s="90"/>
      <c r="H215" s="10" t="s">
        <v>1528</v>
      </c>
      <c r="I215" s="63">
        <f t="shared" si="201"/>
        <v>0.6597539553864471</v>
      </c>
      <c r="J215" s="33"/>
      <c r="K215" s="33"/>
      <c r="L215" s="33"/>
      <c r="M215" s="33"/>
      <c r="N215" s="33"/>
      <c r="O215" s="33"/>
      <c r="P215" s="33"/>
      <c r="Q215" s="33"/>
      <c r="R215" s="33"/>
      <c r="S215" s="33"/>
      <c r="T215" s="33"/>
      <c r="U215" s="33"/>
      <c r="V215" s="33"/>
      <c r="W215" s="33"/>
      <c r="X215" s="33"/>
      <c r="Y215" s="33"/>
      <c r="Z215" s="33"/>
      <c r="AA215" s="33"/>
      <c r="AB215" s="33"/>
      <c r="AC215" s="33"/>
      <c r="AD215" s="33"/>
      <c r="AE215" s="33"/>
      <c r="AF215" s="33"/>
      <c r="AG215" s="33"/>
      <c r="AH215" s="33"/>
      <c r="AI215" s="33"/>
      <c r="AJ215" s="33"/>
      <c r="AK215" s="33"/>
      <c r="AL215" s="33"/>
      <c r="AM215" s="33"/>
      <c r="AN215" s="33"/>
      <c r="AO215" s="33"/>
      <c r="AP215" s="33"/>
      <c r="AQ215" s="33"/>
      <c r="AR215" s="33"/>
      <c r="AS215" s="33"/>
      <c r="AT215" s="33"/>
      <c r="AU215" s="33"/>
      <c r="AV215" s="33"/>
      <c r="AW215" s="33"/>
      <c r="AX215" s="33"/>
      <c r="AY215" s="33"/>
      <c r="AZ215" s="33"/>
      <c r="BA215" s="33"/>
      <c r="BB215" s="33"/>
      <c r="BC215" s="33"/>
      <c r="BD215" s="33"/>
      <c r="BE215" s="33"/>
      <c r="BF215" s="33"/>
      <c r="BG215" s="33"/>
      <c r="BH215" s="33"/>
      <c r="BI215" s="33"/>
      <c r="BJ215" s="44"/>
      <c r="BK215" s="44"/>
      <c r="BL215" s="44"/>
      <c r="BM215" s="44"/>
      <c r="BN215" s="44"/>
      <c r="BO215" s="44"/>
    </row>
    <row r="216" spans="1:67">
      <c r="A216" s="11"/>
      <c r="B216" s="11" t="s">
        <v>271</v>
      </c>
      <c r="C216" s="11"/>
      <c r="D216" s="10" t="s">
        <v>1536</v>
      </c>
      <c r="E216" s="63">
        <v>0.6</v>
      </c>
      <c r="F216" s="90"/>
      <c r="G216" s="90"/>
      <c r="H216" s="10" t="s">
        <v>1528</v>
      </c>
      <c r="I216" s="63">
        <f t="shared" si="201"/>
        <v>0.6597539553864471</v>
      </c>
      <c r="J216" s="33"/>
      <c r="K216" s="33"/>
      <c r="L216" s="33"/>
      <c r="M216" s="33"/>
      <c r="N216" s="33"/>
      <c r="O216" s="33"/>
      <c r="P216" s="33"/>
      <c r="Q216" s="33"/>
      <c r="R216" s="33"/>
      <c r="S216" s="33"/>
      <c r="T216" s="33"/>
      <c r="U216" s="33"/>
      <c r="V216" s="33"/>
      <c r="W216" s="33"/>
      <c r="X216" s="33"/>
      <c r="Y216" s="33"/>
      <c r="Z216" s="33"/>
      <c r="AA216" s="33"/>
      <c r="AB216" s="33"/>
      <c r="AC216" s="33"/>
      <c r="AD216" s="33"/>
      <c r="AE216" s="33"/>
      <c r="AF216" s="33"/>
      <c r="AG216" s="33"/>
      <c r="AH216" s="33"/>
      <c r="AI216" s="33"/>
      <c r="AJ216" s="33"/>
      <c r="AK216" s="33"/>
      <c r="AL216" s="33"/>
      <c r="AM216" s="33"/>
      <c r="AN216" s="33"/>
      <c r="AO216" s="33"/>
      <c r="AP216" s="33"/>
      <c r="AQ216" s="33"/>
      <c r="AR216" s="33"/>
      <c r="AS216" s="33"/>
      <c r="AT216" s="33"/>
      <c r="AU216" s="33"/>
      <c r="AV216" s="33"/>
      <c r="AW216" s="33"/>
      <c r="AX216" s="33"/>
      <c r="AY216" s="33"/>
      <c r="AZ216" s="33"/>
      <c r="BA216" s="33"/>
      <c r="BB216" s="33"/>
      <c r="BC216" s="33"/>
      <c r="BD216" s="33"/>
      <c r="BE216" s="33"/>
      <c r="BF216" s="33"/>
      <c r="BG216" s="33"/>
      <c r="BH216" s="33"/>
      <c r="BI216" s="33"/>
      <c r="BJ216" s="44"/>
      <c r="BK216" s="44"/>
      <c r="BL216" s="44"/>
      <c r="BM216" s="44"/>
      <c r="BN216" s="44"/>
      <c r="BO216" s="44"/>
    </row>
    <row r="217" spans="1:67">
      <c r="A217" s="11"/>
      <c r="B217" s="11" t="s">
        <v>272</v>
      </c>
      <c r="C217" s="11"/>
      <c r="D217" s="10" t="s">
        <v>1537</v>
      </c>
      <c r="E217" s="90">
        <v>0</v>
      </c>
      <c r="F217" s="90"/>
      <c r="G217" s="90"/>
      <c r="H217" s="10" t="s">
        <v>1538</v>
      </c>
      <c r="I217" s="90">
        <f t="shared" si="201"/>
        <v>1</v>
      </c>
      <c r="J217" s="33"/>
      <c r="K217" s="33"/>
      <c r="L217" s="33"/>
      <c r="M217" s="33"/>
      <c r="N217" s="33"/>
      <c r="O217" s="33"/>
      <c r="P217" s="33"/>
      <c r="Q217" s="33"/>
      <c r="R217" s="33"/>
      <c r="S217" s="33"/>
      <c r="T217" s="33"/>
      <c r="U217" s="33"/>
      <c r="V217" s="33"/>
      <c r="W217" s="33"/>
      <c r="X217" s="33"/>
      <c r="Y217" s="33"/>
      <c r="Z217" s="33"/>
      <c r="AA217" s="33"/>
      <c r="AB217" s="33"/>
      <c r="AC217" s="33"/>
      <c r="AD217" s="33"/>
      <c r="AE217" s="33"/>
      <c r="AF217" s="33"/>
      <c r="AG217" s="33"/>
      <c r="AH217" s="33"/>
      <c r="AI217" s="33"/>
      <c r="AJ217" s="33"/>
      <c r="AK217" s="33"/>
      <c r="AL217" s="33"/>
      <c r="AM217" s="33"/>
      <c r="AN217" s="33"/>
      <c r="AO217" s="33"/>
      <c r="AP217" s="33"/>
      <c r="AQ217" s="33"/>
      <c r="AR217" s="33"/>
      <c r="AS217" s="33"/>
      <c r="AT217" s="33"/>
      <c r="AU217" s="33"/>
      <c r="AV217" s="33"/>
      <c r="AW217" s="33"/>
      <c r="AX217" s="33"/>
      <c r="AY217" s="33"/>
      <c r="AZ217" s="33"/>
      <c r="BA217" s="33"/>
      <c r="BB217" s="33"/>
      <c r="BC217" s="33"/>
      <c r="BD217" s="33"/>
      <c r="BE217" s="33"/>
      <c r="BF217" s="33"/>
      <c r="BG217" s="33"/>
      <c r="BH217" s="33"/>
      <c r="BI217" s="33"/>
      <c r="BJ217" s="44"/>
      <c r="BK217" s="44"/>
      <c r="BL217" s="44"/>
      <c r="BM217" s="44"/>
      <c r="BN217" s="44"/>
      <c r="BO217" s="44"/>
    </row>
    <row r="218" spans="1:67">
      <c r="A218" s="11"/>
      <c r="B218" s="11" t="s">
        <v>289</v>
      </c>
      <c r="C218" s="11"/>
      <c r="D218" s="10" t="s">
        <v>1539</v>
      </c>
      <c r="E218" s="63">
        <v>0.6</v>
      </c>
      <c r="F218" s="90"/>
      <c r="G218" s="90"/>
      <c r="H218" s="10" t="s">
        <v>1528</v>
      </c>
      <c r="I218" s="63">
        <f t="shared" si="201"/>
        <v>0.6597539553864471</v>
      </c>
      <c r="J218" s="33"/>
      <c r="K218" s="33"/>
      <c r="L218" s="33"/>
      <c r="M218" s="33"/>
      <c r="N218" s="33"/>
      <c r="O218" s="33"/>
      <c r="P218" s="33"/>
      <c r="Q218" s="33"/>
      <c r="R218" s="33"/>
      <c r="S218" s="33"/>
      <c r="T218" s="33"/>
      <c r="U218" s="33"/>
      <c r="V218" s="33"/>
      <c r="W218" s="33"/>
      <c r="X218" s="33"/>
      <c r="Y218" s="33"/>
      <c r="Z218" s="33"/>
      <c r="AA218" s="33"/>
      <c r="AB218" s="33"/>
      <c r="AC218" s="33"/>
      <c r="AD218" s="33"/>
      <c r="AE218" s="33"/>
      <c r="AF218" s="33"/>
      <c r="AG218" s="33"/>
      <c r="AH218" s="33"/>
      <c r="AI218" s="33"/>
      <c r="AJ218" s="33"/>
      <c r="AK218" s="33"/>
      <c r="AL218" s="33"/>
      <c r="AM218" s="33"/>
      <c r="AN218" s="33"/>
      <c r="AO218" s="33"/>
      <c r="AP218" s="33"/>
      <c r="AQ218" s="33"/>
      <c r="AR218" s="33"/>
      <c r="AS218" s="33"/>
      <c r="AT218" s="33"/>
      <c r="AU218" s="33"/>
      <c r="AV218" s="33"/>
      <c r="AW218" s="33"/>
      <c r="AX218" s="33"/>
      <c r="AY218" s="33"/>
      <c r="AZ218" s="33"/>
      <c r="BA218" s="33"/>
      <c r="BB218" s="33"/>
      <c r="BC218" s="33"/>
      <c r="BD218" s="33"/>
      <c r="BE218" s="33"/>
      <c r="BF218" s="33"/>
      <c r="BG218" s="33"/>
      <c r="BH218" s="33"/>
      <c r="BI218" s="33"/>
      <c r="BJ218" s="44"/>
      <c r="BK218" s="44"/>
      <c r="BL218" s="44"/>
      <c r="BM218" s="44"/>
      <c r="BN218" s="44"/>
      <c r="BO218" s="44"/>
    </row>
    <row r="219" spans="1:67">
      <c r="A219" s="11"/>
      <c r="B219" s="11" t="s">
        <v>290</v>
      </c>
      <c r="C219" s="11"/>
      <c r="D219" s="10" t="s">
        <v>1540</v>
      </c>
      <c r="E219" s="63">
        <v>0.6</v>
      </c>
      <c r="F219" s="90"/>
      <c r="G219" s="90"/>
      <c r="H219" s="10" t="s">
        <v>1528</v>
      </c>
      <c r="I219" s="63">
        <f t="shared" si="201"/>
        <v>0.6597539553864471</v>
      </c>
      <c r="J219" s="33"/>
      <c r="K219" s="33"/>
      <c r="L219" s="33"/>
      <c r="M219" s="33"/>
      <c r="N219" s="33"/>
      <c r="O219" s="33"/>
      <c r="P219" s="33"/>
      <c r="Q219" s="33"/>
      <c r="R219" s="33"/>
      <c r="S219" s="33"/>
      <c r="T219" s="33"/>
      <c r="U219" s="33"/>
      <c r="V219" s="33"/>
      <c r="W219" s="33"/>
      <c r="X219" s="33"/>
      <c r="Y219" s="33"/>
      <c r="Z219" s="33"/>
      <c r="AA219" s="33"/>
      <c r="AB219" s="33"/>
      <c r="AC219" s="33"/>
      <c r="AD219" s="33"/>
      <c r="AE219" s="33"/>
      <c r="AF219" s="33"/>
      <c r="AG219" s="33"/>
      <c r="AH219" s="33"/>
      <c r="AI219" s="33"/>
      <c r="AJ219" s="33"/>
      <c r="AK219" s="33"/>
      <c r="AL219" s="33"/>
      <c r="AM219" s="33"/>
      <c r="AN219" s="33"/>
      <c r="AO219" s="33"/>
      <c r="AP219" s="33"/>
      <c r="AQ219" s="33"/>
      <c r="AR219" s="33"/>
      <c r="AS219" s="33"/>
      <c r="AT219" s="33"/>
      <c r="AU219" s="33"/>
      <c r="AV219" s="33"/>
      <c r="AW219" s="33"/>
      <c r="AX219" s="33"/>
      <c r="AY219" s="33"/>
      <c r="AZ219" s="33"/>
      <c r="BA219" s="33"/>
      <c r="BB219" s="33"/>
      <c r="BC219" s="33"/>
      <c r="BD219" s="33"/>
      <c r="BE219" s="33"/>
      <c r="BF219" s="33"/>
      <c r="BG219" s="33"/>
      <c r="BH219" s="33"/>
      <c r="BI219" s="33"/>
      <c r="BJ219" s="44"/>
      <c r="BK219" s="44"/>
      <c r="BL219" s="44"/>
      <c r="BM219" s="44"/>
      <c r="BN219" s="44"/>
      <c r="BO219" s="44"/>
    </row>
    <row r="220" spans="1:67">
      <c r="A220" s="11"/>
      <c r="B220" s="11" t="s">
        <v>291</v>
      </c>
      <c r="C220" s="11"/>
      <c r="D220" s="10" t="s">
        <v>1541</v>
      </c>
      <c r="E220" s="63">
        <v>0.6</v>
      </c>
      <c r="F220" s="90"/>
      <c r="G220" s="90"/>
      <c r="H220" s="10" t="s">
        <v>1528</v>
      </c>
      <c r="I220" s="63">
        <f t="shared" si="201"/>
        <v>0.6597539553864471</v>
      </c>
      <c r="J220" s="33"/>
      <c r="K220" s="33"/>
      <c r="L220" s="33"/>
      <c r="M220" s="33"/>
      <c r="N220" s="33"/>
      <c r="O220" s="33"/>
      <c r="P220" s="33"/>
      <c r="Q220" s="33"/>
      <c r="R220" s="33"/>
      <c r="S220" s="33"/>
      <c r="T220" s="33"/>
      <c r="U220" s="33"/>
      <c r="V220" s="33"/>
      <c r="W220" s="33"/>
      <c r="X220" s="33"/>
      <c r="Y220" s="33"/>
      <c r="Z220" s="33"/>
      <c r="AA220" s="33"/>
      <c r="AB220" s="33"/>
      <c r="AC220" s="33"/>
      <c r="AD220" s="33"/>
      <c r="AE220" s="33"/>
      <c r="AF220" s="33"/>
      <c r="AG220" s="33"/>
      <c r="AH220" s="33"/>
      <c r="AI220" s="33"/>
      <c r="AJ220" s="33"/>
      <c r="AK220" s="33"/>
      <c r="AL220" s="33"/>
      <c r="AM220" s="33"/>
      <c r="AN220" s="33"/>
      <c r="AO220" s="33"/>
      <c r="AP220" s="33"/>
      <c r="AQ220" s="33"/>
      <c r="AR220" s="33"/>
      <c r="AS220" s="33"/>
      <c r="AT220" s="33"/>
      <c r="AU220" s="33"/>
      <c r="AV220" s="33"/>
      <c r="AW220" s="33"/>
      <c r="AX220" s="33"/>
      <c r="AY220" s="33"/>
      <c r="AZ220" s="33"/>
      <c r="BA220" s="33"/>
      <c r="BB220" s="33"/>
      <c r="BC220" s="33"/>
      <c r="BD220" s="33"/>
      <c r="BE220" s="33"/>
      <c r="BF220" s="33"/>
      <c r="BG220" s="33"/>
      <c r="BH220" s="33"/>
      <c r="BI220" s="33"/>
      <c r="BJ220" s="44"/>
      <c r="BK220" s="44"/>
      <c r="BL220" s="44"/>
      <c r="BM220" s="44"/>
      <c r="BN220" s="44"/>
      <c r="BO220" s="44"/>
    </row>
    <row r="221" spans="1:67">
      <c r="A221" s="11"/>
      <c r="B221" s="11" t="s">
        <v>1542</v>
      </c>
      <c r="C221" s="11"/>
      <c r="D221" s="10" t="s">
        <v>1543</v>
      </c>
      <c r="E221" s="63">
        <v>0.6</v>
      </c>
      <c r="F221" s="90"/>
      <c r="G221" s="90"/>
      <c r="H221" s="10" t="s">
        <v>1528</v>
      </c>
      <c r="I221" s="63">
        <f t="shared" si="201"/>
        <v>0.6597539553864471</v>
      </c>
      <c r="J221" s="33"/>
      <c r="K221" s="33"/>
      <c r="L221" s="33"/>
      <c r="M221" s="33"/>
      <c r="N221" s="33"/>
      <c r="O221" s="33"/>
      <c r="P221" s="33"/>
      <c r="Q221" s="33"/>
      <c r="R221" s="33"/>
      <c r="S221" s="33"/>
      <c r="T221" s="33"/>
      <c r="U221" s="33"/>
      <c r="V221" s="33"/>
      <c r="W221" s="33"/>
      <c r="X221" s="33"/>
      <c r="Y221" s="33"/>
      <c r="Z221" s="33"/>
      <c r="AA221" s="33"/>
      <c r="AB221" s="33"/>
      <c r="AC221" s="33"/>
      <c r="AD221" s="33"/>
      <c r="AE221" s="33"/>
      <c r="AF221" s="33"/>
      <c r="AG221" s="33"/>
      <c r="AH221" s="33"/>
      <c r="AI221" s="33"/>
      <c r="AJ221" s="33"/>
      <c r="AK221" s="33"/>
      <c r="AL221" s="33"/>
      <c r="AM221" s="33"/>
      <c r="AN221" s="33"/>
      <c r="AO221" s="33"/>
      <c r="AP221" s="33"/>
      <c r="AQ221" s="33"/>
      <c r="AR221" s="33"/>
      <c r="AS221" s="33"/>
      <c r="AT221" s="33"/>
      <c r="AU221" s="33"/>
      <c r="AV221" s="33"/>
      <c r="AW221" s="33"/>
      <c r="AX221" s="33"/>
      <c r="AY221" s="33"/>
      <c r="AZ221" s="33"/>
      <c r="BA221" s="33"/>
      <c r="BB221" s="33"/>
      <c r="BC221" s="33"/>
      <c r="BD221" s="33"/>
      <c r="BE221" s="33"/>
      <c r="BF221" s="33"/>
      <c r="BG221" s="33"/>
      <c r="BH221" s="33"/>
      <c r="BI221" s="33"/>
      <c r="BJ221" s="44"/>
      <c r="BK221" s="44"/>
      <c r="BL221" s="44"/>
      <c r="BM221" s="44"/>
      <c r="BN221" s="44"/>
      <c r="BO221" s="44"/>
    </row>
    <row r="222" spans="1:67">
      <c r="A222" s="11"/>
      <c r="B222" s="11" t="s">
        <v>292</v>
      </c>
      <c r="C222" s="11"/>
      <c r="D222" s="10" t="s">
        <v>1544</v>
      </c>
      <c r="E222" s="63">
        <v>0.6</v>
      </c>
      <c r="F222" s="90"/>
      <c r="G222" s="90"/>
      <c r="H222" s="10" t="s">
        <v>1528</v>
      </c>
      <c r="I222" s="63">
        <f t="shared" si="201"/>
        <v>0.6597539553864471</v>
      </c>
      <c r="J222" s="33"/>
      <c r="K222" s="33"/>
      <c r="L222" s="33"/>
      <c r="M222" s="33"/>
      <c r="N222" s="33"/>
      <c r="O222" s="33"/>
      <c r="P222" s="33"/>
      <c r="Q222" s="33"/>
      <c r="R222" s="33"/>
      <c r="S222" s="33"/>
      <c r="T222" s="33"/>
      <c r="U222" s="33"/>
      <c r="V222" s="33"/>
      <c r="W222" s="33"/>
      <c r="X222" s="33"/>
      <c r="Y222" s="33"/>
      <c r="Z222" s="33"/>
      <c r="AA222" s="33"/>
      <c r="AB222" s="33"/>
      <c r="AC222" s="33"/>
      <c r="AD222" s="33"/>
      <c r="AE222" s="33"/>
      <c r="AF222" s="33"/>
      <c r="AG222" s="33"/>
      <c r="AH222" s="33"/>
      <c r="AI222" s="33"/>
      <c r="AJ222" s="33"/>
      <c r="AK222" s="33"/>
      <c r="AL222" s="33"/>
      <c r="AM222" s="33"/>
      <c r="AN222" s="33"/>
      <c r="AO222" s="33"/>
      <c r="AP222" s="33"/>
      <c r="AQ222" s="33"/>
      <c r="AR222" s="33"/>
      <c r="AS222" s="33"/>
      <c r="AT222" s="33"/>
      <c r="AU222" s="33"/>
      <c r="AV222" s="33"/>
      <c r="AW222" s="33"/>
      <c r="AX222" s="33"/>
      <c r="AY222" s="33"/>
      <c r="AZ222" s="33"/>
      <c r="BA222" s="33"/>
      <c r="BB222" s="33"/>
      <c r="BC222" s="33"/>
      <c r="BD222" s="33"/>
      <c r="BE222" s="33"/>
      <c r="BF222" s="33"/>
      <c r="BG222" s="33"/>
      <c r="BH222" s="33"/>
      <c r="BI222" s="33"/>
      <c r="BJ222" s="44"/>
      <c r="BK222" s="44"/>
      <c r="BL222" s="44"/>
      <c r="BM222" s="44"/>
      <c r="BN222" s="44"/>
      <c r="BO222" s="44"/>
    </row>
    <row r="223" spans="1:67">
      <c r="A223" s="11"/>
      <c r="B223" s="11" t="s">
        <v>306</v>
      </c>
      <c r="C223" s="11"/>
      <c r="D223" s="10" t="s">
        <v>1545</v>
      </c>
      <c r="E223" s="63">
        <v>0.6</v>
      </c>
      <c r="F223" s="90"/>
      <c r="G223" s="90"/>
      <c r="H223" s="10" t="s">
        <v>1528</v>
      </c>
      <c r="I223" s="63">
        <f t="shared" si="201"/>
        <v>0.6597539553864471</v>
      </c>
      <c r="J223" s="33"/>
      <c r="K223" s="33"/>
      <c r="L223" s="33"/>
      <c r="M223" s="33"/>
      <c r="N223" s="33"/>
      <c r="O223" s="33"/>
      <c r="P223" s="33"/>
      <c r="Q223" s="33"/>
      <c r="R223" s="33"/>
      <c r="S223" s="33"/>
      <c r="T223" s="33"/>
      <c r="U223" s="33"/>
      <c r="V223" s="33"/>
      <c r="W223" s="33"/>
      <c r="X223" s="33"/>
      <c r="Y223" s="33"/>
      <c r="Z223" s="33"/>
      <c r="AA223" s="33"/>
      <c r="AB223" s="33"/>
      <c r="AC223" s="33"/>
      <c r="AD223" s="33"/>
      <c r="AE223" s="33"/>
      <c r="AF223" s="33"/>
      <c r="AG223" s="33"/>
      <c r="AH223" s="33"/>
      <c r="AI223" s="33"/>
      <c r="AJ223" s="33"/>
      <c r="AK223" s="33"/>
      <c r="AL223" s="33"/>
      <c r="AM223" s="33"/>
      <c r="AN223" s="33"/>
      <c r="AO223" s="33"/>
      <c r="AP223" s="33"/>
      <c r="AQ223" s="33"/>
      <c r="AR223" s="33"/>
      <c r="AS223" s="33"/>
      <c r="AT223" s="33"/>
      <c r="AU223" s="33"/>
      <c r="AV223" s="33"/>
      <c r="AW223" s="33"/>
      <c r="AX223" s="33"/>
      <c r="AY223" s="33"/>
      <c r="AZ223" s="33"/>
      <c r="BA223" s="33"/>
      <c r="BB223" s="33"/>
      <c r="BC223" s="33"/>
      <c r="BD223" s="33"/>
      <c r="BE223" s="33"/>
      <c r="BF223" s="33"/>
      <c r="BG223" s="33"/>
      <c r="BH223" s="33"/>
      <c r="BI223" s="33"/>
      <c r="BJ223" s="44"/>
      <c r="BK223" s="44"/>
      <c r="BL223" s="44"/>
      <c r="BM223" s="44"/>
      <c r="BN223" s="44"/>
      <c r="BO223" s="44"/>
    </row>
    <row r="224" spans="1:67">
      <c r="A224" s="11"/>
      <c r="B224" s="11" t="s">
        <v>1546</v>
      </c>
      <c r="C224" s="11"/>
      <c r="D224" s="10" t="s">
        <v>1547</v>
      </c>
      <c r="E224" s="63">
        <v>0.6</v>
      </c>
      <c r="F224" s="90"/>
      <c r="G224" s="90"/>
      <c r="H224" s="10" t="s">
        <v>1528</v>
      </c>
      <c r="I224" s="63">
        <f t="shared" si="201"/>
        <v>0.6597539553864471</v>
      </c>
      <c r="J224" s="33"/>
      <c r="K224" s="33"/>
      <c r="L224" s="33"/>
      <c r="M224" s="33"/>
      <c r="N224" s="33"/>
      <c r="O224" s="33"/>
      <c r="P224" s="33"/>
      <c r="Q224" s="33"/>
      <c r="R224" s="33"/>
      <c r="S224" s="33"/>
      <c r="T224" s="33"/>
      <c r="U224" s="33"/>
      <c r="V224" s="33"/>
      <c r="W224" s="33"/>
      <c r="X224" s="33"/>
      <c r="Y224" s="33"/>
      <c r="Z224" s="33"/>
      <c r="AA224" s="33"/>
      <c r="AB224" s="33"/>
      <c r="AC224" s="33"/>
      <c r="AD224" s="33"/>
      <c r="AE224" s="33"/>
      <c r="AF224" s="33"/>
      <c r="AG224" s="33"/>
      <c r="AH224" s="33"/>
      <c r="AI224" s="33"/>
      <c r="AJ224" s="33"/>
      <c r="AK224" s="33"/>
      <c r="AL224" s="33"/>
      <c r="AM224" s="33"/>
      <c r="AN224" s="33"/>
      <c r="AO224" s="33"/>
      <c r="AP224" s="33"/>
      <c r="AQ224" s="33"/>
      <c r="AR224" s="33"/>
      <c r="AS224" s="33"/>
      <c r="AT224" s="33"/>
      <c r="AU224" s="33"/>
      <c r="AV224" s="33"/>
      <c r="AW224" s="33"/>
      <c r="AX224" s="33"/>
      <c r="AY224" s="33"/>
      <c r="AZ224" s="33"/>
      <c r="BA224" s="33"/>
      <c r="BB224" s="33"/>
      <c r="BC224" s="33"/>
      <c r="BD224" s="33"/>
      <c r="BE224" s="33"/>
      <c r="BF224" s="33"/>
      <c r="BG224" s="33"/>
      <c r="BH224" s="33"/>
      <c r="BI224" s="33"/>
      <c r="BJ224" s="44"/>
      <c r="BK224" s="44"/>
      <c r="BL224" s="44"/>
      <c r="BM224" s="44"/>
      <c r="BN224" s="44"/>
      <c r="BO224" s="44"/>
    </row>
    <row r="225" spans="1:67">
      <c r="A225" s="11"/>
      <c r="B225" s="11" t="s">
        <v>308</v>
      </c>
      <c r="C225" s="11"/>
      <c r="D225" s="10" t="s">
        <v>1548</v>
      </c>
      <c r="E225" s="90">
        <v>0</v>
      </c>
      <c r="F225" s="90"/>
      <c r="G225" s="90"/>
      <c r="H225" s="10" t="s">
        <v>1549</v>
      </c>
      <c r="I225" s="90">
        <f t="shared" si="201"/>
        <v>1</v>
      </c>
      <c r="J225" s="33"/>
      <c r="K225" s="33"/>
      <c r="L225" s="33"/>
      <c r="M225" s="33"/>
      <c r="N225" s="33"/>
      <c r="O225" s="33"/>
      <c r="P225" s="33"/>
      <c r="Q225" s="33"/>
      <c r="R225" s="33"/>
      <c r="S225" s="33"/>
      <c r="T225" s="33"/>
      <c r="U225" s="33"/>
      <c r="V225" s="33"/>
      <c r="W225" s="33"/>
      <c r="X225" s="33"/>
      <c r="Y225" s="33"/>
      <c r="Z225" s="33"/>
      <c r="AA225" s="33"/>
      <c r="AB225" s="33"/>
      <c r="AC225" s="33"/>
      <c r="AD225" s="33"/>
      <c r="AE225" s="33"/>
      <c r="AF225" s="33"/>
      <c r="AG225" s="33"/>
      <c r="AH225" s="33"/>
      <c r="AI225" s="33"/>
      <c r="AJ225" s="33"/>
      <c r="AK225" s="33"/>
      <c r="AL225" s="33"/>
      <c r="AM225" s="33"/>
      <c r="AN225" s="33"/>
      <c r="AO225" s="33"/>
      <c r="AP225" s="33"/>
      <c r="AQ225" s="33"/>
      <c r="AR225" s="33"/>
      <c r="AS225" s="33"/>
      <c r="AT225" s="33"/>
      <c r="AU225" s="33"/>
      <c r="AV225" s="33"/>
      <c r="AW225" s="33"/>
      <c r="AX225" s="33"/>
      <c r="AY225" s="33"/>
      <c r="AZ225" s="33"/>
      <c r="BA225" s="33"/>
      <c r="BB225" s="33"/>
      <c r="BC225" s="33"/>
      <c r="BD225" s="33"/>
      <c r="BE225" s="33"/>
      <c r="BF225" s="33"/>
      <c r="BG225" s="33"/>
      <c r="BH225" s="33"/>
      <c r="BI225" s="33"/>
      <c r="BJ225" s="44"/>
      <c r="BK225" s="44"/>
      <c r="BL225" s="44"/>
      <c r="BM225" s="44"/>
      <c r="BN225" s="44"/>
      <c r="BO225" s="44"/>
    </row>
    <row r="226" spans="1:67">
      <c r="A226" s="11"/>
      <c r="B226" s="11" t="s">
        <v>309</v>
      </c>
      <c r="C226" s="11"/>
      <c r="D226" s="10" t="s">
        <v>1550</v>
      </c>
      <c r="E226" s="63">
        <v>0.6</v>
      </c>
      <c r="F226" s="90"/>
      <c r="G226" s="90"/>
      <c r="H226" s="10" t="s">
        <v>1528</v>
      </c>
      <c r="I226" s="63">
        <f t="shared" si="201"/>
        <v>0.6597539553864471</v>
      </c>
      <c r="J226" s="33"/>
      <c r="K226" s="33"/>
      <c r="L226" s="33"/>
      <c r="M226" s="33"/>
      <c r="N226" s="33"/>
      <c r="O226" s="33"/>
      <c r="P226" s="33"/>
      <c r="Q226" s="33"/>
      <c r="R226" s="33"/>
      <c r="S226" s="33"/>
      <c r="T226" s="33"/>
      <c r="U226" s="33"/>
      <c r="V226" s="33"/>
      <c r="W226" s="33"/>
      <c r="X226" s="33"/>
      <c r="Y226" s="33"/>
      <c r="Z226" s="33"/>
      <c r="AA226" s="33"/>
      <c r="AB226" s="33"/>
      <c r="AC226" s="33"/>
      <c r="AD226" s="33"/>
      <c r="AE226" s="33"/>
      <c r="AF226" s="33"/>
      <c r="AG226" s="33"/>
      <c r="AH226" s="33"/>
      <c r="AI226" s="33"/>
      <c r="AJ226" s="33"/>
      <c r="AK226" s="33"/>
      <c r="AL226" s="33"/>
      <c r="AM226" s="33"/>
      <c r="AN226" s="33"/>
      <c r="AO226" s="33"/>
      <c r="AP226" s="33"/>
      <c r="AQ226" s="33"/>
      <c r="AR226" s="33"/>
      <c r="AS226" s="33"/>
      <c r="AT226" s="33"/>
      <c r="AU226" s="33"/>
      <c r="AV226" s="33"/>
      <c r="AW226" s="33"/>
      <c r="AX226" s="33"/>
      <c r="AY226" s="33"/>
      <c r="AZ226" s="33"/>
      <c r="BA226" s="33"/>
      <c r="BB226" s="33"/>
      <c r="BC226" s="33"/>
      <c r="BD226" s="33"/>
      <c r="BE226" s="33"/>
      <c r="BF226" s="33"/>
      <c r="BG226" s="33"/>
      <c r="BH226" s="33"/>
      <c r="BI226" s="33"/>
      <c r="BJ226" s="44"/>
      <c r="BK226" s="44"/>
      <c r="BL226" s="44"/>
      <c r="BM226" s="44"/>
      <c r="BN226" s="44"/>
      <c r="BO226" s="44"/>
    </row>
    <row r="227" spans="1:67">
      <c r="A227" s="11"/>
      <c r="B227" s="11" t="s">
        <v>310</v>
      </c>
      <c r="C227" s="11"/>
      <c r="D227" s="10" t="s">
        <v>1551</v>
      </c>
      <c r="E227" s="63">
        <v>0.6</v>
      </c>
      <c r="F227" s="90"/>
      <c r="G227" s="90"/>
      <c r="H227" s="10" t="s">
        <v>1528</v>
      </c>
      <c r="I227" s="63">
        <f t="shared" si="201"/>
        <v>0.6597539553864471</v>
      </c>
      <c r="J227" s="33"/>
      <c r="K227" s="33"/>
      <c r="L227" s="33"/>
      <c r="M227" s="33"/>
      <c r="N227" s="33"/>
      <c r="O227" s="33"/>
      <c r="P227" s="33"/>
      <c r="Q227" s="33"/>
      <c r="R227" s="33"/>
      <c r="S227" s="33"/>
      <c r="T227" s="33"/>
      <c r="U227" s="33"/>
      <c r="V227" s="33"/>
      <c r="W227" s="33"/>
      <c r="X227" s="33"/>
      <c r="Y227" s="33"/>
      <c r="Z227" s="33"/>
      <c r="AA227" s="33"/>
      <c r="AB227" s="33"/>
      <c r="AC227" s="33"/>
      <c r="AD227" s="33"/>
      <c r="AE227" s="33"/>
      <c r="AF227" s="33"/>
      <c r="AG227" s="33"/>
      <c r="AH227" s="33"/>
      <c r="AI227" s="33"/>
      <c r="AJ227" s="33"/>
      <c r="AK227" s="33"/>
      <c r="AL227" s="33"/>
      <c r="AM227" s="33"/>
      <c r="AN227" s="33"/>
      <c r="AO227" s="33"/>
      <c r="AP227" s="33"/>
      <c r="AQ227" s="33"/>
      <c r="AR227" s="33"/>
      <c r="AS227" s="33"/>
      <c r="AT227" s="33"/>
      <c r="AU227" s="33"/>
      <c r="AV227" s="33"/>
      <c r="AW227" s="33"/>
      <c r="AX227" s="33"/>
      <c r="AY227" s="33"/>
      <c r="AZ227" s="33"/>
      <c r="BA227" s="33"/>
      <c r="BB227" s="33"/>
      <c r="BC227" s="33"/>
      <c r="BD227" s="33"/>
      <c r="BE227" s="33"/>
      <c r="BF227" s="33"/>
      <c r="BG227" s="33"/>
      <c r="BH227" s="33"/>
      <c r="BI227" s="33"/>
      <c r="BJ227" s="44"/>
      <c r="BK227" s="44"/>
      <c r="BL227" s="44"/>
      <c r="BM227" s="44"/>
      <c r="BN227" s="44"/>
      <c r="BO227" s="44"/>
    </row>
    <row r="228" spans="1:67">
      <c r="A228" s="11"/>
      <c r="B228" s="11" t="s">
        <v>1552</v>
      </c>
      <c r="C228" s="11"/>
      <c r="D228" s="10" t="s">
        <v>1553</v>
      </c>
      <c r="E228" s="63">
        <v>0.6</v>
      </c>
      <c r="F228" s="90"/>
      <c r="G228" s="90"/>
      <c r="H228" s="10" t="s">
        <v>1528</v>
      </c>
      <c r="I228" s="27"/>
      <c r="J228" s="33"/>
      <c r="K228" s="33"/>
      <c r="L228" s="33"/>
      <c r="M228" s="33"/>
      <c r="N228" s="33"/>
      <c r="O228" s="33"/>
      <c r="P228" s="33"/>
      <c r="Q228" s="33"/>
      <c r="R228" s="33"/>
      <c r="S228" s="33"/>
      <c r="T228" s="33"/>
      <c r="U228" s="33"/>
      <c r="V228" s="33"/>
      <c r="W228" s="33"/>
      <c r="X228" s="33"/>
      <c r="Y228" s="33"/>
      <c r="Z228" s="33"/>
      <c r="AA228" s="33"/>
      <c r="AB228" s="33"/>
      <c r="AC228" s="33"/>
      <c r="AD228" s="33"/>
      <c r="AE228" s="33"/>
      <c r="AF228" s="33"/>
      <c r="AG228" s="33"/>
      <c r="AH228" s="33"/>
      <c r="AI228" s="33"/>
      <c r="AJ228" s="33"/>
      <c r="AK228" s="33"/>
      <c r="AL228" s="33"/>
      <c r="AM228" s="33"/>
      <c r="AN228" s="33"/>
      <c r="AO228" s="33"/>
      <c r="AP228" s="33"/>
      <c r="AQ228" s="33"/>
      <c r="AR228" s="33"/>
      <c r="AS228" s="33"/>
      <c r="AT228" s="33"/>
      <c r="AU228" s="33"/>
      <c r="AV228" s="33"/>
      <c r="AW228" s="33"/>
      <c r="AX228" s="33"/>
      <c r="AY228" s="33"/>
      <c r="AZ228" s="33"/>
      <c r="BA228" s="33"/>
      <c r="BB228" s="33"/>
      <c r="BC228" s="33"/>
      <c r="BD228" s="33"/>
      <c r="BE228" s="33"/>
      <c r="BF228" s="33"/>
      <c r="BG228" s="33"/>
      <c r="BH228" s="33"/>
      <c r="BI228" s="33"/>
      <c r="BJ228" s="44"/>
      <c r="BK228" s="44"/>
      <c r="BL228" s="44"/>
      <c r="BM228" s="44"/>
      <c r="BN228" s="44"/>
      <c r="BO228" s="44"/>
    </row>
    <row r="229" spans="1:67">
      <c r="A229" s="11"/>
      <c r="B229" s="11" t="s">
        <v>1554</v>
      </c>
      <c r="C229" s="11"/>
      <c r="D229" s="10" t="s">
        <v>1555</v>
      </c>
      <c r="E229" s="63">
        <v>0.6</v>
      </c>
      <c r="F229" s="90"/>
      <c r="G229" s="90"/>
      <c r="H229" s="10" t="s">
        <v>1528</v>
      </c>
      <c r="I229" s="27"/>
      <c r="J229" s="33"/>
      <c r="K229" s="33"/>
      <c r="L229" s="33"/>
      <c r="M229" s="33"/>
      <c r="N229" s="33"/>
      <c r="O229" s="33"/>
      <c r="P229" s="33"/>
      <c r="Q229" s="33"/>
      <c r="R229" s="33"/>
      <c r="S229" s="33"/>
      <c r="T229" s="33"/>
      <c r="U229" s="33"/>
      <c r="V229" s="33"/>
      <c r="W229" s="33"/>
      <c r="X229" s="33"/>
      <c r="Y229" s="33"/>
      <c r="Z229" s="33"/>
      <c r="AA229" s="33"/>
      <c r="AB229" s="33"/>
      <c r="AC229" s="33"/>
      <c r="AD229" s="33"/>
      <c r="AE229" s="33"/>
      <c r="AF229" s="33"/>
      <c r="AG229" s="33"/>
      <c r="AH229" s="33"/>
      <c r="AI229" s="33"/>
      <c r="AJ229" s="33"/>
      <c r="AK229" s="33"/>
      <c r="AL229" s="33"/>
      <c r="AM229" s="33"/>
      <c r="AN229" s="33"/>
      <c r="AO229" s="33"/>
      <c r="AP229" s="33"/>
      <c r="AQ229" s="33"/>
      <c r="AR229" s="33"/>
      <c r="AS229" s="33"/>
      <c r="AT229" s="33"/>
      <c r="AU229" s="33"/>
      <c r="AV229" s="33"/>
      <c r="AW229" s="33"/>
      <c r="AX229" s="33"/>
      <c r="AY229" s="33"/>
      <c r="AZ229" s="33"/>
      <c r="BA229" s="33"/>
      <c r="BB229" s="33"/>
      <c r="BC229" s="33"/>
      <c r="BD229" s="33"/>
      <c r="BE229" s="33"/>
      <c r="BF229" s="33"/>
      <c r="BG229" s="33"/>
      <c r="BH229" s="33"/>
      <c r="BI229" s="33"/>
      <c r="BJ229" s="44"/>
      <c r="BK229" s="44"/>
      <c r="BL229" s="44"/>
      <c r="BM229" s="44"/>
      <c r="BN229" s="44"/>
      <c r="BO229" s="44"/>
    </row>
    <row r="230" spans="1:67">
      <c r="A230" s="11"/>
      <c r="B230" s="11" t="s">
        <v>1556</v>
      </c>
      <c r="C230" s="11"/>
      <c r="D230" s="10" t="s">
        <v>1557</v>
      </c>
      <c r="E230" s="63">
        <v>0.6</v>
      </c>
      <c r="F230" s="90"/>
      <c r="G230" s="90"/>
      <c r="H230" s="10" t="s">
        <v>1528</v>
      </c>
      <c r="I230" s="27"/>
      <c r="J230" s="33"/>
      <c r="K230" s="33"/>
      <c r="L230" s="33"/>
      <c r="M230" s="33"/>
      <c r="N230" s="33"/>
      <c r="O230" s="33"/>
      <c r="P230" s="33"/>
      <c r="Q230" s="33"/>
      <c r="R230" s="33"/>
      <c r="S230" s="33"/>
      <c r="T230" s="33"/>
      <c r="U230" s="33"/>
      <c r="V230" s="33"/>
      <c r="W230" s="33"/>
      <c r="X230" s="33"/>
      <c r="Y230" s="33"/>
      <c r="Z230" s="33"/>
      <c r="AA230" s="33"/>
      <c r="AB230" s="33"/>
      <c r="AC230" s="33"/>
      <c r="AD230" s="33"/>
      <c r="AE230" s="33"/>
      <c r="AF230" s="33"/>
      <c r="AG230" s="33"/>
      <c r="AH230" s="33"/>
      <c r="AI230" s="33"/>
      <c r="AJ230" s="33"/>
      <c r="AK230" s="33"/>
      <c r="AL230" s="33"/>
      <c r="AM230" s="33"/>
      <c r="AN230" s="33"/>
      <c r="AO230" s="33"/>
      <c r="AP230" s="33"/>
      <c r="AQ230" s="33"/>
      <c r="AR230" s="33"/>
      <c r="AS230" s="33"/>
      <c r="AT230" s="33"/>
      <c r="AU230" s="33"/>
      <c r="AV230" s="33"/>
      <c r="AW230" s="33"/>
      <c r="AX230" s="33"/>
      <c r="AY230" s="33"/>
      <c r="AZ230" s="33"/>
      <c r="BA230" s="33"/>
      <c r="BB230" s="33"/>
      <c r="BC230" s="33"/>
      <c r="BD230" s="33"/>
      <c r="BE230" s="33"/>
      <c r="BF230" s="33"/>
      <c r="BG230" s="33"/>
      <c r="BH230" s="33"/>
      <c r="BI230" s="33"/>
      <c r="BJ230" s="44"/>
      <c r="BK230" s="44"/>
      <c r="BL230" s="44"/>
      <c r="BM230" s="44"/>
      <c r="BN230" s="44"/>
      <c r="BO230" s="44"/>
    </row>
    <row r="231" spans="1:67">
      <c r="A231" s="11"/>
      <c r="B231" s="11" t="s">
        <v>1558</v>
      </c>
      <c r="C231" s="11"/>
      <c r="D231" s="10" t="s">
        <v>1559</v>
      </c>
      <c r="E231" s="63">
        <v>0.6</v>
      </c>
      <c r="F231" s="90"/>
      <c r="G231" s="90"/>
      <c r="H231" s="10" t="s">
        <v>1528</v>
      </c>
      <c r="I231" s="27"/>
      <c r="J231" s="33"/>
      <c r="K231" s="33"/>
      <c r="L231" s="33"/>
      <c r="M231" s="33"/>
      <c r="N231" s="33"/>
      <c r="O231" s="33"/>
      <c r="P231" s="33"/>
      <c r="Q231" s="33"/>
      <c r="R231" s="33"/>
      <c r="S231" s="33"/>
      <c r="T231" s="33"/>
      <c r="U231" s="33"/>
      <c r="V231" s="33"/>
      <c r="W231" s="33"/>
      <c r="X231" s="33"/>
      <c r="Y231" s="33"/>
      <c r="Z231" s="33"/>
      <c r="AA231" s="33"/>
      <c r="AB231" s="33"/>
      <c r="AC231" s="33"/>
      <c r="AD231" s="33"/>
      <c r="AE231" s="33"/>
      <c r="AF231" s="33"/>
      <c r="AG231" s="33"/>
      <c r="AH231" s="33"/>
      <c r="AI231" s="33"/>
      <c r="AJ231" s="33"/>
      <c r="AK231" s="33"/>
      <c r="AL231" s="33"/>
      <c r="AM231" s="33"/>
      <c r="AN231" s="33"/>
      <c r="AO231" s="33"/>
      <c r="AP231" s="33"/>
      <c r="AQ231" s="33"/>
      <c r="AR231" s="33"/>
      <c r="AS231" s="33"/>
      <c r="AT231" s="33"/>
      <c r="AU231" s="33"/>
      <c r="AV231" s="33"/>
      <c r="AW231" s="33"/>
      <c r="AX231" s="33"/>
      <c r="AY231" s="33"/>
      <c r="AZ231" s="33"/>
      <c r="BA231" s="33"/>
      <c r="BB231" s="33"/>
      <c r="BC231" s="33"/>
      <c r="BD231" s="33"/>
      <c r="BE231" s="33"/>
      <c r="BF231" s="33"/>
      <c r="BG231" s="33"/>
      <c r="BH231" s="33"/>
      <c r="BI231" s="33"/>
      <c r="BJ231" s="44"/>
      <c r="BK231" s="44"/>
      <c r="BL231" s="44"/>
      <c r="BM231" s="44"/>
      <c r="BN231" s="44"/>
      <c r="BO231" s="44"/>
    </row>
    <row r="232" spans="1:67">
      <c r="A232" s="11"/>
      <c r="B232" s="11" t="s">
        <v>1560</v>
      </c>
      <c r="C232" s="11"/>
      <c r="D232" s="10" t="s">
        <v>1561</v>
      </c>
      <c r="E232" s="63">
        <v>0.6</v>
      </c>
      <c r="F232" s="90"/>
      <c r="G232" s="90"/>
      <c r="H232" s="10" t="s">
        <v>1528</v>
      </c>
      <c r="I232" s="27"/>
      <c r="J232" s="33"/>
      <c r="K232" s="33"/>
      <c r="L232" s="33"/>
      <c r="M232" s="33"/>
      <c r="N232" s="33"/>
      <c r="O232" s="33"/>
      <c r="P232" s="33"/>
      <c r="Q232" s="33"/>
      <c r="R232" s="33"/>
      <c r="S232" s="33"/>
      <c r="T232" s="33"/>
      <c r="U232" s="33"/>
      <c r="V232" s="33"/>
      <c r="W232" s="33"/>
      <c r="X232" s="33"/>
      <c r="Y232" s="33"/>
      <c r="Z232" s="33"/>
      <c r="AA232" s="33"/>
      <c r="AB232" s="33"/>
      <c r="AC232" s="33"/>
      <c r="AD232" s="33"/>
      <c r="AE232" s="33"/>
      <c r="AF232" s="33"/>
      <c r="AG232" s="33"/>
      <c r="AH232" s="33"/>
      <c r="AI232" s="33"/>
      <c r="AJ232" s="33"/>
      <c r="AK232" s="33"/>
      <c r="AL232" s="33"/>
      <c r="AM232" s="33"/>
      <c r="AN232" s="33"/>
      <c r="AO232" s="33"/>
      <c r="AP232" s="33"/>
      <c r="AQ232" s="33"/>
      <c r="AR232" s="33"/>
      <c r="AS232" s="33"/>
      <c r="AT232" s="33"/>
      <c r="AU232" s="33"/>
      <c r="AV232" s="33"/>
      <c r="AW232" s="33"/>
      <c r="AX232" s="33"/>
      <c r="AY232" s="33"/>
      <c r="AZ232" s="33"/>
      <c r="BA232" s="33"/>
      <c r="BB232" s="33"/>
      <c r="BC232" s="33"/>
      <c r="BD232" s="33"/>
      <c r="BE232" s="33"/>
      <c r="BF232" s="33"/>
      <c r="BG232" s="33"/>
      <c r="BH232" s="33"/>
      <c r="BI232" s="33"/>
      <c r="BJ232" s="44"/>
      <c r="BK232" s="44"/>
      <c r="BL232" s="44"/>
      <c r="BM232" s="44"/>
      <c r="BN232" s="44"/>
      <c r="BO232" s="44"/>
    </row>
    <row r="233" spans="1:67">
      <c r="A233" s="11"/>
      <c r="B233" s="11" t="s">
        <v>1562</v>
      </c>
      <c r="C233" s="11"/>
      <c r="D233" s="10" t="s">
        <v>1563</v>
      </c>
      <c r="E233" s="63">
        <v>0.6</v>
      </c>
      <c r="F233" s="90"/>
      <c r="G233" s="90"/>
      <c r="H233" s="10" t="s">
        <v>1528</v>
      </c>
      <c r="I233" s="27"/>
      <c r="J233" s="33"/>
      <c r="K233" s="33"/>
      <c r="L233" s="33"/>
      <c r="M233" s="33"/>
      <c r="N233" s="33"/>
      <c r="O233" s="33"/>
      <c r="P233" s="33"/>
      <c r="Q233" s="33"/>
      <c r="R233" s="33"/>
      <c r="S233" s="33"/>
      <c r="T233" s="33"/>
      <c r="U233" s="33"/>
      <c r="V233" s="33"/>
      <c r="W233" s="33"/>
      <c r="X233" s="33"/>
      <c r="Y233" s="33"/>
      <c r="Z233" s="33"/>
      <c r="AA233" s="33"/>
      <c r="AB233" s="33"/>
      <c r="AC233" s="33"/>
      <c r="AD233" s="33"/>
      <c r="AE233" s="33"/>
      <c r="AF233" s="33"/>
      <c r="AG233" s="33"/>
      <c r="AH233" s="33"/>
      <c r="AI233" s="33"/>
      <c r="AJ233" s="33"/>
      <c r="AK233" s="33"/>
      <c r="AL233" s="33"/>
      <c r="AM233" s="33"/>
      <c r="AN233" s="33"/>
      <c r="AO233" s="33"/>
      <c r="AP233" s="33"/>
      <c r="AQ233" s="33"/>
      <c r="AR233" s="33"/>
      <c r="AS233" s="33"/>
      <c r="AT233" s="33"/>
      <c r="AU233" s="33"/>
      <c r="AV233" s="33"/>
      <c r="AW233" s="33"/>
      <c r="AX233" s="33"/>
      <c r="AY233" s="33"/>
      <c r="AZ233" s="33"/>
      <c r="BA233" s="33"/>
      <c r="BB233" s="33"/>
      <c r="BC233" s="33"/>
      <c r="BD233" s="33"/>
      <c r="BE233" s="33"/>
      <c r="BF233" s="33"/>
      <c r="BG233" s="33"/>
      <c r="BH233" s="33"/>
      <c r="BI233" s="33"/>
      <c r="BJ233" s="44"/>
      <c r="BK233" s="44"/>
      <c r="BL233" s="44"/>
      <c r="BM233" s="44"/>
      <c r="BN233" s="44"/>
      <c r="BO233" s="44"/>
    </row>
    <row r="234" spans="1:67">
      <c r="A234" s="11"/>
      <c r="B234" s="11" t="s">
        <v>1564</v>
      </c>
      <c r="C234" s="11"/>
      <c r="D234" s="10" t="s">
        <v>1565</v>
      </c>
      <c r="E234" s="63">
        <v>0.6</v>
      </c>
      <c r="F234" s="90"/>
      <c r="G234" s="90"/>
      <c r="H234" s="10" t="s">
        <v>1528</v>
      </c>
      <c r="I234" s="27"/>
      <c r="J234" s="33"/>
      <c r="K234" s="33"/>
      <c r="L234" s="33"/>
      <c r="M234" s="33"/>
      <c r="N234" s="33"/>
      <c r="O234" s="33"/>
      <c r="P234" s="33"/>
      <c r="Q234" s="33"/>
      <c r="R234" s="33"/>
      <c r="S234" s="33"/>
      <c r="T234" s="33"/>
      <c r="U234" s="33"/>
      <c r="V234" s="33"/>
      <c r="W234" s="33"/>
      <c r="X234" s="33"/>
      <c r="Y234" s="33"/>
      <c r="Z234" s="33"/>
      <c r="AA234" s="33"/>
      <c r="AB234" s="33"/>
      <c r="AC234" s="33"/>
      <c r="AD234" s="33"/>
      <c r="AE234" s="33"/>
      <c r="AF234" s="33"/>
      <c r="AG234" s="33"/>
      <c r="AH234" s="33"/>
      <c r="AI234" s="33"/>
      <c r="AJ234" s="33"/>
      <c r="AK234" s="33"/>
      <c r="AL234" s="33"/>
      <c r="AM234" s="33"/>
      <c r="AN234" s="33"/>
      <c r="AO234" s="33"/>
      <c r="AP234" s="33"/>
      <c r="AQ234" s="33"/>
      <c r="AR234" s="33"/>
      <c r="AS234" s="33"/>
      <c r="AT234" s="33"/>
      <c r="AU234" s="33"/>
      <c r="AV234" s="33"/>
      <c r="AW234" s="33"/>
      <c r="AX234" s="33"/>
      <c r="AY234" s="33"/>
      <c r="AZ234" s="33"/>
      <c r="BA234" s="33"/>
      <c r="BB234" s="33"/>
      <c r="BC234" s="33"/>
      <c r="BD234" s="33"/>
      <c r="BE234" s="33"/>
      <c r="BF234" s="33"/>
      <c r="BG234" s="33"/>
      <c r="BH234" s="33"/>
      <c r="BI234" s="33"/>
      <c r="BJ234" s="44"/>
      <c r="BK234" s="44"/>
      <c r="BL234" s="44"/>
      <c r="BM234" s="44"/>
      <c r="BN234" s="44"/>
      <c r="BO234" s="44"/>
    </row>
    <row r="235" spans="1:67">
      <c r="A235" s="11"/>
      <c r="B235" s="11" t="s">
        <v>1566</v>
      </c>
      <c r="C235" s="11"/>
      <c r="D235" s="10" t="s">
        <v>1567</v>
      </c>
      <c r="E235" s="63">
        <v>0.6</v>
      </c>
      <c r="F235" s="90"/>
      <c r="G235" s="90"/>
      <c r="H235" s="10" t="s">
        <v>1528</v>
      </c>
      <c r="I235" s="27"/>
      <c r="J235" s="33"/>
      <c r="K235" s="33"/>
      <c r="L235" s="33"/>
      <c r="M235" s="33"/>
      <c r="N235" s="33"/>
      <c r="O235" s="33"/>
      <c r="P235" s="33"/>
      <c r="Q235" s="33"/>
      <c r="R235" s="33"/>
      <c r="S235" s="33"/>
      <c r="T235" s="33"/>
      <c r="U235" s="33"/>
      <c r="V235" s="33"/>
      <c r="W235" s="33"/>
      <c r="X235" s="33"/>
      <c r="Y235" s="33"/>
      <c r="Z235" s="33"/>
      <c r="AA235" s="33"/>
      <c r="AB235" s="33"/>
      <c r="AC235" s="33"/>
      <c r="AD235" s="33"/>
      <c r="AE235" s="33"/>
      <c r="AF235" s="33"/>
      <c r="AG235" s="33"/>
      <c r="AH235" s="33"/>
      <c r="AI235" s="33"/>
      <c r="AJ235" s="33"/>
      <c r="AK235" s="33"/>
      <c r="AL235" s="33"/>
      <c r="AM235" s="33"/>
      <c r="AN235" s="33"/>
      <c r="AO235" s="33"/>
      <c r="AP235" s="33"/>
      <c r="AQ235" s="33"/>
      <c r="AR235" s="33"/>
      <c r="AS235" s="33"/>
      <c r="AT235" s="33"/>
      <c r="AU235" s="33"/>
      <c r="AV235" s="33"/>
      <c r="AW235" s="33"/>
      <c r="AX235" s="33"/>
      <c r="AY235" s="33"/>
      <c r="AZ235" s="33"/>
      <c r="BA235" s="33"/>
      <c r="BB235" s="33"/>
      <c r="BC235" s="33"/>
      <c r="BD235" s="33"/>
      <c r="BE235" s="33"/>
      <c r="BF235" s="33"/>
      <c r="BG235" s="33"/>
      <c r="BH235" s="33"/>
      <c r="BI235" s="33"/>
      <c r="BJ235" s="44"/>
      <c r="BK235" s="44"/>
      <c r="BL235" s="44"/>
      <c r="BM235" s="44"/>
      <c r="BN235" s="44"/>
      <c r="BO235" s="44"/>
    </row>
    <row r="236" spans="1:67">
      <c r="A236" s="11"/>
      <c r="B236" s="1" t="s">
        <v>1768</v>
      </c>
      <c r="C236" s="1"/>
      <c r="D236" s="10"/>
      <c r="E236" s="29"/>
      <c r="F236" s="3"/>
      <c r="G236" s="3"/>
      <c r="H236" s="43"/>
      <c r="I236" s="33"/>
      <c r="J236" s="33"/>
      <c r="K236" s="33"/>
      <c r="L236" s="33"/>
      <c r="M236" s="33"/>
      <c r="N236" s="33"/>
      <c r="O236" s="33"/>
      <c r="P236" s="33"/>
      <c r="Q236" s="33"/>
      <c r="R236" s="33"/>
      <c r="S236" s="33"/>
      <c r="T236" s="33"/>
      <c r="U236" s="33"/>
      <c r="V236" s="33"/>
      <c r="W236" s="33"/>
      <c r="X236" s="33"/>
      <c r="Y236" s="33"/>
      <c r="Z236" s="33"/>
      <c r="AA236" s="33"/>
      <c r="AB236" s="33"/>
      <c r="AC236" s="33"/>
      <c r="AD236" s="33"/>
      <c r="AE236" s="33"/>
      <c r="AF236" s="33"/>
      <c r="AG236" s="33"/>
      <c r="AH236" s="33"/>
      <c r="AI236" s="33"/>
      <c r="AJ236" s="33"/>
      <c r="AK236" s="33"/>
      <c r="AL236" s="33"/>
      <c r="AM236" s="33"/>
      <c r="AN236" s="33"/>
      <c r="AO236" s="33"/>
      <c r="AP236" s="33"/>
      <c r="AQ236" s="33"/>
      <c r="AR236" s="33"/>
      <c r="AS236" s="33"/>
      <c r="AT236" s="33"/>
      <c r="AU236" s="33"/>
      <c r="AV236" s="33"/>
      <c r="AW236" s="33"/>
      <c r="AX236" s="33"/>
      <c r="AY236" s="33"/>
      <c r="AZ236" s="33"/>
      <c r="BA236" s="33"/>
      <c r="BB236" s="33"/>
      <c r="BC236" s="33"/>
      <c r="BD236" s="33"/>
      <c r="BE236" s="33"/>
      <c r="BF236" s="33"/>
      <c r="BG236" s="33"/>
      <c r="BH236" s="33"/>
      <c r="BI236" s="33"/>
      <c r="BJ236" s="44"/>
      <c r="BK236" s="44"/>
      <c r="BL236" s="44"/>
      <c r="BM236" s="44"/>
      <c r="BN236" s="44"/>
      <c r="BO236" s="44"/>
    </row>
    <row r="237" spans="1:67">
      <c r="A237" s="11"/>
      <c r="B237" s="1" t="s">
        <v>1805</v>
      </c>
      <c r="C237" s="22"/>
      <c r="D237" s="22"/>
      <c r="E237" s="5"/>
      <c r="F237" s="89"/>
      <c r="G237" s="89"/>
      <c r="H237" s="33"/>
      <c r="I237" s="33"/>
      <c r="J237" s="33"/>
      <c r="K237" s="33"/>
      <c r="L237" s="33"/>
      <c r="M237" s="33"/>
      <c r="N237" s="33"/>
      <c r="O237" s="33"/>
      <c r="P237" s="33"/>
      <c r="Q237" s="33"/>
      <c r="R237" s="33"/>
      <c r="S237" s="33"/>
      <c r="T237" s="33"/>
      <c r="U237" s="33"/>
      <c r="V237" s="33"/>
      <c r="W237" s="33"/>
      <c r="X237" s="33"/>
      <c r="Y237" s="33"/>
      <c r="Z237" s="33"/>
      <c r="AA237" s="33"/>
      <c r="AB237" s="33"/>
      <c r="AC237" s="33"/>
      <c r="AD237" s="33"/>
      <c r="AE237" s="33"/>
      <c r="AF237" s="33"/>
      <c r="AG237" s="33"/>
      <c r="AH237" s="33"/>
      <c r="AI237" s="33"/>
      <c r="AJ237" s="33"/>
      <c r="AK237" s="33"/>
      <c r="AL237" s="33"/>
      <c r="AM237" s="33"/>
      <c r="AN237" s="33"/>
      <c r="AO237" s="33"/>
      <c r="AP237" s="33"/>
      <c r="AQ237" s="33"/>
      <c r="AR237" s="33"/>
      <c r="AS237" s="33"/>
      <c r="AT237" s="33"/>
      <c r="AU237" s="33"/>
      <c r="AV237" s="33"/>
      <c r="AW237" s="33"/>
      <c r="AX237" s="33"/>
      <c r="AY237" s="33"/>
      <c r="AZ237" s="33"/>
      <c r="BA237" s="33"/>
      <c r="BB237" s="33"/>
      <c r="BC237" s="33"/>
      <c r="BD237" s="33"/>
      <c r="BE237" s="33"/>
      <c r="BF237" s="33"/>
      <c r="BG237" s="33"/>
      <c r="BH237" s="33"/>
      <c r="BI237" s="33"/>
      <c r="BJ237" s="44"/>
      <c r="BK237" s="44"/>
      <c r="BL237" s="44"/>
      <c r="BM237" s="44"/>
      <c r="BN237" s="44"/>
      <c r="BO237" s="44"/>
    </row>
    <row r="238" spans="1:67">
      <c r="A238" s="11"/>
      <c r="B238" s="11"/>
      <c r="C238" s="11"/>
      <c r="D238" s="11"/>
      <c r="E238" s="33"/>
      <c r="F238" s="33"/>
      <c r="G238" s="6"/>
      <c r="H238" s="33"/>
      <c r="I238" s="33"/>
      <c r="J238" s="33"/>
      <c r="K238" s="33"/>
      <c r="L238" s="33"/>
      <c r="M238" s="33"/>
      <c r="N238" s="33"/>
      <c r="O238" s="33"/>
      <c r="P238" s="33"/>
      <c r="Q238" s="33"/>
      <c r="R238" s="33"/>
      <c r="S238" s="33"/>
      <c r="T238" s="33"/>
      <c r="U238" s="33"/>
      <c r="V238" s="33"/>
      <c r="W238" s="33"/>
      <c r="X238" s="33"/>
      <c r="Y238" s="33"/>
      <c r="Z238" s="33"/>
      <c r="AA238" s="33"/>
      <c r="AB238" s="33"/>
      <c r="AC238" s="33"/>
      <c r="AD238" s="33"/>
      <c r="AE238" s="33"/>
      <c r="AF238" s="33"/>
      <c r="AG238" s="33"/>
      <c r="AH238" s="33"/>
      <c r="AI238" s="33"/>
      <c r="AJ238" s="33"/>
      <c r="AK238" s="33"/>
      <c r="AL238" s="33"/>
      <c r="AM238" s="33"/>
      <c r="AN238" s="33"/>
      <c r="AO238" s="33"/>
      <c r="AP238" s="33"/>
      <c r="AQ238" s="33"/>
      <c r="AR238" s="33"/>
      <c r="AS238" s="33"/>
      <c r="AT238" s="33"/>
      <c r="AU238" s="33"/>
      <c r="AV238" s="33"/>
      <c r="AW238" s="33"/>
      <c r="AX238" s="33"/>
      <c r="AY238" s="33"/>
      <c r="AZ238" s="33"/>
      <c r="BA238" s="33"/>
      <c r="BB238" s="33"/>
      <c r="BC238" s="33"/>
      <c r="BD238" s="33"/>
      <c r="BE238" s="33"/>
      <c r="BF238" s="33"/>
      <c r="BG238" s="33"/>
      <c r="BH238" s="33"/>
      <c r="BI238" s="33"/>
      <c r="BJ238" s="44"/>
      <c r="BK238" s="44"/>
      <c r="BL238" s="44"/>
      <c r="BM238" s="44"/>
      <c r="BN238" s="44"/>
      <c r="BO238" s="44"/>
    </row>
    <row r="239" spans="1:67">
      <c r="A239" s="11"/>
      <c r="B239" s="11"/>
      <c r="C239" s="11"/>
      <c r="D239" s="11"/>
      <c r="E239" s="33"/>
      <c r="F239" s="33"/>
      <c r="G239" s="33"/>
      <c r="H239" s="33"/>
      <c r="I239" s="33"/>
      <c r="J239" s="33"/>
      <c r="K239" s="33"/>
      <c r="L239" s="33"/>
      <c r="M239" s="33"/>
      <c r="N239" s="33"/>
      <c r="O239" s="33"/>
      <c r="P239" s="33"/>
      <c r="Q239" s="33"/>
      <c r="R239" s="33"/>
      <c r="S239" s="33"/>
      <c r="T239" s="33"/>
      <c r="U239" s="33"/>
      <c r="V239" s="33"/>
      <c r="W239" s="33"/>
      <c r="X239" s="33"/>
      <c r="Y239" s="33"/>
      <c r="Z239" s="33"/>
      <c r="AA239" s="33"/>
      <c r="AB239" s="33"/>
      <c r="AC239" s="33"/>
      <c r="AD239" s="33"/>
      <c r="AE239" s="33"/>
      <c r="AF239" s="33"/>
      <c r="AG239" s="33"/>
      <c r="AH239" s="33"/>
      <c r="AI239" s="33"/>
      <c r="AJ239" s="33"/>
      <c r="AK239" s="33"/>
      <c r="AL239" s="33"/>
      <c r="AM239" s="33"/>
      <c r="AN239" s="33"/>
      <c r="AO239" s="33"/>
      <c r="AP239" s="33"/>
      <c r="AQ239" s="33"/>
      <c r="AR239" s="33"/>
      <c r="AS239" s="33"/>
      <c r="AT239" s="33"/>
      <c r="AU239" s="33"/>
      <c r="AV239" s="33"/>
      <c r="AW239" s="33"/>
      <c r="AX239" s="33"/>
      <c r="AY239" s="33"/>
      <c r="AZ239" s="33"/>
      <c r="BA239" s="33"/>
      <c r="BB239" s="33"/>
      <c r="BC239" s="33"/>
      <c r="BD239" s="33"/>
      <c r="BE239" s="33"/>
      <c r="BF239" s="33"/>
      <c r="BG239" s="33"/>
      <c r="BH239" s="33"/>
      <c r="BI239" s="33"/>
      <c r="BJ239" s="44"/>
      <c r="BK239" s="44"/>
      <c r="BL239" s="44"/>
      <c r="BM239" s="44"/>
      <c r="BN239" s="44"/>
      <c r="BO239" s="44"/>
    </row>
    <row r="240" spans="1:67">
      <c r="A240" s="1"/>
      <c r="B240" s="1"/>
      <c r="C240" s="1"/>
      <c r="D240" s="11"/>
      <c r="E240" s="33"/>
      <c r="F240" s="33"/>
      <c r="G240" s="33"/>
      <c r="H240" s="33"/>
      <c r="I240" s="33"/>
      <c r="J240" s="33"/>
      <c r="K240" s="33"/>
      <c r="L240" s="33"/>
      <c r="M240" s="33"/>
      <c r="N240" s="33"/>
      <c r="O240" s="33"/>
      <c r="P240" s="33"/>
      <c r="Q240" s="33"/>
      <c r="R240" s="33"/>
      <c r="S240" s="33"/>
      <c r="T240" s="33"/>
      <c r="U240" s="33"/>
      <c r="V240" s="33"/>
      <c r="W240" s="33"/>
      <c r="X240" s="33"/>
      <c r="Y240" s="33"/>
      <c r="Z240" s="33"/>
      <c r="AA240" s="33"/>
      <c r="AB240" s="33"/>
      <c r="AC240" s="33"/>
      <c r="AD240" s="33"/>
      <c r="AE240" s="33"/>
      <c r="AF240" s="33"/>
      <c r="AG240" s="33"/>
      <c r="AH240" s="33"/>
      <c r="AI240" s="33"/>
      <c r="AJ240" s="33"/>
      <c r="AK240" s="33"/>
      <c r="AL240" s="33"/>
      <c r="AM240" s="33"/>
      <c r="AN240" s="33"/>
      <c r="AO240" s="33"/>
      <c r="AP240" s="33"/>
      <c r="AQ240" s="33"/>
      <c r="AR240" s="33"/>
      <c r="AS240" s="33"/>
      <c r="AT240" s="33"/>
      <c r="AU240" s="33"/>
      <c r="AV240" s="33"/>
      <c r="AW240" s="33"/>
      <c r="AX240" s="33"/>
      <c r="AY240" s="33"/>
      <c r="AZ240" s="33"/>
      <c r="BA240" s="33"/>
      <c r="BB240" s="33"/>
      <c r="BC240" s="33"/>
      <c r="BD240" s="33"/>
      <c r="BE240" s="33"/>
      <c r="BF240" s="33"/>
      <c r="BG240" s="33"/>
      <c r="BH240" s="33"/>
      <c r="BI240" s="33"/>
      <c r="BJ240" s="44"/>
      <c r="BK240" s="44"/>
      <c r="BL240" s="44"/>
      <c r="BM240" s="44"/>
      <c r="BN240" s="44"/>
      <c r="BO240" s="44"/>
    </row>
    <row r="241" spans="1:67">
      <c r="A241" s="1"/>
      <c r="B241" s="36"/>
      <c r="C241" s="36"/>
      <c r="D241" s="11"/>
      <c r="E241" s="33"/>
      <c r="F241" s="33"/>
      <c r="G241" s="33"/>
      <c r="H241" s="33"/>
      <c r="I241" s="33"/>
      <c r="J241" s="33"/>
      <c r="K241" s="33"/>
      <c r="L241" s="33"/>
      <c r="M241" s="33"/>
      <c r="N241" s="33"/>
      <c r="O241" s="33"/>
      <c r="P241" s="33"/>
      <c r="Q241" s="33"/>
      <c r="R241" s="33"/>
      <c r="S241" s="33"/>
      <c r="T241" s="33"/>
      <c r="U241" s="33"/>
      <c r="V241" s="33"/>
      <c r="W241" s="33"/>
      <c r="X241" s="33"/>
      <c r="Y241" s="33"/>
      <c r="Z241" s="33"/>
      <c r="AA241" s="33"/>
      <c r="AB241" s="33"/>
      <c r="AC241" s="33"/>
      <c r="AD241" s="33"/>
      <c r="AE241" s="33"/>
      <c r="AF241" s="33"/>
      <c r="AG241" s="33"/>
      <c r="AH241" s="33"/>
      <c r="AI241" s="33"/>
      <c r="AJ241" s="33"/>
      <c r="AK241" s="33"/>
      <c r="AL241" s="33"/>
      <c r="AM241" s="33"/>
      <c r="AN241" s="33"/>
      <c r="AO241" s="33"/>
      <c r="AP241" s="33"/>
      <c r="AQ241" s="33"/>
      <c r="AR241" s="33"/>
      <c r="AS241" s="33"/>
      <c r="AT241" s="33"/>
      <c r="AU241" s="33"/>
      <c r="AV241" s="33"/>
      <c r="AW241" s="33"/>
      <c r="AX241" s="33"/>
      <c r="AY241" s="33"/>
      <c r="AZ241" s="33"/>
      <c r="BA241" s="33"/>
      <c r="BB241" s="33"/>
      <c r="BC241" s="33"/>
      <c r="BD241" s="33"/>
      <c r="BE241" s="33"/>
      <c r="BF241" s="33"/>
      <c r="BG241" s="33"/>
      <c r="BH241" s="33"/>
      <c r="BI241" s="33"/>
      <c r="BJ241" s="44"/>
      <c r="BK241" s="44"/>
      <c r="BL241" s="44"/>
      <c r="BM241" s="44"/>
      <c r="BN241" s="44"/>
      <c r="BO241" s="44"/>
    </row>
    <row r="242" spans="1:67">
      <c r="A242" s="11"/>
      <c r="B242" s="11"/>
      <c r="C242" s="11"/>
      <c r="D242" s="11"/>
      <c r="E242" s="33"/>
      <c r="F242" s="33"/>
      <c r="G242" s="33"/>
      <c r="H242" s="33"/>
      <c r="I242" s="33"/>
      <c r="J242" s="33"/>
      <c r="K242" s="33"/>
      <c r="L242" s="33"/>
      <c r="M242" s="33"/>
      <c r="N242" s="33"/>
      <c r="O242" s="33"/>
      <c r="P242" s="33"/>
      <c r="Q242" s="33"/>
      <c r="R242" s="33"/>
      <c r="S242" s="33"/>
      <c r="T242" s="33"/>
      <c r="U242" s="33"/>
      <c r="V242" s="33"/>
      <c r="W242" s="33"/>
      <c r="X242" s="33"/>
      <c r="Y242" s="33"/>
      <c r="Z242" s="33"/>
      <c r="AA242" s="33"/>
      <c r="AB242" s="33"/>
      <c r="AC242" s="33"/>
      <c r="AD242" s="33"/>
      <c r="AE242" s="33"/>
      <c r="AF242" s="33"/>
      <c r="AG242" s="33"/>
      <c r="AH242" s="33"/>
      <c r="AI242" s="33"/>
      <c r="AJ242" s="33"/>
      <c r="AK242" s="33"/>
      <c r="AL242" s="33"/>
      <c r="AM242" s="33"/>
      <c r="AN242" s="33"/>
      <c r="AO242" s="33"/>
      <c r="AP242" s="33"/>
      <c r="AQ242" s="33"/>
      <c r="AR242" s="33"/>
      <c r="AS242" s="33"/>
      <c r="AT242" s="33"/>
      <c r="AU242" s="33"/>
      <c r="AV242" s="33"/>
      <c r="AW242" s="33"/>
      <c r="AX242" s="33"/>
      <c r="AY242" s="33"/>
      <c r="AZ242" s="33"/>
      <c r="BA242" s="33"/>
      <c r="BB242" s="33"/>
      <c r="BC242" s="33"/>
      <c r="BD242" s="33"/>
      <c r="BE242" s="33"/>
      <c r="BF242" s="33"/>
      <c r="BG242" s="33"/>
      <c r="BH242" s="33"/>
      <c r="BI242" s="33"/>
      <c r="BJ242" s="44"/>
      <c r="BK242" s="44"/>
      <c r="BL242" s="44"/>
      <c r="BM242" s="44"/>
      <c r="BN242" s="44"/>
      <c r="BO242" s="44"/>
    </row>
    <row r="243" spans="1:67">
      <c r="A243" s="18" t="s">
        <v>1761</v>
      </c>
      <c r="B243" s="18"/>
      <c r="C243" s="18"/>
      <c r="D243" s="18"/>
      <c r="E243" s="39"/>
      <c r="F243" s="39"/>
      <c r="G243" s="39"/>
      <c r="H243" s="39"/>
      <c r="I243" s="39"/>
      <c r="J243" s="39"/>
      <c r="K243" s="39"/>
      <c r="L243" s="39"/>
      <c r="M243" s="39"/>
      <c r="N243" s="39"/>
      <c r="O243" s="39"/>
      <c r="P243" s="39"/>
      <c r="Q243" s="39"/>
      <c r="R243" s="39"/>
      <c r="S243" s="39"/>
      <c r="T243" s="39"/>
      <c r="U243" s="39"/>
      <c r="V243" s="39"/>
      <c r="W243" s="39"/>
      <c r="X243" s="39"/>
      <c r="Y243" s="39"/>
      <c r="Z243" s="39"/>
      <c r="AA243" s="39"/>
      <c r="AB243" s="39"/>
      <c r="AC243" s="39"/>
      <c r="AD243" s="39"/>
      <c r="AE243" s="39"/>
      <c r="AF243" s="39"/>
      <c r="AG243" s="39"/>
      <c r="AH243" s="39"/>
      <c r="AI243" s="39"/>
      <c r="AJ243" s="39"/>
      <c r="AK243" s="39"/>
      <c r="AL243" s="39"/>
      <c r="AM243" s="39"/>
      <c r="AN243" s="39"/>
      <c r="AO243" s="39"/>
      <c r="AP243" s="39"/>
      <c r="AQ243" s="39"/>
      <c r="AR243" s="39"/>
      <c r="AS243" s="39"/>
      <c r="AT243" s="39"/>
      <c r="AU243" s="39"/>
      <c r="AV243" s="39"/>
      <c r="AW243" s="39"/>
      <c r="AX243" s="39"/>
      <c r="AY243" s="39"/>
      <c r="AZ243" s="39"/>
      <c r="BA243" s="39"/>
      <c r="BB243" s="39"/>
      <c r="BC243" s="39"/>
      <c r="BD243" s="39"/>
      <c r="BE243" s="39"/>
      <c r="BF243" s="39"/>
      <c r="BG243" s="39"/>
      <c r="BH243" s="39"/>
      <c r="BI243" s="39"/>
      <c r="BJ243" s="45"/>
      <c r="BK243" s="45"/>
      <c r="BL243" s="45"/>
      <c r="BM243" s="45"/>
      <c r="BN243" s="45"/>
      <c r="BO243" s="45"/>
    </row>
    <row r="244" spans="1:67">
      <c r="A244" s="11"/>
      <c r="B244" s="11" t="s">
        <v>1578</v>
      </c>
      <c r="C244" s="11"/>
      <c r="D244" s="11"/>
      <c r="E244" s="92">
        <v>240000</v>
      </c>
      <c r="F244" s="10" t="s">
        <v>1579</v>
      </c>
      <c r="G244" s="33"/>
      <c r="H244" s="33"/>
      <c r="I244" s="33"/>
      <c r="J244" s="33"/>
      <c r="K244" s="33"/>
      <c r="L244" s="33"/>
      <c r="M244" s="33"/>
      <c r="N244" s="33"/>
      <c r="O244" s="33"/>
      <c r="P244" s="33"/>
      <c r="Q244" s="33"/>
      <c r="R244" s="33"/>
      <c r="S244" s="33"/>
      <c r="T244" s="33"/>
      <c r="U244" s="33"/>
      <c r="V244" s="33"/>
      <c r="W244" s="33"/>
      <c r="X244" s="33"/>
      <c r="Y244" s="33"/>
      <c r="Z244" s="33"/>
      <c r="AA244" s="33"/>
      <c r="AB244" s="33"/>
      <c r="AC244" s="33"/>
      <c r="AD244" s="33"/>
      <c r="AE244" s="33"/>
      <c r="AF244" s="33"/>
      <c r="AG244" s="33"/>
      <c r="AH244" s="33"/>
      <c r="AI244" s="33"/>
      <c r="AJ244" s="33"/>
      <c r="AK244" s="33"/>
      <c r="AL244" s="33"/>
      <c r="AM244" s="33"/>
      <c r="AN244" s="33"/>
      <c r="AO244" s="33"/>
      <c r="AP244" s="33"/>
      <c r="AQ244" s="33"/>
      <c r="AR244" s="33"/>
      <c r="AS244" s="33"/>
      <c r="AT244" s="33"/>
      <c r="AU244" s="33"/>
      <c r="AV244" s="33"/>
      <c r="AW244" s="33"/>
      <c r="AX244" s="33"/>
      <c r="AY244" s="33"/>
      <c r="AZ244" s="33"/>
      <c r="BA244" s="33"/>
      <c r="BB244" s="33"/>
      <c r="BC244" s="33"/>
      <c r="BD244" s="33"/>
      <c r="BE244" s="33"/>
      <c r="BF244" s="33"/>
      <c r="BG244" s="33"/>
      <c r="BH244" s="33"/>
      <c r="BI244" s="33"/>
      <c r="BJ244" s="44"/>
      <c r="BK244" s="44"/>
      <c r="BL244" s="44"/>
      <c r="BM244" s="44"/>
      <c r="BN244" s="44"/>
      <c r="BO244" s="44"/>
    </row>
    <row r="245" spans="1:67">
      <c r="A245" s="11"/>
      <c r="B245" s="11" t="s">
        <v>1580</v>
      </c>
      <c r="C245" s="11"/>
      <c r="D245" s="11"/>
      <c r="E245" s="92">
        <v>500000</v>
      </c>
      <c r="F245" s="10" t="s">
        <v>1579</v>
      </c>
      <c r="G245" s="33"/>
      <c r="H245" s="33"/>
      <c r="I245" s="33"/>
      <c r="J245" s="33"/>
      <c r="K245" s="33"/>
      <c r="L245" s="33"/>
      <c r="M245" s="33"/>
      <c r="N245" s="33"/>
      <c r="O245" s="33"/>
      <c r="P245" s="33"/>
      <c r="Q245" s="33"/>
      <c r="R245" s="33"/>
      <c r="S245" s="33"/>
      <c r="T245" s="33"/>
      <c r="U245" s="33"/>
      <c r="V245" s="33"/>
      <c r="W245" s="33"/>
      <c r="X245" s="33"/>
      <c r="Y245" s="33"/>
      <c r="Z245" s="33"/>
      <c r="AA245" s="33"/>
      <c r="AB245" s="33"/>
      <c r="AC245" s="33"/>
      <c r="AD245" s="33"/>
      <c r="AE245" s="33"/>
      <c r="AF245" s="33"/>
      <c r="AG245" s="33"/>
      <c r="AH245" s="33"/>
      <c r="AI245" s="33"/>
      <c r="AJ245" s="33"/>
      <c r="AK245" s="33"/>
      <c r="AL245" s="33"/>
      <c r="AM245" s="33"/>
      <c r="AN245" s="33"/>
      <c r="AO245" s="33"/>
      <c r="AP245" s="33"/>
      <c r="AQ245" s="33"/>
      <c r="AR245" s="33"/>
      <c r="AS245" s="33"/>
      <c r="AT245" s="33"/>
      <c r="AU245" s="33"/>
      <c r="AV245" s="33"/>
      <c r="AW245" s="33"/>
      <c r="AX245" s="33"/>
      <c r="AY245" s="33"/>
      <c r="AZ245" s="33"/>
      <c r="BA245" s="33"/>
      <c r="BB245" s="33"/>
      <c r="BC245" s="33"/>
      <c r="BD245" s="33"/>
      <c r="BE245" s="33"/>
      <c r="BF245" s="33"/>
      <c r="BG245" s="33"/>
      <c r="BH245" s="33"/>
      <c r="BI245" s="33"/>
      <c r="BJ245" s="44"/>
      <c r="BK245" s="44"/>
      <c r="BL245" s="44"/>
      <c r="BM245" s="44"/>
      <c r="BN245" s="44"/>
      <c r="BO245" s="44"/>
    </row>
    <row r="246" spans="1:67">
      <c r="A246" s="11"/>
      <c r="B246" s="11" t="s">
        <v>1581</v>
      </c>
      <c r="C246" s="11"/>
      <c r="D246" s="11"/>
      <c r="E246" s="92">
        <v>688900</v>
      </c>
      <c r="F246" s="10" t="s">
        <v>1579</v>
      </c>
      <c r="G246" s="33"/>
      <c r="H246" s="33"/>
      <c r="I246" s="33"/>
      <c r="J246" s="33"/>
      <c r="K246" s="33"/>
      <c r="L246" s="33"/>
      <c r="M246" s="33"/>
      <c r="N246" s="33"/>
      <c r="O246" s="33"/>
      <c r="P246" s="33"/>
      <c r="Q246" s="33"/>
      <c r="R246" s="33"/>
      <c r="S246" s="33"/>
      <c r="T246" s="33"/>
      <c r="U246" s="33"/>
      <c r="V246" s="33"/>
      <c r="W246" s="33"/>
      <c r="X246" s="33"/>
      <c r="Y246" s="33"/>
      <c r="Z246" s="33"/>
      <c r="AA246" s="33"/>
      <c r="AB246" s="33"/>
      <c r="AC246" s="33"/>
      <c r="AD246" s="33"/>
      <c r="AE246" s="33"/>
      <c r="AF246" s="33"/>
      <c r="AG246" s="33"/>
      <c r="AH246" s="33"/>
      <c r="AI246" s="33"/>
      <c r="AJ246" s="33"/>
      <c r="AK246" s="33"/>
      <c r="AL246" s="33"/>
      <c r="AM246" s="33"/>
      <c r="AN246" s="33"/>
      <c r="AO246" s="33"/>
      <c r="AP246" s="33"/>
      <c r="AQ246" s="33"/>
      <c r="AR246" s="33"/>
      <c r="AS246" s="33"/>
      <c r="AT246" s="33"/>
      <c r="AU246" s="33"/>
      <c r="AV246" s="33"/>
      <c r="AW246" s="33"/>
      <c r="AX246" s="33"/>
      <c r="AY246" s="33"/>
      <c r="AZ246" s="33"/>
      <c r="BA246" s="33"/>
      <c r="BB246" s="33"/>
      <c r="BC246" s="33"/>
      <c r="BD246" s="33"/>
      <c r="BE246" s="33"/>
      <c r="BF246" s="33"/>
      <c r="BG246" s="33"/>
      <c r="BH246" s="33"/>
      <c r="BI246" s="33"/>
      <c r="BJ246" s="44"/>
      <c r="BK246" s="44"/>
      <c r="BL246" s="44"/>
      <c r="BM246" s="44"/>
      <c r="BN246" s="44"/>
      <c r="BO246" s="44"/>
    </row>
    <row r="247" spans="1:67">
      <c r="A247" s="11"/>
      <c r="B247" s="11" t="s">
        <v>1582</v>
      </c>
      <c r="C247" s="11"/>
      <c r="D247" s="11"/>
      <c r="E247" s="16">
        <v>0.6</v>
      </c>
      <c r="F247" s="10" t="s">
        <v>1583</v>
      </c>
      <c r="G247" s="33"/>
      <c r="H247" s="33"/>
      <c r="I247" s="33"/>
      <c r="J247" s="33"/>
      <c r="K247" s="33"/>
      <c r="L247" s="33"/>
      <c r="M247" s="33"/>
      <c r="N247" s="33"/>
      <c r="O247" s="33"/>
      <c r="P247" s="33"/>
      <c r="Q247" s="33"/>
      <c r="R247" s="33"/>
      <c r="S247" s="33"/>
      <c r="T247" s="33"/>
      <c r="U247" s="33"/>
      <c r="V247" s="33"/>
      <c r="W247" s="33"/>
      <c r="X247" s="33"/>
      <c r="Y247" s="33"/>
      <c r="Z247" s="33"/>
      <c r="AA247" s="33"/>
      <c r="AB247" s="33"/>
      <c r="AC247" s="33"/>
      <c r="AD247" s="33"/>
      <c r="AE247" s="33"/>
      <c r="AF247" s="33"/>
      <c r="AG247" s="33"/>
      <c r="AH247" s="33"/>
      <c r="AI247" s="33"/>
      <c r="AJ247" s="33"/>
      <c r="AK247" s="33"/>
      <c r="AL247" s="33"/>
      <c r="AM247" s="33"/>
      <c r="AN247" s="33"/>
      <c r="AO247" s="33"/>
      <c r="AP247" s="33"/>
      <c r="AQ247" s="33"/>
      <c r="AR247" s="33"/>
      <c r="AS247" s="33"/>
      <c r="AT247" s="33"/>
      <c r="AU247" s="33"/>
      <c r="AV247" s="33"/>
      <c r="AW247" s="33"/>
      <c r="AX247" s="33"/>
      <c r="AY247" s="33"/>
      <c r="AZ247" s="33"/>
      <c r="BA247" s="33"/>
      <c r="BB247" s="33"/>
      <c r="BC247" s="33"/>
      <c r="BD247" s="33"/>
      <c r="BE247" s="33"/>
      <c r="BF247" s="33"/>
      <c r="BG247" s="33"/>
      <c r="BH247" s="33"/>
      <c r="BI247" s="33"/>
      <c r="BJ247" s="44"/>
      <c r="BK247" s="44"/>
      <c r="BL247" s="44"/>
      <c r="BM247" s="44"/>
      <c r="BN247" s="44"/>
      <c r="BO247" s="44"/>
    </row>
    <row r="248" spans="1:67">
      <c r="A248" s="11"/>
      <c r="B248" s="11" t="s">
        <v>1584</v>
      </c>
      <c r="C248" s="11"/>
      <c r="D248" s="11"/>
      <c r="E248" s="90">
        <f>E244*(1+E247)</f>
        <v>384000</v>
      </c>
      <c r="F248" s="10" t="s">
        <v>1579</v>
      </c>
      <c r="G248" s="33"/>
      <c r="H248" s="33"/>
      <c r="I248" s="33"/>
      <c r="J248" s="33"/>
      <c r="K248" s="33"/>
      <c r="L248" s="33"/>
      <c r="M248" s="33"/>
      <c r="N248" s="33"/>
      <c r="O248" s="33"/>
      <c r="P248" s="33"/>
      <c r="Q248" s="33"/>
      <c r="R248" s="33"/>
      <c r="S248" s="33"/>
      <c r="T248" s="33"/>
      <c r="U248" s="33"/>
      <c r="V248" s="33"/>
      <c r="W248" s="33"/>
      <c r="X248" s="33"/>
      <c r="Y248" s="33"/>
      <c r="Z248" s="33"/>
      <c r="AA248" s="33"/>
      <c r="AB248" s="33"/>
      <c r="AC248" s="33"/>
      <c r="AD248" s="33"/>
      <c r="AE248" s="33"/>
      <c r="AF248" s="33"/>
      <c r="AG248" s="33"/>
      <c r="AH248" s="33"/>
      <c r="AI248" s="33"/>
      <c r="AJ248" s="33"/>
      <c r="AK248" s="33"/>
      <c r="AL248" s="33"/>
      <c r="AM248" s="33"/>
      <c r="AN248" s="33"/>
      <c r="AO248" s="33"/>
      <c r="AP248" s="33"/>
      <c r="AQ248" s="33"/>
      <c r="AR248" s="33"/>
      <c r="AS248" s="33"/>
      <c r="AT248" s="33"/>
      <c r="AU248" s="33"/>
      <c r="AV248" s="33"/>
      <c r="AW248" s="33"/>
      <c r="AX248" s="33"/>
      <c r="AY248" s="33"/>
      <c r="AZ248" s="33"/>
      <c r="BA248" s="33"/>
      <c r="BB248" s="33"/>
      <c r="BC248" s="33"/>
      <c r="BD248" s="33"/>
      <c r="BE248" s="33"/>
      <c r="BF248" s="33"/>
      <c r="BG248" s="33"/>
      <c r="BH248" s="33"/>
      <c r="BI248" s="33"/>
      <c r="BJ248" s="44"/>
      <c r="BK248" s="44"/>
      <c r="BL248" s="44"/>
      <c r="BM248" s="44"/>
      <c r="BN248" s="44"/>
      <c r="BO248" s="44"/>
    </row>
    <row r="249" spans="1:67">
      <c r="A249" s="11"/>
      <c r="B249" s="11" t="s">
        <v>1585</v>
      </c>
      <c r="C249" s="11"/>
      <c r="D249" s="11"/>
      <c r="E249" s="90">
        <f>E245*(1+E247)</f>
        <v>800000</v>
      </c>
      <c r="F249" s="10" t="s">
        <v>1579</v>
      </c>
      <c r="G249" s="33"/>
      <c r="H249" s="33"/>
      <c r="I249" s="33"/>
      <c r="J249" s="33"/>
      <c r="K249" s="33"/>
      <c r="L249" s="33"/>
      <c r="M249" s="33"/>
      <c r="N249" s="33"/>
      <c r="O249" s="33"/>
      <c r="P249" s="33"/>
      <c r="Q249" s="33"/>
      <c r="R249" s="33"/>
      <c r="S249" s="33"/>
      <c r="T249" s="33"/>
      <c r="U249" s="33"/>
      <c r="V249" s="33"/>
      <c r="W249" s="33"/>
      <c r="X249" s="33"/>
      <c r="Y249" s="33"/>
      <c r="Z249" s="33"/>
      <c r="AA249" s="33"/>
      <c r="AB249" s="33"/>
      <c r="AC249" s="33"/>
      <c r="AD249" s="33"/>
      <c r="AE249" s="33"/>
      <c r="AF249" s="33"/>
      <c r="AG249" s="33"/>
      <c r="AH249" s="33"/>
      <c r="AI249" s="33"/>
      <c r="AJ249" s="33"/>
      <c r="AK249" s="33"/>
      <c r="AL249" s="33"/>
      <c r="AM249" s="33"/>
      <c r="AN249" s="33"/>
      <c r="AO249" s="33"/>
      <c r="AP249" s="33"/>
      <c r="AQ249" s="33"/>
      <c r="AR249" s="33"/>
      <c r="AS249" s="33"/>
      <c r="AT249" s="33"/>
      <c r="AU249" s="33"/>
      <c r="AV249" s="33"/>
      <c r="AW249" s="33"/>
      <c r="AX249" s="33"/>
      <c r="AY249" s="33"/>
      <c r="AZ249" s="33"/>
      <c r="BA249" s="33"/>
      <c r="BB249" s="33"/>
      <c r="BC249" s="33"/>
      <c r="BD249" s="33"/>
      <c r="BE249" s="33"/>
      <c r="BF249" s="33"/>
      <c r="BG249" s="33"/>
      <c r="BH249" s="33"/>
      <c r="BI249" s="33"/>
      <c r="BJ249" s="44"/>
      <c r="BK249" s="44"/>
      <c r="BL249" s="44"/>
      <c r="BM249" s="44"/>
      <c r="BN249" s="44"/>
      <c r="BO249" s="44"/>
    </row>
    <row r="250" spans="1:67">
      <c r="A250" s="11"/>
      <c r="B250" s="11" t="s">
        <v>54</v>
      </c>
      <c r="C250" s="11"/>
      <c r="D250" s="11"/>
      <c r="E250" s="63">
        <f>'01 Major Assumptions'!$D$20</f>
        <v>32.5</v>
      </c>
      <c r="F250" s="10" t="s">
        <v>51</v>
      </c>
      <c r="G250" s="33"/>
      <c r="H250" s="33"/>
      <c r="I250" s="33"/>
      <c r="J250" s="33"/>
      <c r="K250" s="33"/>
      <c r="L250" s="33"/>
      <c r="M250" s="33"/>
      <c r="N250" s="33"/>
      <c r="O250" s="33"/>
      <c r="P250" s="33"/>
      <c r="Q250" s="33"/>
      <c r="R250" s="33"/>
      <c r="S250" s="33"/>
      <c r="T250" s="33"/>
      <c r="U250" s="33"/>
      <c r="V250" s="33"/>
      <c r="W250" s="33"/>
      <c r="X250" s="33"/>
      <c r="Y250" s="33"/>
      <c r="Z250" s="33"/>
      <c r="AA250" s="33"/>
      <c r="AB250" s="33"/>
      <c r="AC250" s="33"/>
      <c r="AD250" s="33"/>
      <c r="AE250" s="33"/>
      <c r="AF250" s="33"/>
      <c r="AG250" s="33"/>
      <c r="AH250" s="33"/>
      <c r="AI250" s="33"/>
      <c r="AJ250" s="33"/>
      <c r="AK250" s="33"/>
      <c r="AL250" s="33"/>
      <c r="AM250" s="33"/>
      <c r="AN250" s="33"/>
      <c r="AO250" s="33"/>
      <c r="AP250" s="33"/>
      <c r="AQ250" s="33"/>
      <c r="AR250" s="33"/>
      <c r="AS250" s="33"/>
      <c r="AT250" s="33"/>
      <c r="AU250" s="33"/>
      <c r="AV250" s="33"/>
      <c r="AW250" s="33"/>
      <c r="AX250" s="33"/>
      <c r="AY250" s="33"/>
      <c r="AZ250" s="33"/>
      <c r="BA250" s="33"/>
      <c r="BB250" s="33"/>
      <c r="BC250" s="33"/>
      <c r="BD250" s="33"/>
      <c r="BE250" s="33"/>
      <c r="BF250" s="33"/>
      <c r="BG250" s="33"/>
      <c r="BH250" s="33"/>
      <c r="BI250" s="33"/>
      <c r="BJ250" s="44"/>
      <c r="BK250" s="44"/>
      <c r="BL250" s="44"/>
      <c r="BM250" s="44"/>
      <c r="BN250" s="44"/>
      <c r="BO250" s="44"/>
    </row>
    <row r="251" spans="1:67">
      <c r="A251" s="11"/>
      <c r="B251" s="11" t="s">
        <v>1584</v>
      </c>
      <c r="C251" s="11"/>
      <c r="D251" s="11"/>
      <c r="E251" s="90">
        <f>E248*E250</f>
        <v>12480000</v>
      </c>
      <c r="F251" s="10" t="s">
        <v>1586</v>
      </c>
      <c r="G251" s="33"/>
      <c r="H251" s="33"/>
      <c r="I251" s="33"/>
      <c r="J251" s="33"/>
      <c r="K251" s="33"/>
      <c r="L251" s="33"/>
      <c r="M251" s="33"/>
      <c r="N251" s="33"/>
      <c r="O251" s="33"/>
      <c r="P251" s="33"/>
      <c r="Q251" s="33"/>
      <c r="R251" s="33"/>
      <c r="S251" s="33"/>
      <c r="T251" s="33"/>
      <c r="U251" s="33"/>
      <c r="V251" s="33"/>
      <c r="W251" s="33"/>
      <c r="X251" s="33"/>
      <c r="Y251" s="33"/>
      <c r="Z251" s="33"/>
      <c r="AA251" s="33"/>
      <c r="AB251" s="33"/>
      <c r="AC251" s="33"/>
      <c r="AD251" s="33"/>
      <c r="AE251" s="33"/>
      <c r="AF251" s="33"/>
      <c r="AG251" s="33"/>
      <c r="AH251" s="33"/>
      <c r="AI251" s="33"/>
      <c r="AJ251" s="33"/>
      <c r="AK251" s="33"/>
      <c r="AL251" s="33"/>
      <c r="AM251" s="33"/>
      <c r="AN251" s="33"/>
      <c r="AO251" s="33"/>
      <c r="AP251" s="33"/>
      <c r="AQ251" s="33"/>
      <c r="AR251" s="33"/>
      <c r="AS251" s="33"/>
      <c r="AT251" s="33"/>
      <c r="AU251" s="33"/>
      <c r="AV251" s="33"/>
      <c r="AW251" s="33"/>
      <c r="AX251" s="33"/>
      <c r="AY251" s="33"/>
      <c r="AZ251" s="33"/>
      <c r="BA251" s="33"/>
      <c r="BB251" s="33"/>
      <c r="BC251" s="33"/>
      <c r="BD251" s="33"/>
      <c r="BE251" s="33"/>
      <c r="BF251" s="33"/>
      <c r="BG251" s="33"/>
      <c r="BH251" s="33"/>
      <c r="BI251" s="33"/>
      <c r="BJ251" s="44"/>
      <c r="BK251" s="44"/>
      <c r="BL251" s="44"/>
      <c r="BM251" s="44"/>
      <c r="BN251" s="44"/>
      <c r="BO251" s="44"/>
    </row>
    <row r="252" spans="1:67">
      <c r="A252" s="11"/>
      <c r="B252" s="11" t="s">
        <v>1585</v>
      </c>
      <c r="C252" s="11"/>
      <c r="D252" s="11"/>
      <c r="E252" s="90">
        <f>E249*E250</f>
        <v>26000000</v>
      </c>
      <c r="F252" s="10" t="s">
        <v>1586</v>
      </c>
      <c r="G252" s="33"/>
      <c r="H252" s="33"/>
      <c r="I252" s="33"/>
      <c r="J252" s="33"/>
      <c r="K252" s="33"/>
      <c r="L252" s="33"/>
      <c r="M252" s="33"/>
      <c r="N252" s="33"/>
      <c r="O252" s="33"/>
      <c r="P252" s="33"/>
      <c r="Q252" s="33"/>
      <c r="R252" s="33"/>
      <c r="S252" s="33"/>
      <c r="T252" s="33"/>
      <c r="U252" s="33"/>
      <c r="V252" s="33"/>
      <c r="W252" s="33"/>
      <c r="X252" s="33"/>
      <c r="Y252" s="33"/>
      <c r="Z252" s="33"/>
      <c r="AA252" s="33"/>
      <c r="AB252" s="33"/>
      <c r="AC252" s="33"/>
      <c r="AD252" s="33"/>
      <c r="AE252" s="33"/>
      <c r="AF252" s="33"/>
      <c r="AG252" s="33"/>
      <c r="AH252" s="33"/>
      <c r="AI252" s="33"/>
      <c r="AJ252" s="33"/>
      <c r="AK252" s="33"/>
      <c r="AL252" s="33"/>
      <c r="AM252" s="33"/>
      <c r="AN252" s="33"/>
      <c r="AO252" s="33"/>
      <c r="AP252" s="33"/>
      <c r="AQ252" s="33"/>
      <c r="AR252" s="33"/>
      <c r="AS252" s="33"/>
      <c r="AT252" s="33"/>
      <c r="AU252" s="33"/>
      <c r="AV252" s="33"/>
      <c r="AW252" s="33"/>
      <c r="AX252" s="33"/>
      <c r="AY252" s="33"/>
      <c r="AZ252" s="33"/>
      <c r="BA252" s="33"/>
      <c r="BB252" s="33"/>
      <c r="BC252" s="33"/>
      <c r="BD252" s="33"/>
      <c r="BE252" s="33"/>
      <c r="BF252" s="33"/>
      <c r="BG252" s="33"/>
      <c r="BH252" s="33"/>
      <c r="BI252" s="33"/>
      <c r="BJ252" s="44"/>
      <c r="BK252" s="44"/>
      <c r="BL252" s="44"/>
      <c r="BM252" s="44"/>
      <c r="BN252" s="44"/>
      <c r="BO252" s="44"/>
    </row>
    <row r="253" spans="1:67">
      <c r="A253" s="11"/>
      <c r="B253" s="11"/>
      <c r="C253" s="11"/>
      <c r="D253" s="11"/>
      <c r="E253" s="33"/>
      <c r="F253" s="43"/>
      <c r="G253" s="33"/>
      <c r="H253" s="33"/>
      <c r="I253" s="33"/>
      <c r="J253" s="33"/>
      <c r="K253" s="33"/>
      <c r="L253" s="33"/>
      <c r="M253" s="33"/>
      <c r="N253" s="33"/>
      <c r="O253" s="33"/>
      <c r="P253" s="33"/>
      <c r="Q253" s="33"/>
      <c r="R253" s="33"/>
      <c r="S253" s="33"/>
      <c r="T253" s="33"/>
      <c r="U253" s="33"/>
      <c r="V253" s="33"/>
      <c r="W253" s="33"/>
      <c r="X253" s="33"/>
      <c r="Y253" s="33"/>
      <c r="Z253" s="33"/>
      <c r="AA253" s="33"/>
      <c r="AB253" s="33"/>
      <c r="AC253" s="33"/>
      <c r="AD253" s="33"/>
      <c r="AE253" s="33"/>
      <c r="AF253" s="33"/>
      <c r="AG253" s="33"/>
      <c r="AH253" s="33"/>
      <c r="AI253" s="33"/>
      <c r="AJ253" s="33"/>
      <c r="AK253" s="33"/>
      <c r="AL253" s="33"/>
      <c r="AM253" s="33"/>
      <c r="AN253" s="33"/>
      <c r="AO253" s="33"/>
      <c r="AP253" s="33"/>
      <c r="AQ253" s="33"/>
      <c r="AR253" s="33"/>
      <c r="AS253" s="33"/>
      <c r="AT253" s="33"/>
      <c r="AU253" s="33"/>
      <c r="AV253" s="33"/>
      <c r="AW253" s="33"/>
      <c r="AX253" s="33"/>
      <c r="AY253" s="33"/>
      <c r="AZ253" s="33"/>
      <c r="BA253" s="33"/>
      <c r="BB253" s="33"/>
      <c r="BC253" s="33"/>
      <c r="BD253" s="33"/>
      <c r="BE253" s="33"/>
      <c r="BF253" s="33"/>
      <c r="BG253" s="33"/>
      <c r="BH253" s="33"/>
      <c r="BI253" s="33"/>
      <c r="BJ253" s="44"/>
      <c r="BK253" s="44"/>
      <c r="BL253" s="44"/>
      <c r="BM253" s="44"/>
      <c r="BN253" s="44"/>
      <c r="BO253" s="44"/>
    </row>
    <row r="254" spans="1:67">
      <c r="A254" s="11"/>
      <c r="B254" s="22" t="s">
        <v>1587</v>
      </c>
      <c r="C254" s="22"/>
      <c r="D254" s="22"/>
      <c r="E254" s="89">
        <f>E15</f>
        <v>109635665.16984622</v>
      </c>
      <c r="F254" s="37" t="s">
        <v>1588</v>
      </c>
      <c r="G254" s="33"/>
      <c r="H254" s="33"/>
      <c r="I254" s="33"/>
      <c r="J254" s="33"/>
      <c r="K254" s="33"/>
      <c r="L254" s="33"/>
      <c r="M254" s="33"/>
      <c r="N254" s="33"/>
      <c r="O254" s="33"/>
      <c r="P254" s="33"/>
      <c r="Q254" s="33"/>
      <c r="R254" s="33"/>
      <c r="S254" s="33"/>
      <c r="T254" s="33"/>
      <c r="U254" s="33"/>
      <c r="V254" s="33"/>
      <c r="W254" s="33"/>
      <c r="X254" s="33"/>
      <c r="Y254" s="33"/>
      <c r="Z254" s="33"/>
      <c r="AA254" s="33"/>
      <c r="AB254" s="33"/>
      <c r="AC254" s="33"/>
      <c r="AD254" s="33"/>
      <c r="AE254" s="33"/>
      <c r="AF254" s="33"/>
      <c r="AG254" s="33"/>
      <c r="AH254" s="33"/>
      <c r="AI254" s="33"/>
      <c r="AJ254" s="33"/>
      <c r="AK254" s="33"/>
      <c r="AL254" s="33"/>
      <c r="AM254" s="33"/>
      <c r="AN254" s="33"/>
      <c r="AO254" s="33"/>
      <c r="AP254" s="33"/>
      <c r="AQ254" s="33"/>
      <c r="AR254" s="33"/>
      <c r="AS254" s="33"/>
      <c r="AT254" s="33"/>
      <c r="AU254" s="33"/>
      <c r="AV254" s="33"/>
      <c r="AW254" s="33"/>
      <c r="AX254" s="33"/>
      <c r="AY254" s="33"/>
      <c r="AZ254" s="33"/>
      <c r="BA254" s="33"/>
      <c r="BB254" s="33"/>
      <c r="BC254" s="33"/>
      <c r="BD254" s="33"/>
      <c r="BE254" s="33"/>
      <c r="BF254" s="33"/>
      <c r="BG254" s="33"/>
      <c r="BH254" s="33"/>
      <c r="BI254" s="33"/>
      <c r="BJ254" s="44"/>
      <c r="BK254" s="44"/>
      <c r="BL254" s="44"/>
      <c r="BM254" s="44"/>
      <c r="BN254" s="44"/>
      <c r="BO254" s="44"/>
    </row>
    <row r="255" spans="1:67">
      <c r="A255" s="11"/>
      <c r="B255" s="22" t="s">
        <v>1589</v>
      </c>
      <c r="C255" s="22"/>
      <c r="D255" s="22"/>
      <c r="E255" s="89">
        <f>'01 Major Assumptions'!$D$29</f>
        <v>8</v>
      </c>
      <c r="F255" s="37" t="s">
        <v>60</v>
      </c>
      <c r="G255" s="33"/>
      <c r="H255" s="33"/>
      <c r="I255" s="33"/>
      <c r="J255" s="33"/>
      <c r="K255" s="33"/>
      <c r="L255" s="33"/>
      <c r="M255" s="33"/>
      <c r="N255" s="33"/>
      <c r="O255" s="33"/>
      <c r="P255" s="33"/>
      <c r="Q255" s="33"/>
      <c r="R255" s="33"/>
      <c r="S255" s="33"/>
      <c r="T255" s="33"/>
      <c r="U255" s="33"/>
      <c r="V255" s="33"/>
      <c r="W255" s="33"/>
      <c r="X255" s="33"/>
      <c r="Y255" s="33"/>
      <c r="Z255" s="33"/>
      <c r="AA255" s="33"/>
      <c r="AB255" s="33"/>
      <c r="AC255" s="33"/>
      <c r="AD255" s="33"/>
      <c r="AE255" s="33"/>
      <c r="AF255" s="33"/>
      <c r="AG255" s="33"/>
      <c r="AH255" s="33"/>
      <c r="AI255" s="33"/>
      <c r="AJ255" s="33"/>
      <c r="AK255" s="33"/>
      <c r="AL255" s="33"/>
      <c r="AM255" s="33"/>
      <c r="AN255" s="33"/>
      <c r="AO255" s="33"/>
      <c r="AP255" s="33"/>
      <c r="AQ255" s="33"/>
      <c r="AR255" s="33"/>
      <c r="AS255" s="33"/>
      <c r="AT255" s="33"/>
      <c r="AU255" s="33"/>
      <c r="AV255" s="33"/>
      <c r="AW255" s="33"/>
      <c r="AX255" s="33"/>
      <c r="AY255" s="33"/>
      <c r="AZ255" s="33"/>
      <c r="BA255" s="33"/>
      <c r="BB255" s="33"/>
      <c r="BC255" s="33"/>
      <c r="BD255" s="33"/>
      <c r="BE255" s="33"/>
      <c r="BF255" s="33"/>
      <c r="BG255" s="33"/>
      <c r="BH255" s="33"/>
      <c r="BI255" s="33"/>
      <c r="BJ255" s="44"/>
      <c r="BK255" s="44"/>
      <c r="BL255" s="44"/>
      <c r="BM255" s="44"/>
      <c r="BN255" s="44"/>
      <c r="BO255" s="44"/>
    </row>
    <row r="256" spans="1:67">
      <c r="A256" s="11"/>
      <c r="B256" s="22" t="s">
        <v>1590</v>
      </c>
      <c r="C256" s="22"/>
      <c r="D256" s="22"/>
      <c r="E256" s="89">
        <f>E254/E255</f>
        <v>13704458.146230778</v>
      </c>
      <c r="F256" s="37" t="s">
        <v>1586</v>
      </c>
      <c r="G256" s="33"/>
      <c r="H256" s="33"/>
      <c r="I256" s="33"/>
      <c r="J256" s="33"/>
      <c r="K256" s="33"/>
      <c r="L256" s="33"/>
      <c r="M256" s="33"/>
      <c r="N256" s="33"/>
      <c r="O256" s="33"/>
      <c r="P256" s="33"/>
      <c r="Q256" s="33"/>
      <c r="R256" s="33"/>
      <c r="S256" s="33"/>
      <c r="T256" s="33"/>
      <c r="U256" s="33"/>
      <c r="V256" s="33"/>
      <c r="W256" s="33"/>
      <c r="X256" s="33"/>
      <c r="Y256" s="33"/>
      <c r="Z256" s="33"/>
      <c r="AA256" s="33"/>
      <c r="AB256" s="33"/>
      <c r="AC256" s="33"/>
      <c r="AD256" s="33"/>
      <c r="AE256" s="33"/>
      <c r="AF256" s="33"/>
      <c r="AG256" s="33"/>
      <c r="AH256" s="33"/>
      <c r="AI256" s="33"/>
      <c r="AJ256" s="33"/>
      <c r="AK256" s="33"/>
      <c r="AL256" s="33"/>
      <c r="AM256" s="33"/>
      <c r="AN256" s="33"/>
      <c r="AO256" s="33"/>
      <c r="AP256" s="33"/>
      <c r="AQ256" s="33"/>
      <c r="AR256" s="33"/>
      <c r="AS256" s="33"/>
      <c r="AT256" s="33"/>
      <c r="AU256" s="33"/>
      <c r="AV256" s="33"/>
      <c r="AW256" s="33"/>
      <c r="AX256" s="33"/>
      <c r="AY256" s="33"/>
      <c r="AZ256" s="33"/>
      <c r="BA256" s="33"/>
      <c r="BB256" s="33"/>
      <c r="BC256" s="33"/>
      <c r="BD256" s="33"/>
      <c r="BE256" s="33"/>
      <c r="BF256" s="33"/>
      <c r="BG256" s="33"/>
      <c r="BH256" s="33"/>
      <c r="BI256" s="33"/>
      <c r="BJ256" s="44"/>
      <c r="BK256" s="44"/>
      <c r="BL256" s="44"/>
      <c r="BM256" s="44"/>
      <c r="BN256" s="44"/>
      <c r="BO256" s="44"/>
    </row>
    <row r="257" spans="1:67">
      <c r="A257" s="11"/>
      <c r="B257" s="22" t="s">
        <v>1591</v>
      </c>
      <c r="C257" s="22"/>
      <c r="D257" s="22"/>
      <c r="E257" s="89">
        <f>E256*'01 Major Assumptions'!$D$221</f>
        <v>16087500.000000002</v>
      </c>
      <c r="F257" s="37" t="s">
        <v>1586</v>
      </c>
      <c r="G257" s="33"/>
      <c r="H257" s="33"/>
      <c r="I257" s="33"/>
      <c r="J257" s="33"/>
      <c r="K257" s="33"/>
      <c r="L257" s="33"/>
      <c r="M257" s="33"/>
      <c r="N257" s="33"/>
      <c r="O257" s="33"/>
      <c r="P257" s="33"/>
      <c r="Q257" s="33"/>
      <c r="R257" s="33"/>
      <c r="S257" s="33"/>
      <c r="T257" s="33"/>
      <c r="U257" s="33"/>
      <c r="V257" s="33"/>
      <c r="W257" s="33"/>
      <c r="X257" s="33"/>
      <c r="Y257" s="33"/>
      <c r="Z257" s="33"/>
      <c r="AA257" s="33"/>
      <c r="AB257" s="33"/>
      <c r="AC257" s="33"/>
      <c r="AD257" s="33"/>
      <c r="AE257" s="33"/>
      <c r="AF257" s="33"/>
      <c r="AG257" s="33"/>
      <c r="AH257" s="33"/>
      <c r="AI257" s="33"/>
      <c r="AJ257" s="33"/>
      <c r="AK257" s="33"/>
      <c r="AL257" s="33"/>
      <c r="AM257" s="33"/>
      <c r="AN257" s="33"/>
      <c r="AO257" s="33"/>
      <c r="AP257" s="33"/>
      <c r="AQ257" s="33"/>
      <c r="AR257" s="33"/>
      <c r="AS257" s="33"/>
      <c r="AT257" s="33"/>
      <c r="AU257" s="33"/>
      <c r="AV257" s="33"/>
      <c r="AW257" s="33"/>
      <c r="AX257" s="33"/>
      <c r="AY257" s="33"/>
      <c r="AZ257" s="33"/>
      <c r="BA257" s="33"/>
      <c r="BB257" s="33"/>
      <c r="BC257" s="33"/>
      <c r="BD257" s="33"/>
      <c r="BE257" s="33"/>
      <c r="BF257" s="33"/>
      <c r="BG257" s="33"/>
      <c r="BH257" s="33"/>
      <c r="BI257" s="33"/>
      <c r="BJ257" s="44"/>
      <c r="BK257" s="44"/>
      <c r="BL257" s="44"/>
      <c r="BM257" s="44"/>
      <c r="BN257" s="44"/>
      <c r="BO257" s="44"/>
    </row>
    <row r="258" spans="1:67">
      <c r="A258" s="11"/>
      <c r="B258" s="22" t="s">
        <v>1592</v>
      </c>
      <c r="C258" s="22"/>
      <c r="D258" s="22"/>
      <c r="E258" s="89">
        <f>E257/E250</f>
        <v>495000.00000000006</v>
      </c>
      <c r="F258" s="37" t="s">
        <v>1579</v>
      </c>
      <c r="G258" s="33"/>
      <c r="H258" s="33"/>
      <c r="I258" s="33"/>
      <c r="J258" s="33"/>
      <c r="K258" s="33"/>
      <c r="L258" s="33"/>
      <c r="M258" s="33"/>
      <c r="N258" s="33"/>
      <c r="O258" s="33"/>
      <c r="P258" s="33"/>
      <c r="Q258" s="33"/>
      <c r="R258" s="33"/>
      <c r="S258" s="33"/>
      <c r="T258" s="33"/>
      <c r="U258" s="33"/>
      <c r="V258" s="33"/>
      <c r="W258" s="33"/>
      <c r="X258" s="33"/>
      <c r="Y258" s="33"/>
      <c r="Z258" s="33"/>
      <c r="AA258" s="33"/>
      <c r="AB258" s="33"/>
      <c r="AC258" s="33"/>
      <c r="AD258" s="33"/>
      <c r="AE258" s="33"/>
      <c r="AF258" s="33"/>
      <c r="AG258" s="33"/>
      <c r="AH258" s="33"/>
      <c r="AI258" s="33"/>
      <c r="AJ258" s="33"/>
      <c r="AK258" s="33"/>
      <c r="AL258" s="33"/>
      <c r="AM258" s="33"/>
      <c r="AN258" s="33"/>
      <c r="AO258" s="33"/>
      <c r="AP258" s="33"/>
      <c r="AQ258" s="33"/>
      <c r="AR258" s="33"/>
      <c r="AS258" s="33"/>
      <c r="AT258" s="33"/>
      <c r="AU258" s="33"/>
      <c r="AV258" s="33"/>
      <c r="AW258" s="33"/>
      <c r="AX258" s="33"/>
      <c r="AY258" s="33"/>
      <c r="AZ258" s="33"/>
      <c r="BA258" s="33"/>
      <c r="BB258" s="33"/>
      <c r="BC258" s="33"/>
      <c r="BD258" s="33"/>
      <c r="BE258" s="33"/>
      <c r="BF258" s="33"/>
      <c r="BG258" s="33"/>
      <c r="BH258" s="33"/>
      <c r="BI258" s="33"/>
      <c r="BJ258" s="44"/>
      <c r="BK258" s="44"/>
      <c r="BL258" s="44"/>
      <c r="BM258" s="44"/>
      <c r="BN258" s="44"/>
      <c r="BO258" s="44"/>
    </row>
    <row r="259" spans="1:67">
      <c r="A259" s="11"/>
      <c r="B259" s="22" t="s">
        <v>1593</v>
      </c>
      <c r="C259" s="22"/>
      <c r="D259" s="22"/>
      <c r="E259" s="65">
        <f>E257/E252</f>
        <v>0.61875000000000002</v>
      </c>
      <c r="F259" s="8"/>
      <c r="G259" s="33"/>
      <c r="H259" s="33"/>
      <c r="I259" s="33"/>
      <c r="J259" s="33"/>
      <c r="K259" s="33"/>
      <c r="L259" s="33"/>
      <c r="M259" s="33"/>
      <c r="N259" s="33"/>
      <c r="O259" s="33"/>
      <c r="P259" s="33"/>
      <c r="Q259" s="33"/>
      <c r="R259" s="33"/>
      <c r="S259" s="33"/>
      <c r="T259" s="33"/>
      <c r="U259" s="33"/>
      <c r="V259" s="33"/>
      <c r="W259" s="33"/>
      <c r="X259" s="33"/>
      <c r="Y259" s="33"/>
      <c r="Z259" s="33"/>
      <c r="AA259" s="33"/>
      <c r="AB259" s="33"/>
      <c r="AC259" s="33"/>
      <c r="AD259" s="33"/>
      <c r="AE259" s="33"/>
      <c r="AF259" s="33"/>
      <c r="AG259" s="33"/>
      <c r="AH259" s="33"/>
      <c r="AI259" s="33"/>
      <c r="AJ259" s="33"/>
      <c r="AK259" s="33"/>
      <c r="AL259" s="33"/>
      <c r="AM259" s="33"/>
      <c r="AN259" s="33"/>
      <c r="AO259" s="33"/>
      <c r="AP259" s="33"/>
      <c r="AQ259" s="33"/>
      <c r="AR259" s="33"/>
      <c r="AS259" s="33"/>
      <c r="AT259" s="33"/>
      <c r="AU259" s="33"/>
      <c r="AV259" s="33"/>
      <c r="AW259" s="33"/>
      <c r="AX259" s="33"/>
      <c r="AY259" s="33"/>
      <c r="AZ259" s="33"/>
      <c r="BA259" s="33"/>
      <c r="BB259" s="33"/>
      <c r="BC259" s="33"/>
      <c r="BD259" s="33"/>
      <c r="BE259" s="33"/>
      <c r="BF259" s="33"/>
      <c r="BG259" s="33"/>
      <c r="BH259" s="33"/>
      <c r="BI259" s="33"/>
      <c r="BJ259" s="44"/>
      <c r="BK259" s="44"/>
      <c r="BL259" s="44"/>
      <c r="BM259" s="44"/>
      <c r="BN259" s="44"/>
      <c r="BO259" s="44"/>
    </row>
    <row r="260" spans="1:67">
      <c r="A260" s="11"/>
      <c r="B260" s="22" t="s">
        <v>1594</v>
      </c>
      <c r="C260" s="22"/>
      <c r="D260" s="22"/>
      <c r="E260" s="65">
        <f>E258/E245</f>
        <v>0.9900000000000001</v>
      </c>
      <c r="F260" s="8"/>
      <c r="G260" s="33"/>
      <c r="H260" s="33"/>
      <c r="I260" s="33"/>
      <c r="J260" s="33"/>
      <c r="K260" s="33"/>
      <c r="L260" s="33"/>
      <c r="M260" s="33"/>
      <c r="N260" s="33"/>
      <c r="O260" s="33"/>
      <c r="P260" s="33"/>
      <c r="Q260" s="33"/>
      <c r="R260" s="33"/>
      <c r="S260" s="33"/>
      <c r="T260" s="33"/>
      <c r="U260" s="33"/>
      <c r="V260" s="33"/>
      <c r="W260" s="33"/>
      <c r="X260" s="33"/>
      <c r="Y260" s="33"/>
      <c r="Z260" s="33"/>
      <c r="AA260" s="33"/>
      <c r="AB260" s="33"/>
      <c r="AC260" s="33"/>
      <c r="AD260" s="33"/>
      <c r="AE260" s="33"/>
      <c r="AF260" s="33"/>
      <c r="AG260" s="33"/>
      <c r="AH260" s="33"/>
      <c r="AI260" s="33"/>
      <c r="AJ260" s="33"/>
      <c r="AK260" s="33"/>
      <c r="AL260" s="33"/>
      <c r="AM260" s="33"/>
      <c r="AN260" s="33"/>
      <c r="AO260" s="33"/>
      <c r="AP260" s="33"/>
      <c r="AQ260" s="33"/>
      <c r="AR260" s="33"/>
      <c r="AS260" s="33"/>
      <c r="AT260" s="33"/>
      <c r="AU260" s="33"/>
      <c r="AV260" s="33"/>
      <c r="AW260" s="33"/>
      <c r="AX260" s="33"/>
      <c r="AY260" s="33"/>
      <c r="AZ260" s="33"/>
      <c r="BA260" s="33"/>
      <c r="BB260" s="33"/>
      <c r="BC260" s="33"/>
      <c r="BD260" s="33"/>
      <c r="BE260" s="33"/>
      <c r="BF260" s="33"/>
      <c r="BG260" s="33"/>
      <c r="BH260" s="33"/>
      <c r="BI260" s="33"/>
      <c r="BJ260" s="44"/>
      <c r="BK260" s="44"/>
      <c r="BL260" s="44"/>
      <c r="BM260" s="44"/>
      <c r="BN260" s="44"/>
      <c r="BO260" s="44"/>
    </row>
    <row r="261" spans="1:67">
      <c r="A261" s="11"/>
      <c r="B261" s="22" t="s">
        <v>1595</v>
      </c>
      <c r="C261" s="22"/>
      <c r="D261" s="22"/>
      <c r="E261" s="89">
        <f>(E257-(E251+E252)/2)*E255</f>
        <v>-25219999.999999985</v>
      </c>
      <c r="F261" s="37" t="s">
        <v>13</v>
      </c>
      <c r="G261" s="33"/>
      <c r="H261" s="33"/>
      <c r="I261" s="33"/>
      <c r="J261" s="33"/>
      <c r="K261" s="33"/>
      <c r="L261" s="33"/>
      <c r="M261" s="33"/>
      <c r="N261" s="33"/>
      <c r="O261" s="33"/>
      <c r="P261" s="33"/>
      <c r="Q261" s="33"/>
      <c r="R261" s="33"/>
      <c r="S261" s="33"/>
      <c r="T261" s="33"/>
      <c r="U261" s="33"/>
      <c r="V261" s="33"/>
      <c r="W261" s="33"/>
      <c r="X261" s="33"/>
      <c r="Y261" s="33"/>
      <c r="Z261" s="33"/>
      <c r="AA261" s="33"/>
      <c r="AB261" s="33"/>
      <c r="AC261" s="33"/>
      <c r="AD261" s="33"/>
      <c r="AE261" s="33"/>
      <c r="AF261" s="33"/>
      <c r="AG261" s="33"/>
      <c r="AH261" s="33"/>
      <c r="AI261" s="33"/>
      <c r="AJ261" s="33"/>
      <c r="AK261" s="33"/>
      <c r="AL261" s="33"/>
      <c r="AM261" s="33"/>
      <c r="AN261" s="33"/>
      <c r="AO261" s="33"/>
      <c r="AP261" s="33"/>
      <c r="AQ261" s="33"/>
      <c r="AR261" s="33"/>
      <c r="AS261" s="33"/>
      <c r="AT261" s="33"/>
      <c r="AU261" s="33"/>
      <c r="AV261" s="33"/>
      <c r="AW261" s="33"/>
      <c r="AX261" s="33"/>
      <c r="AY261" s="33"/>
      <c r="AZ261" s="33"/>
      <c r="BA261" s="33"/>
      <c r="BB261" s="33"/>
      <c r="BC261" s="33"/>
      <c r="BD261" s="33"/>
      <c r="BE261" s="33"/>
      <c r="BF261" s="33"/>
      <c r="BG261" s="33"/>
      <c r="BH261" s="33"/>
      <c r="BI261" s="33"/>
      <c r="BJ261" s="44"/>
      <c r="BK261" s="44"/>
      <c r="BL261" s="44"/>
      <c r="BM261" s="44"/>
      <c r="BN261" s="44"/>
      <c r="BO261" s="44"/>
    </row>
    <row r="262" spans="1:67">
      <c r="A262" s="11"/>
      <c r="B262" s="11"/>
      <c r="C262" s="11"/>
      <c r="D262" s="11"/>
      <c r="E262" s="33"/>
      <c r="F262" s="33"/>
      <c r="G262" s="33"/>
      <c r="H262" s="33"/>
      <c r="I262" s="33"/>
      <c r="J262" s="33"/>
      <c r="K262" s="33"/>
      <c r="L262" s="33"/>
      <c r="M262" s="33"/>
      <c r="N262" s="33"/>
      <c r="O262" s="33"/>
      <c r="P262" s="33"/>
      <c r="Q262" s="33"/>
      <c r="R262" s="33"/>
      <c r="S262" s="33"/>
      <c r="T262" s="33"/>
      <c r="U262" s="33"/>
      <c r="V262" s="33"/>
      <c r="W262" s="33"/>
      <c r="X262" s="33"/>
      <c r="Y262" s="33"/>
      <c r="Z262" s="33"/>
      <c r="AA262" s="33"/>
      <c r="AB262" s="33"/>
      <c r="AC262" s="33"/>
      <c r="AD262" s="33"/>
      <c r="AE262" s="33"/>
      <c r="AF262" s="33"/>
      <c r="AG262" s="33"/>
      <c r="AH262" s="33"/>
      <c r="AI262" s="33"/>
      <c r="AJ262" s="33"/>
      <c r="AK262" s="33"/>
      <c r="AL262" s="33"/>
      <c r="AM262" s="33"/>
      <c r="AN262" s="33"/>
      <c r="AO262" s="33"/>
      <c r="AP262" s="33"/>
      <c r="AQ262" s="33"/>
      <c r="AR262" s="33"/>
      <c r="AS262" s="33"/>
      <c r="AT262" s="33"/>
      <c r="AU262" s="33"/>
      <c r="AV262" s="33"/>
      <c r="AW262" s="33"/>
      <c r="AX262" s="33"/>
      <c r="AY262" s="33"/>
      <c r="AZ262" s="33"/>
      <c r="BA262" s="33"/>
      <c r="BB262" s="33"/>
      <c r="BC262" s="33"/>
      <c r="BD262" s="33"/>
      <c r="BE262" s="33"/>
      <c r="BF262" s="33"/>
      <c r="BG262" s="33"/>
      <c r="BH262" s="33"/>
      <c r="BI262" s="33"/>
      <c r="BJ262" s="44"/>
      <c r="BK262" s="44"/>
      <c r="BL262" s="44"/>
      <c r="BM262" s="44"/>
      <c r="BN262" s="44"/>
      <c r="BO262" s="44"/>
    </row>
    <row r="263" spans="1:67">
      <c r="A263" s="11" t="s">
        <v>1677</v>
      </c>
      <c r="B263" s="38" t="s">
        <v>1596</v>
      </c>
      <c r="C263" s="38"/>
      <c r="D263" s="11"/>
      <c r="E263" s="33"/>
      <c r="F263" s="33"/>
      <c r="G263" s="33"/>
      <c r="H263" s="33"/>
      <c r="I263" s="33"/>
      <c r="J263" s="33"/>
      <c r="K263" s="33"/>
      <c r="L263" s="33"/>
      <c r="M263" s="33"/>
      <c r="N263" s="33"/>
      <c r="O263" s="33"/>
      <c r="P263" s="33"/>
      <c r="Q263" s="33"/>
      <c r="R263" s="33"/>
      <c r="S263" s="33"/>
      <c r="T263" s="33"/>
      <c r="U263" s="33"/>
      <c r="V263" s="33"/>
      <c r="W263" s="33"/>
      <c r="X263" s="33"/>
      <c r="Y263" s="33"/>
      <c r="Z263" s="33"/>
      <c r="AA263" s="33"/>
      <c r="AB263" s="33"/>
      <c r="AC263" s="33"/>
      <c r="AD263" s="33"/>
      <c r="AE263" s="33"/>
      <c r="AF263" s="33"/>
      <c r="AG263" s="33"/>
      <c r="AH263" s="33"/>
      <c r="AI263" s="33"/>
      <c r="AJ263" s="33"/>
      <c r="AK263" s="33"/>
      <c r="AL263" s="33"/>
      <c r="AM263" s="33"/>
      <c r="AN263" s="33"/>
      <c r="AO263" s="33"/>
      <c r="AP263" s="33"/>
      <c r="AQ263" s="33"/>
      <c r="AR263" s="33"/>
      <c r="AS263" s="33"/>
      <c r="AT263" s="33"/>
      <c r="AU263" s="33"/>
      <c r="AV263" s="33"/>
      <c r="AW263" s="33"/>
      <c r="AX263" s="33"/>
      <c r="AY263" s="33"/>
      <c r="AZ263" s="33"/>
      <c r="BA263" s="33"/>
      <c r="BB263" s="33"/>
      <c r="BC263" s="33"/>
      <c r="BD263" s="33"/>
      <c r="BE263" s="33"/>
      <c r="BF263" s="33"/>
      <c r="BG263" s="33"/>
      <c r="BH263" s="33"/>
      <c r="BI263" s="33"/>
      <c r="BJ263" s="44"/>
      <c r="BK263" s="44"/>
      <c r="BL263" s="44"/>
      <c r="BM263" s="44"/>
      <c r="BN263" s="44"/>
      <c r="BO263" s="44"/>
    </row>
    <row r="264" spans="1:67">
      <c r="A264" s="11"/>
      <c r="B264" s="1" t="s">
        <v>1662</v>
      </c>
      <c r="C264" s="1"/>
      <c r="D264" s="11"/>
      <c r="E264" s="33"/>
      <c r="F264" s="33"/>
      <c r="G264" s="33"/>
      <c r="H264" s="33"/>
      <c r="I264" s="33"/>
      <c r="J264" s="33"/>
      <c r="K264" s="33"/>
      <c r="L264" s="33"/>
      <c r="M264" s="33"/>
      <c r="N264" s="33"/>
      <c r="O264" s="33"/>
      <c r="P264" s="33"/>
      <c r="Q264" s="33"/>
      <c r="R264" s="33"/>
      <c r="S264" s="33"/>
      <c r="T264" s="33"/>
      <c r="U264" s="33"/>
      <c r="V264" s="33"/>
      <c r="W264" s="33"/>
      <c r="X264" s="33"/>
      <c r="Y264" s="33"/>
      <c r="Z264" s="33"/>
      <c r="AA264" s="33"/>
      <c r="AB264" s="33"/>
      <c r="AC264" s="33"/>
      <c r="AD264" s="33"/>
      <c r="AE264" s="33"/>
      <c r="AF264" s="33"/>
      <c r="AG264" s="33"/>
      <c r="AH264" s="33"/>
      <c r="AI264" s="33"/>
      <c r="AJ264" s="33"/>
      <c r="AK264" s="33"/>
      <c r="AL264" s="33"/>
      <c r="AM264" s="33"/>
      <c r="AN264" s="33"/>
      <c r="AO264" s="33"/>
      <c r="AP264" s="33"/>
      <c r="AQ264" s="33"/>
      <c r="AR264" s="33"/>
      <c r="AS264" s="33"/>
      <c r="AT264" s="33"/>
      <c r="AU264" s="33"/>
      <c r="AV264" s="33"/>
      <c r="AW264" s="33"/>
      <c r="AX264" s="33"/>
      <c r="AY264" s="33"/>
      <c r="AZ264" s="33"/>
      <c r="BA264" s="33"/>
      <c r="BB264" s="33"/>
      <c r="BC264" s="33"/>
      <c r="BD264" s="33"/>
      <c r="BE264" s="33"/>
      <c r="BF264" s="33"/>
      <c r="BG264" s="33"/>
      <c r="BH264" s="33"/>
      <c r="BI264" s="33"/>
      <c r="BJ264" s="44"/>
      <c r="BK264" s="44"/>
      <c r="BL264" s="44"/>
      <c r="BM264" s="44"/>
      <c r="BN264" s="44"/>
      <c r="BO264" s="44"/>
    </row>
    <row r="265" spans="1:67">
      <c r="A265" s="11"/>
      <c r="B265" s="1" t="s">
        <v>1663</v>
      </c>
      <c r="C265" s="1"/>
      <c r="D265" s="11"/>
      <c r="E265" s="33"/>
      <c r="F265" s="33"/>
      <c r="G265" s="33"/>
      <c r="H265" s="33"/>
      <c r="I265" s="33"/>
      <c r="J265" s="33"/>
      <c r="K265" s="33"/>
      <c r="L265" s="33"/>
      <c r="M265" s="33"/>
      <c r="N265" s="33"/>
      <c r="O265" s="33"/>
      <c r="P265" s="33"/>
      <c r="Q265" s="33"/>
      <c r="R265" s="33"/>
      <c r="S265" s="33"/>
      <c r="T265" s="33"/>
      <c r="U265" s="33"/>
      <c r="V265" s="33"/>
      <c r="W265" s="33"/>
      <c r="X265" s="33"/>
      <c r="Y265" s="33"/>
      <c r="Z265" s="33"/>
      <c r="AA265" s="33"/>
      <c r="AB265" s="33"/>
      <c r="AC265" s="33"/>
      <c r="AD265" s="33"/>
      <c r="AE265" s="33"/>
      <c r="AF265" s="33"/>
      <c r="AG265" s="33"/>
      <c r="AH265" s="33"/>
      <c r="AI265" s="33"/>
      <c r="AJ265" s="33"/>
      <c r="AK265" s="33"/>
      <c r="AL265" s="33"/>
      <c r="AM265" s="33"/>
      <c r="AN265" s="33"/>
      <c r="AO265" s="33"/>
      <c r="AP265" s="33"/>
      <c r="AQ265" s="33"/>
      <c r="AR265" s="33"/>
      <c r="AS265" s="33"/>
      <c r="AT265" s="33"/>
      <c r="AU265" s="33"/>
      <c r="AV265" s="33"/>
      <c r="AW265" s="33"/>
      <c r="AX265" s="33"/>
      <c r="AY265" s="33"/>
      <c r="AZ265" s="33"/>
      <c r="BA265" s="33"/>
      <c r="BB265" s="33"/>
      <c r="BC265" s="33"/>
      <c r="BD265" s="33"/>
      <c r="BE265" s="33"/>
      <c r="BF265" s="33"/>
      <c r="BG265" s="33"/>
      <c r="BH265" s="33"/>
      <c r="BI265" s="33"/>
      <c r="BJ265" s="44"/>
      <c r="BK265" s="44"/>
      <c r="BL265" s="44"/>
      <c r="BM265" s="44"/>
      <c r="BN265" s="44"/>
      <c r="BO265" s="44"/>
    </row>
    <row r="266" spans="1:67">
      <c r="A266" s="11"/>
      <c r="B266" s="11"/>
      <c r="C266" s="11"/>
      <c r="D266" s="11"/>
      <c r="E266" s="33"/>
      <c r="F266" s="33"/>
      <c r="G266" s="33"/>
      <c r="H266" s="33"/>
      <c r="I266" s="33"/>
      <c r="J266" s="33"/>
      <c r="K266" s="33"/>
      <c r="L266" s="33"/>
      <c r="M266" s="33"/>
      <c r="N266" s="33"/>
      <c r="O266" s="33"/>
      <c r="P266" s="33"/>
      <c r="Q266" s="33"/>
      <c r="R266" s="33"/>
      <c r="S266" s="33"/>
      <c r="T266" s="33"/>
      <c r="U266" s="33"/>
      <c r="V266" s="33"/>
      <c r="W266" s="33"/>
      <c r="X266" s="33"/>
      <c r="Y266" s="33"/>
      <c r="Z266" s="33"/>
      <c r="AA266" s="33"/>
      <c r="AB266" s="33"/>
      <c r="AC266" s="33"/>
      <c r="AD266" s="33"/>
      <c r="AE266" s="33"/>
      <c r="AF266" s="33"/>
      <c r="AG266" s="33"/>
      <c r="AH266" s="33"/>
      <c r="AI266" s="33"/>
      <c r="AJ266" s="33"/>
      <c r="AK266" s="33"/>
      <c r="AL266" s="33"/>
      <c r="AM266" s="33"/>
      <c r="AN266" s="33"/>
      <c r="AO266" s="33"/>
      <c r="AP266" s="33"/>
      <c r="AQ266" s="33"/>
      <c r="AR266" s="33"/>
      <c r="AS266" s="33"/>
      <c r="AT266" s="33"/>
      <c r="AU266" s="33"/>
      <c r="AV266" s="33"/>
      <c r="AW266" s="33"/>
      <c r="AX266" s="33"/>
      <c r="AY266" s="33"/>
      <c r="AZ266" s="33"/>
      <c r="BA266" s="33"/>
      <c r="BB266" s="33"/>
      <c r="BC266" s="33"/>
      <c r="BD266" s="33"/>
      <c r="BE266" s="33"/>
      <c r="BF266" s="33"/>
      <c r="BG266" s="33"/>
      <c r="BH266" s="33"/>
      <c r="BI266" s="33"/>
      <c r="BJ266" s="44"/>
      <c r="BK266" s="44"/>
      <c r="BL266" s="44"/>
      <c r="BM266" s="44"/>
      <c r="BN266" s="44"/>
      <c r="BO266" s="44"/>
    </row>
    <row r="267" spans="1:67">
      <c r="A267" s="18" t="s">
        <v>1762</v>
      </c>
      <c r="B267" s="18"/>
      <c r="C267" s="18"/>
      <c r="D267" s="18"/>
      <c r="E267" s="39"/>
      <c r="F267" s="39"/>
      <c r="G267" s="39"/>
      <c r="H267" s="39"/>
      <c r="I267" s="39"/>
      <c r="J267" s="39"/>
      <c r="K267" s="39"/>
      <c r="L267" s="39"/>
      <c r="M267" s="39"/>
      <c r="N267" s="39"/>
      <c r="O267" s="39"/>
      <c r="P267" s="39"/>
      <c r="Q267" s="39"/>
      <c r="R267" s="39"/>
      <c r="S267" s="39"/>
      <c r="T267" s="39"/>
      <c r="U267" s="39"/>
      <c r="V267" s="39"/>
      <c r="W267" s="39"/>
      <c r="X267" s="39"/>
      <c r="Y267" s="39"/>
      <c r="Z267" s="39"/>
      <c r="AA267" s="39"/>
      <c r="AB267" s="39"/>
      <c r="AC267" s="39"/>
      <c r="AD267" s="39"/>
      <c r="AE267" s="39"/>
      <c r="AF267" s="39"/>
      <c r="AG267" s="39"/>
      <c r="AH267" s="39"/>
      <c r="AI267" s="39"/>
      <c r="AJ267" s="39"/>
      <c r="AK267" s="39"/>
      <c r="AL267" s="39"/>
      <c r="AM267" s="39"/>
      <c r="AN267" s="39"/>
      <c r="AO267" s="39"/>
      <c r="AP267" s="39"/>
      <c r="AQ267" s="39"/>
      <c r="AR267" s="39"/>
      <c r="AS267" s="39"/>
      <c r="AT267" s="39"/>
      <c r="AU267" s="39"/>
      <c r="AV267" s="39"/>
      <c r="AW267" s="39"/>
      <c r="AX267" s="39"/>
      <c r="AY267" s="39"/>
      <c r="AZ267" s="39"/>
      <c r="BA267" s="39"/>
      <c r="BB267" s="39"/>
      <c r="BC267" s="39"/>
      <c r="BD267" s="39"/>
      <c r="BE267" s="39"/>
      <c r="BF267" s="39"/>
      <c r="BG267" s="39"/>
      <c r="BH267" s="39"/>
      <c r="BI267" s="39"/>
      <c r="BJ267" s="45"/>
      <c r="BK267" s="45"/>
      <c r="BL267" s="45"/>
      <c r="BM267" s="45"/>
      <c r="BN267" s="45"/>
      <c r="BO267" s="45"/>
    </row>
    <row r="268" spans="1:67">
      <c r="A268" s="11"/>
      <c r="B268" s="22" t="s">
        <v>1597</v>
      </c>
      <c r="C268" s="22"/>
      <c r="D268" s="22" t="s">
        <v>1598</v>
      </c>
      <c r="E268" s="22" t="s">
        <v>900</v>
      </c>
      <c r="F268" s="22" t="s">
        <v>1599</v>
      </c>
      <c r="G268" s="22" t="s">
        <v>1600</v>
      </c>
      <c r="H268" s="33"/>
      <c r="I268" s="33"/>
      <c r="J268" s="33"/>
      <c r="K268" s="33"/>
      <c r="L268" s="33"/>
      <c r="M268" s="33"/>
      <c r="N268" s="33"/>
      <c r="O268" s="33"/>
      <c r="P268" s="33"/>
      <c r="Q268" s="33"/>
      <c r="R268" s="33"/>
      <c r="S268" s="33"/>
      <c r="T268" s="33"/>
      <c r="U268" s="33"/>
      <c r="V268" s="33"/>
      <c r="W268" s="33"/>
      <c r="X268" s="33"/>
      <c r="Y268" s="33"/>
      <c r="Z268" s="33"/>
      <c r="AA268" s="33"/>
      <c r="AB268" s="33"/>
      <c r="AC268" s="33"/>
      <c r="AD268" s="33"/>
      <c r="AE268" s="33"/>
      <c r="AF268" s="33"/>
      <c r="AG268" s="33"/>
      <c r="AH268" s="33"/>
      <c r="AI268" s="33"/>
      <c r="AJ268" s="33"/>
      <c r="AK268" s="33"/>
      <c r="AL268" s="33"/>
      <c r="AM268" s="33"/>
      <c r="AN268" s="33"/>
      <c r="AO268" s="33"/>
      <c r="AP268" s="33"/>
      <c r="AQ268" s="33"/>
      <c r="AR268" s="33"/>
      <c r="AS268" s="33"/>
      <c r="AT268" s="33"/>
      <c r="AU268" s="33"/>
      <c r="AV268" s="33"/>
      <c r="AW268" s="33"/>
      <c r="AX268" s="33"/>
      <c r="AY268" s="33"/>
      <c r="AZ268" s="33"/>
      <c r="BA268" s="33"/>
      <c r="BB268" s="33"/>
      <c r="BC268" s="33"/>
      <c r="BD268" s="33"/>
      <c r="BE268" s="33"/>
      <c r="BF268" s="33"/>
      <c r="BG268" s="33"/>
      <c r="BH268" s="33"/>
      <c r="BI268" s="33"/>
      <c r="BJ268" s="44"/>
      <c r="BK268" s="44"/>
      <c r="BL268" s="44"/>
      <c r="BM268" s="44"/>
      <c r="BN268" s="44"/>
      <c r="BO268" s="44"/>
    </row>
    <row r="269" spans="1:67">
      <c r="A269" s="11"/>
      <c r="B269" s="11" t="s">
        <v>1601</v>
      </c>
      <c r="C269" s="11"/>
      <c r="D269" s="1" t="s">
        <v>1602</v>
      </c>
      <c r="E269" s="90">
        <f>'12 Site, Civil &amp; Utilities'!D20+'12 Site, Civil &amp; Utilities'!D21+'12 Site, Civil &amp; Utilities'!D24+'12 Site, Civil &amp; Utilities'!D31</f>
        <v>7322.9859999999999</v>
      </c>
      <c r="F269" s="92">
        <v>18000</v>
      </c>
      <c r="G269" s="90">
        <f t="shared" ref="G269:G274" si="202">E269*F269</f>
        <v>131813748</v>
      </c>
      <c r="H269" s="33"/>
      <c r="I269" s="33"/>
      <c r="J269" s="33"/>
      <c r="K269" s="33"/>
      <c r="L269" s="33"/>
      <c r="M269" s="33"/>
      <c r="N269" s="33"/>
      <c r="O269" s="33"/>
      <c r="P269" s="33"/>
      <c r="Q269" s="33"/>
      <c r="R269" s="33"/>
      <c r="S269" s="33"/>
      <c r="T269" s="33"/>
      <c r="U269" s="33"/>
      <c r="V269" s="33"/>
      <c r="W269" s="33"/>
      <c r="X269" s="33"/>
      <c r="Y269" s="33"/>
      <c r="Z269" s="33"/>
      <c r="AA269" s="33"/>
      <c r="AB269" s="33"/>
      <c r="AC269" s="33"/>
      <c r="AD269" s="33"/>
      <c r="AE269" s="33"/>
      <c r="AF269" s="33"/>
      <c r="AG269" s="33"/>
      <c r="AH269" s="33"/>
      <c r="AI269" s="33"/>
      <c r="AJ269" s="33"/>
      <c r="AK269" s="33"/>
      <c r="AL269" s="33"/>
      <c r="AM269" s="33"/>
      <c r="AN269" s="33"/>
      <c r="AO269" s="33"/>
      <c r="AP269" s="33"/>
      <c r="AQ269" s="33"/>
      <c r="AR269" s="33"/>
      <c r="AS269" s="33"/>
      <c r="AT269" s="33"/>
      <c r="AU269" s="33"/>
      <c r="AV269" s="33"/>
      <c r="AW269" s="33"/>
      <c r="AX269" s="33"/>
      <c r="AY269" s="33"/>
      <c r="AZ269" s="33"/>
      <c r="BA269" s="33"/>
      <c r="BB269" s="33"/>
      <c r="BC269" s="33"/>
      <c r="BD269" s="33"/>
      <c r="BE269" s="33"/>
      <c r="BF269" s="33"/>
      <c r="BG269" s="33"/>
      <c r="BH269" s="33"/>
      <c r="BI269" s="33"/>
      <c r="BJ269" s="44"/>
      <c r="BK269" s="44"/>
      <c r="BL269" s="44"/>
      <c r="BM269" s="44"/>
      <c r="BN269" s="44"/>
      <c r="BO269" s="44"/>
    </row>
    <row r="270" spans="1:67">
      <c r="A270" s="11"/>
      <c r="B270" s="11" t="s">
        <v>1603</v>
      </c>
      <c r="C270" s="11"/>
      <c r="D270" s="1" t="s">
        <v>1604</v>
      </c>
      <c r="E270" s="90">
        <f>'12 Site, Civil &amp; Utilities'!D25+'12 Site, Civil &amp; Utilities'!D32+'12 Site, Civil &amp; Utilities'!D33+'12 Site, Civil &amp; Utilities'!D34</f>
        <v>5400</v>
      </c>
      <c r="F270" s="92">
        <v>14000</v>
      </c>
      <c r="G270" s="90">
        <f t="shared" si="202"/>
        <v>75600000</v>
      </c>
      <c r="H270" s="33"/>
      <c r="I270" s="33"/>
      <c r="J270" s="33"/>
      <c r="K270" s="33"/>
      <c r="L270" s="33"/>
      <c r="M270" s="33"/>
      <c r="N270" s="33"/>
      <c r="O270" s="33"/>
      <c r="P270" s="33"/>
      <c r="Q270" s="33"/>
      <c r="R270" s="33"/>
      <c r="S270" s="33"/>
      <c r="T270" s="33"/>
      <c r="U270" s="33"/>
      <c r="V270" s="33"/>
      <c r="W270" s="33"/>
      <c r="X270" s="33"/>
      <c r="Y270" s="33"/>
      <c r="Z270" s="33"/>
      <c r="AA270" s="33"/>
      <c r="AB270" s="33"/>
      <c r="AC270" s="33"/>
      <c r="AD270" s="33"/>
      <c r="AE270" s="33"/>
      <c r="AF270" s="33"/>
      <c r="AG270" s="33"/>
      <c r="AH270" s="33"/>
      <c r="AI270" s="33"/>
      <c r="AJ270" s="33"/>
      <c r="AK270" s="33"/>
      <c r="AL270" s="33"/>
      <c r="AM270" s="33"/>
      <c r="AN270" s="33"/>
      <c r="AO270" s="33"/>
      <c r="AP270" s="33"/>
      <c r="AQ270" s="33"/>
      <c r="AR270" s="33"/>
      <c r="AS270" s="33"/>
      <c r="AT270" s="33"/>
      <c r="AU270" s="33"/>
      <c r="AV270" s="33"/>
      <c r="AW270" s="33"/>
      <c r="AX270" s="33"/>
      <c r="AY270" s="33"/>
      <c r="AZ270" s="33"/>
      <c r="BA270" s="33"/>
      <c r="BB270" s="33"/>
      <c r="BC270" s="33"/>
      <c r="BD270" s="33"/>
      <c r="BE270" s="33"/>
      <c r="BF270" s="33"/>
      <c r="BG270" s="33"/>
      <c r="BH270" s="33"/>
      <c r="BI270" s="33"/>
      <c r="BJ270" s="44"/>
      <c r="BK270" s="44"/>
      <c r="BL270" s="44"/>
      <c r="BM270" s="44"/>
      <c r="BN270" s="44"/>
      <c r="BO270" s="44"/>
    </row>
    <row r="271" spans="1:67">
      <c r="A271" s="11"/>
      <c r="B271" s="11" t="s">
        <v>1605</v>
      </c>
      <c r="C271" s="11"/>
      <c r="D271" s="1" t="s">
        <v>1606</v>
      </c>
      <c r="E271" s="90">
        <f>'12 Site, Civil &amp; Utilities'!D18+'12 Site, Civil &amp; Utilities'!D19+'12 Site, Civil &amp; Utilities'!D22+'12 Site, Civil &amp; Utilities'!D23+'12 Site, Civil &amp; Utilities'!D26+'12 Site, Civil &amp; Utilities'!D27+'12 Site, Civil &amp; Utilities'!D28+'12 Site, Civil &amp; Utilities'!D29+'12 Site, Civil &amp; Utilities'!D30+'12 Site, Civil &amp; Utilities'!D35</f>
        <v>11422.857142857143</v>
      </c>
      <c r="F271" s="92">
        <v>3500</v>
      </c>
      <c r="G271" s="90">
        <f t="shared" si="202"/>
        <v>39980000</v>
      </c>
      <c r="H271" s="33"/>
      <c r="I271" s="33"/>
      <c r="J271" s="33"/>
      <c r="K271" s="33"/>
      <c r="L271" s="33"/>
      <c r="M271" s="33"/>
      <c r="N271" s="33"/>
      <c r="O271" s="33"/>
      <c r="P271" s="33"/>
      <c r="Q271" s="33"/>
      <c r="R271" s="33"/>
      <c r="S271" s="33"/>
      <c r="T271" s="33"/>
      <c r="U271" s="33"/>
      <c r="V271" s="33"/>
      <c r="W271" s="33"/>
      <c r="X271" s="33"/>
      <c r="Y271" s="33"/>
      <c r="Z271" s="33"/>
      <c r="AA271" s="33"/>
      <c r="AB271" s="33"/>
      <c r="AC271" s="33"/>
      <c r="AD271" s="33"/>
      <c r="AE271" s="33"/>
      <c r="AF271" s="33"/>
      <c r="AG271" s="33"/>
      <c r="AH271" s="33"/>
      <c r="AI271" s="33"/>
      <c r="AJ271" s="33"/>
      <c r="AK271" s="33"/>
      <c r="AL271" s="33"/>
      <c r="AM271" s="33"/>
      <c r="AN271" s="33"/>
      <c r="AO271" s="33"/>
      <c r="AP271" s="33"/>
      <c r="AQ271" s="33"/>
      <c r="AR271" s="33"/>
      <c r="AS271" s="33"/>
      <c r="AT271" s="33"/>
      <c r="AU271" s="33"/>
      <c r="AV271" s="33"/>
      <c r="AW271" s="33"/>
      <c r="AX271" s="33"/>
      <c r="AY271" s="33"/>
      <c r="AZ271" s="33"/>
      <c r="BA271" s="33"/>
      <c r="BB271" s="33"/>
      <c r="BC271" s="33"/>
      <c r="BD271" s="33"/>
      <c r="BE271" s="33"/>
      <c r="BF271" s="33"/>
      <c r="BG271" s="33"/>
      <c r="BH271" s="33"/>
      <c r="BI271" s="33"/>
      <c r="BJ271" s="44"/>
      <c r="BK271" s="44"/>
      <c r="BL271" s="44"/>
      <c r="BM271" s="44"/>
      <c r="BN271" s="44"/>
      <c r="BO271" s="44"/>
    </row>
    <row r="272" spans="1:67">
      <c r="A272" s="11"/>
      <c r="B272" s="11" t="s">
        <v>1607</v>
      </c>
      <c r="C272" s="11"/>
      <c r="D272" s="1" t="s">
        <v>1608</v>
      </c>
      <c r="E272" s="90">
        <f>'12 Site, Civil &amp; Utilities'!D36</f>
        <v>6000</v>
      </c>
      <c r="F272" s="92">
        <v>2500</v>
      </c>
      <c r="G272" s="90">
        <f t="shared" si="202"/>
        <v>15000000</v>
      </c>
      <c r="H272" s="33"/>
      <c r="I272" s="33"/>
      <c r="J272" s="33"/>
      <c r="K272" s="33"/>
      <c r="L272" s="33"/>
      <c r="M272" s="33"/>
      <c r="N272" s="33"/>
      <c r="O272" s="33"/>
      <c r="P272" s="33"/>
      <c r="Q272" s="33"/>
      <c r="R272" s="33"/>
      <c r="S272" s="33"/>
      <c r="T272" s="33"/>
      <c r="U272" s="33"/>
      <c r="V272" s="33"/>
      <c r="W272" s="33"/>
      <c r="X272" s="33"/>
      <c r="Y272" s="33"/>
      <c r="Z272" s="33"/>
      <c r="AA272" s="33"/>
      <c r="AB272" s="33"/>
      <c r="AC272" s="33"/>
      <c r="AD272" s="33"/>
      <c r="AE272" s="33"/>
      <c r="AF272" s="33"/>
      <c r="AG272" s="33"/>
      <c r="AH272" s="33"/>
      <c r="AI272" s="33"/>
      <c r="AJ272" s="33"/>
      <c r="AK272" s="33"/>
      <c r="AL272" s="33"/>
      <c r="AM272" s="33"/>
      <c r="AN272" s="33"/>
      <c r="AO272" s="33"/>
      <c r="AP272" s="33"/>
      <c r="AQ272" s="33"/>
      <c r="AR272" s="33"/>
      <c r="AS272" s="33"/>
      <c r="AT272" s="33"/>
      <c r="AU272" s="33"/>
      <c r="AV272" s="33"/>
      <c r="AW272" s="33"/>
      <c r="AX272" s="33"/>
      <c r="AY272" s="33"/>
      <c r="AZ272" s="33"/>
      <c r="BA272" s="33"/>
      <c r="BB272" s="33"/>
      <c r="BC272" s="33"/>
      <c r="BD272" s="33"/>
      <c r="BE272" s="33"/>
      <c r="BF272" s="33"/>
      <c r="BG272" s="33"/>
      <c r="BH272" s="33"/>
      <c r="BI272" s="33"/>
      <c r="BJ272" s="44"/>
      <c r="BK272" s="44"/>
      <c r="BL272" s="44"/>
      <c r="BM272" s="44"/>
      <c r="BN272" s="44"/>
      <c r="BO272" s="44"/>
    </row>
    <row r="273" spans="1:67">
      <c r="A273" s="11"/>
      <c r="B273" s="11" t="s">
        <v>937</v>
      </c>
      <c r="C273" s="11"/>
      <c r="D273" s="1" t="s">
        <v>1609</v>
      </c>
      <c r="E273" s="90">
        <f>'12 Site, Civil &amp; Utilities'!D37</f>
        <v>2384</v>
      </c>
      <c r="F273" s="92">
        <v>300</v>
      </c>
      <c r="G273" s="90">
        <f t="shared" si="202"/>
        <v>715200</v>
      </c>
      <c r="H273" s="33"/>
      <c r="I273" s="33"/>
      <c r="J273" s="33"/>
      <c r="K273" s="33"/>
      <c r="L273" s="33"/>
      <c r="M273" s="33"/>
      <c r="N273" s="33"/>
      <c r="O273" s="33"/>
      <c r="P273" s="33"/>
      <c r="Q273" s="33"/>
      <c r="R273" s="33"/>
      <c r="S273" s="33"/>
      <c r="T273" s="33"/>
      <c r="U273" s="33"/>
      <c r="V273" s="33"/>
      <c r="W273" s="33"/>
      <c r="X273" s="33"/>
      <c r="Y273" s="33"/>
      <c r="Z273" s="33"/>
      <c r="AA273" s="33"/>
      <c r="AB273" s="33"/>
      <c r="AC273" s="33"/>
      <c r="AD273" s="33"/>
      <c r="AE273" s="33"/>
      <c r="AF273" s="33"/>
      <c r="AG273" s="33"/>
      <c r="AH273" s="33"/>
      <c r="AI273" s="33"/>
      <c r="AJ273" s="33"/>
      <c r="AK273" s="33"/>
      <c r="AL273" s="33"/>
      <c r="AM273" s="33"/>
      <c r="AN273" s="33"/>
      <c r="AO273" s="33"/>
      <c r="AP273" s="33"/>
      <c r="AQ273" s="33"/>
      <c r="AR273" s="33"/>
      <c r="AS273" s="33"/>
      <c r="AT273" s="33"/>
      <c r="AU273" s="33"/>
      <c r="AV273" s="33"/>
      <c r="AW273" s="33"/>
      <c r="AX273" s="33"/>
      <c r="AY273" s="33"/>
      <c r="AZ273" s="33"/>
      <c r="BA273" s="33"/>
      <c r="BB273" s="33"/>
      <c r="BC273" s="33"/>
      <c r="BD273" s="33"/>
      <c r="BE273" s="33"/>
      <c r="BF273" s="33"/>
      <c r="BG273" s="33"/>
      <c r="BH273" s="33"/>
      <c r="BI273" s="33"/>
      <c r="BJ273" s="44"/>
      <c r="BK273" s="44"/>
      <c r="BL273" s="44"/>
      <c r="BM273" s="44"/>
      <c r="BN273" s="44"/>
      <c r="BO273" s="44"/>
    </row>
    <row r="274" spans="1:67">
      <c r="A274" s="11"/>
      <c r="B274" s="11" t="s">
        <v>1610</v>
      </c>
      <c r="C274" s="11"/>
      <c r="D274" s="1" t="s">
        <v>1804</v>
      </c>
      <c r="E274" s="90">
        <f>'01 Major Assumptions'!$D$29</f>
        <v>8</v>
      </c>
      <c r="F274" s="92">
        <v>1200000</v>
      </c>
      <c r="G274" s="90">
        <f t="shared" si="202"/>
        <v>9600000</v>
      </c>
      <c r="H274" s="33"/>
      <c r="I274" s="33"/>
      <c r="J274" s="33"/>
      <c r="K274" s="33"/>
      <c r="L274" s="33"/>
      <c r="M274" s="33"/>
      <c r="N274" s="33"/>
      <c r="O274" s="33"/>
      <c r="P274" s="33"/>
      <c r="Q274" s="33"/>
      <c r="R274" s="33"/>
      <c r="S274" s="33"/>
      <c r="T274" s="33"/>
      <c r="U274" s="33"/>
      <c r="V274" s="33"/>
      <c r="W274" s="33"/>
      <c r="X274" s="33"/>
      <c r="Y274" s="33"/>
      <c r="Z274" s="33"/>
      <c r="AA274" s="33"/>
      <c r="AB274" s="33"/>
      <c r="AC274" s="33"/>
      <c r="AD274" s="33"/>
      <c r="AE274" s="33"/>
      <c r="AF274" s="33"/>
      <c r="AG274" s="33"/>
      <c r="AH274" s="33"/>
      <c r="AI274" s="33"/>
      <c r="AJ274" s="33"/>
      <c r="AK274" s="33"/>
      <c r="AL274" s="33"/>
      <c r="AM274" s="33"/>
      <c r="AN274" s="33"/>
      <c r="AO274" s="33"/>
      <c r="AP274" s="33"/>
      <c r="AQ274" s="33"/>
      <c r="AR274" s="33"/>
      <c r="AS274" s="33"/>
      <c r="AT274" s="33"/>
      <c r="AU274" s="33"/>
      <c r="AV274" s="33"/>
      <c r="AW274" s="33"/>
      <c r="AX274" s="33"/>
      <c r="AY274" s="33"/>
      <c r="AZ274" s="33"/>
      <c r="BA274" s="33"/>
      <c r="BB274" s="33"/>
      <c r="BC274" s="33"/>
      <c r="BD274" s="33"/>
      <c r="BE274" s="33"/>
      <c r="BF274" s="33"/>
      <c r="BG274" s="33"/>
      <c r="BH274" s="33"/>
      <c r="BI274" s="33"/>
      <c r="BJ274" s="44"/>
      <c r="BK274" s="44"/>
      <c r="BL274" s="44"/>
      <c r="BM274" s="44"/>
      <c r="BN274" s="44"/>
      <c r="BO274" s="44"/>
    </row>
    <row r="275" spans="1:67">
      <c r="A275" s="11"/>
      <c r="B275" s="22" t="s">
        <v>1611</v>
      </c>
      <c r="C275" s="22"/>
      <c r="D275" s="22"/>
      <c r="E275" s="5"/>
      <c r="F275" s="5"/>
      <c r="G275" s="89">
        <f>SUM(G269:G274)</f>
        <v>272708948</v>
      </c>
      <c r="H275" s="33"/>
      <c r="I275" s="33"/>
      <c r="J275" s="33"/>
      <c r="K275" s="33"/>
      <c r="L275" s="33"/>
      <c r="M275" s="33"/>
      <c r="N275" s="33"/>
      <c r="O275" s="33"/>
      <c r="P275" s="33"/>
      <c r="Q275" s="33"/>
      <c r="R275" s="33"/>
      <c r="S275" s="33"/>
      <c r="T275" s="33"/>
      <c r="U275" s="33"/>
      <c r="V275" s="33"/>
      <c r="W275" s="33"/>
      <c r="X275" s="33"/>
      <c r="Y275" s="33"/>
      <c r="Z275" s="33"/>
      <c r="AA275" s="33"/>
      <c r="AB275" s="33"/>
      <c r="AC275" s="33"/>
      <c r="AD275" s="33"/>
      <c r="AE275" s="33"/>
      <c r="AF275" s="33"/>
      <c r="AG275" s="33"/>
      <c r="AH275" s="33"/>
      <c r="AI275" s="33"/>
      <c r="AJ275" s="33"/>
      <c r="AK275" s="33"/>
      <c r="AL275" s="33"/>
      <c r="AM275" s="33"/>
      <c r="AN275" s="33"/>
      <c r="AO275" s="33"/>
      <c r="AP275" s="33"/>
      <c r="AQ275" s="33"/>
      <c r="AR275" s="33"/>
      <c r="AS275" s="33"/>
      <c r="AT275" s="33"/>
      <c r="AU275" s="33"/>
      <c r="AV275" s="33"/>
      <c r="AW275" s="33"/>
      <c r="AX275" s="33"/>
      <c r="AY275" s="33"/>
      <c r="AZ275" s="33"/>
      <c r="BA275" s="33"/>
      <c r="BB275" s="33"/>
      <c r="BC275" s="33"/>
      <c r="BD275" s="33"/>
      <c r="BE275" s="33"/>
      <c r="BF275" s="33"/>
      <c r="BG275" s="33"/>
      <c r="BH275" s="33"/>
      <c r="BI275" s="33"/>
      <c r="BJ275" s="44"/>
      <c r="BK275" s="44"/>
      <c r="BL275" s="44"/>
      <c r="BM275" s="44"/>
      <c r="BN275" s="44"/>
      <c r="BO275" s="44"/>
    </row>
    <row r="276" spans="1:67">
      <c r="A276" s="11"/>
      <c r="B276" s="22" t="s">
        <v>1612</v>
      </c>
      <c r="C276" s="22"/>
      <c r="D276" s="22"/>
      <c r="E276" s="5"/>
      <c r="F276" s="5"/>
      <c r="G276" s="89">
        <f>SUMPRODUCT($D$31:$D$44,$E$31:$E$44)*'01 Major Assumptions'!$D$189*'01 Major Assumptions'!$D$221</f>
        <v>123259398.34509927</v>
      </c>
      <c r="H276" s="33"/>
      <c r="I276" s="33"/>
      <c r="J276" s="33"/>
      <c r="K276" s="33"/>
      <c r="L276" s="33"/>
      <c r="M276" s="33"/>
      <c r="N276" s="33"/>
      <c r="O276" s="33"/>
      <c r="P276" s="33"/>
      <c r="Q276" s="33"/>
      <c r="R276" s="33"/>
      <c r="S276" s="33"/>
      <c r="T276" s="33"/>
      <c r="U276" s="33"/>
      <c r="V276" s="33"/>
      <c r="W276" s="33"/>
      <c r="X276" s="33"/>
      <c r="Y276" s="33"/>
      <c r="Z276" s="33"/>
      <c r="AA276" s="33"/>
      <c r="AB276" s="33"/>
      <c r="AC276" s="33"/>
      <c r="AD276" s="33"/>
      <c r="AE276" s="33"/>
      <c r="AF276" s="33"/>
      <c r="AG276" s="33"/>
      <c r="AH276" s="33"/>
      <c r="AI276" s="33"/>
      <c r="AJ276" s="33"/>
      <c r="AK276" s="33"/>
      <c r="AL276" s="33"/>
      <c r="AM276" s="33"/>
      <c r="AN276" s="33"/>
      <c r="AO276" s="33"/>
      <c r="AP276" s="33"/>
      <c r="AQ276" s="33"/>
      <c r="AR276" s="33"/>
      <c r="AS276" s="33"/>
      <c r="AT276" s="33"/>
      <c r="AU276" s="33"/>
      <c r="AV276" s="33"/>
      <c r="AW276" s="33"/>
      <c r="AX276" s="33"/>
      <c r="AY276" s="33"/>
      <c r="AZ276" s="33"/>
      <c r="BA276" s="33"/>
      <c r="BB276" s="33"/>
      <c r="BC276" s="33"/>
      <c r="BD276" s="33"/>
      <c r="BE276" s="33"/>
      <c r="BF276" s="33"/>
      <c r="BG276" s="33"/>
      <c r="BH276" s="33"/>
      <c r="BI276" s="33"/>
      <c r="BJ276" s="44"/>
      <c r="BK276" s="44"/>
      <c r="BL276" s="44"/>
      <c r="BM276" s="44"/>
      <c r="BN276" s="44"/>
      <c r="BO276" s="44"/>
    </row>
    <row r="277" spans="1:67">
      <c r="A277" s="11"/>
      <c r="B277" s="22" t="s">
        <v>1613</v>
      </c>
      <c r="C277" s="22"/>
      <c r="D277" s="22"/>
      <c r="E277" s="5"/>
      <c r="F277" s="5"/>
      <c r="G277" s="62">
        <f>G275/G276</f>
        <v>2.2124799541571245</v>
      </c>
      <c r="H277" s="33"/>
      <c r="I277" s="33"/>
      <c r="J277" s="33"/>
      <c r="K277" s="33"/>
      <c r="L277" s="33"/>
      <c r="M277" s="33"/>
      <c r="N277" s="33"/>
      <c r="O277" s="33"/>
      <c r="P277" s="33"/>
      <c r="Q277" s="33"/>
      <c r="R277" s="33"/>
      <c r="S277" s="33"/>
      <c r="T277" s="33"/>
      <c r="U277" s="33"/>
      <c r="V277" s="33"/>
      <c r="W277" s="33"/>
      <c r="X277" s="33"/>
      <c r="Y277" s="33"/>
      <c r="Z277" s="33"/>
      <c r="AA277" s="33"/>
      <c r="AB277" s="33"/>
      <c r="AC277" s="33"/>
      <c r="AD277" s="33"/>
      <c r="AE277" s="33"/>
      <c r="AF277" s="33"/>
      <c r="AG277" s="33"/>
      <c r="AH277" s="33"/>
      <c r="AI277" s="33"/>
      <c r="AJ277" s="33"/>
      <c r="AK277" s="33"/>
      <c r="AL277" s="33"/>
      <c r="AM277" s="33"/>
      <c r="AN277" s="33"/>
      <c r="AO277" s="33"/>
      <c r="AP277" s="33"/>
      <c r="AQ277" s="33"/>
      <c r="AR277" s="33"/>
      <c r="AS277" s="33"/>
      <c r="AT277" s="33"/>
      <c r="AU277" s="33"/>
      <c r="AV277" s="33"/>
      <c r="AW277" s="33"/>
      <c r="AX277" s="33"/>
      <c r="AY277" s="33"/>
      <c r="AZ277" s="33"/>
      <c r="BA277" s="33"/>
      <c r="BB277" s="33"/>
      <c r="BC277" s="33"/>
      <c r="BD277" s="33"/>
      <c r="BE277" s="33"/>
      <c r="BF277" s="33"/>
      <c r="BG277" s="33"/>
      <c r="BH277" s="33"/>
      <c r="BI277" s="33"/>
      <c r="BJ277" s="44"/>
      <c r="BK277" s="44"/>
      <c r="BL277" s="44"/>
      <c r="BM277" s="44"/>
      <c r="BN277" s="44"/>
      <c r="BO277" s="44"/>
    </row>
    <row r="278" spans="1:67">
      <c r="A278" s="11"/>
      <c r="B278" s="11"/>
      <c r="C278" s="11"/>
      <c r="D278" s="11"/>
      <c r="E278" s="33"/>
      <c r="F278" s="33"/>
      <c r="G278" s="33"/>
      <c r="H278" s="33"/>
      <c r="I278" s="33"/>
      <c r="J278" s="33"/>
      <c r="K278" s="33"/>
      <c r="L278" s="33"/>
      <c r="M278" s="33"/>
      <c r="N278" s="33"/>
      <c r="O278" s="33"/>
      <c r="P278" s="33"/>
      <c r="Q278" s="33"/>
      <c r="R278" s="33"/>
      <c r="S278" s="33"/>
      <c r="T278" s="33"/>
      <c r="U278" s="33"/>
      <c r="V278" s="33"/>
      <c r="W278" s="33"/>
      <c r="X278" s="33"/>
      <c r="Y278" s="33"/>
      <c r="Z278" s="33"/>
      <c r="AA278" s="33"/>
      <c r="AB278" s="33"/>
      <c r="AC278" s="33"/>
      <c r="AD278" s="33"/>
      <c r="AE278" s="33"/>
      <c r="AF278" s="33"/>
      <c r="AG278" s="33"/>
      <c r="AH278" s="33"/>
      <c r="AI278" s="33"/>
      <c r="AJ278" s="33"/>
      <c r="AK278" s="33"/>
      <c r="AL278" s="33"/>
      <c r="AM278" s="33"/>
      <c r="AN278" s="33"/>
      <c r="AO278" s="33"/>
      <c r="AP278" s="33"/>
      <c r="AQ278" s="33"/>
      <c r="AR278" s="33"/>
      <c r="AS278" s="33"/>
      <c r="AT278" s="33"/>
      <c r="AU278" s="33"/>
      <c r="AV278" s="33"/>
      <c r="AW278" s="33"/>
      <c r="AX278" s="33"/>
      <c r="AY278" s="33"/>
      <c r="AZ278" s="33"/>
      <c r="BA278" s="33"/>
      <c r="BB278" s="33"/>
      <c r="BC278" s="33"/>
      <c r="BD278" s="33"/>
      <c r="BE278" s="33"/>
      <c r="BF278" s="33"/>
      <c r="BG278" s="33"/>
      <c r="BH278" s="33"/>
      <c r="BI278" s="33"/>
      <c r="BJ278" s="44"/>
      <c r="BK278" s="44"/>
      <c r="BL278" s="44"/>
      <c r="BM278" s="44"/>
      <c r="BN278" s="44"/>
      <c r="BO278" s="44"/>
    </row>
    <row r="279" spans="1:67">
      <c r="A279" s="11"/>
      <c r="B279" s="1" t="s">
        <v>1771</v>
      </c>
      <c r="C279" s="1"/>
      <c r="D279" s="11"/>
      <c r="E279" s="33"/>
      <c r="F279" s="33"/>
      <c r="G279" s="33"/>
      <c r="H279" s="33"/>
      <c r="I279" s="33"/>
      <c r="J279" s="33"/>
      <c r="K279" s="33"/>
      <c r="L279" s="33"/>
      <c r="M279" s="33"/>
      <c r="N279" s="33"/>
      <c r="O279" s="33"/>
      <c r="P279" s="33"/>
      <c r="Q279" s="33"/>
      <c r="R279" s="33"/>
      <c r="S279" s="33"/>
      <c r="T279" s="33"/>
      <c r="U279" s="33"/>
      <c r="V279" s="33"/>
      <c r="W279" s="33"/>
      <c r="X279" s="33"/>
      <c r="Y279" s="33"/>
      <c r="Z279" s="33"/>
      <c r="AA279" s="33"/>
      <c r="AB279" s="33"/>
      <c r="AC279" s="33"/>
      <c r="AD279" s="33"/>
      <c r="AE279" s="33"/>
      <c r="AF279" s="33"/>
      <c r="AG279" s="33"/>
      <c r="AH279" s="33"/>
      <c r="AI279" s="33"/>
      <c r="AJ279" s="33"/>
      <c r="AK279" s="33"/>
      <c r="AL279" s="33"/>
      <c r="AM279" s="33"/>
      <c r="AN279" s="33"/>
      <c r="AO279" s="33"/>
      <c r="AP279" s="33"/>
      <c r="AQ279" s="33"/>
      <c r="AR279" s="33"/>
      <c r="AS279" s="33"/>
      <c r="AT279" s="33"/>
      <c r="AU279" s="33"/>
      <c r="AV279" s="33"/>
      <c r="AW279" s="33"/>
      <c r="AX279" s="33"/>
      <c r="AY279" s="33"/>
      <c r="AZ279" s="33"/>
      <c r="BA279" s="33"/>
      <c r="BB279" s="33"/>
      <c r="BC279" s="33"/>
      <c r="BD279" s="33"/>
      <c r="BE279" s="33"/>
      <c r="BF279" s="33"/>
      <c r="BG279" s="33"/>
      <c r="BH279" s="33"/>
      <c r="BI279" s="33"/>
      <c r="BJ279" s="44"/>
      <c r="BK279" s="44"/>
      <c r="BL279" s="44"/>
      <c r="BM279" s="44"/>
      <c r="BN279" s="44"/>
      <c r="BO279" s="44"/>
    </row>
    <row r="280" spans="1:67">
      <c r="A280" s="11"/>
      <c r="B280" s="11"/>
      <c r="C280" s="11"/>
      <c r="D280" s="11"/>
      <c r="E280" s="33"/>
      <c r="F280" s="33"/>
      <c r="G280" s="33"/>
      <c r="H280" s="33"/>
      <c r="I280" s="33"/>
      <c r="J280" s="33"/>
      <c r="K280" s="33"/>
      <c r="L280" s="33"/>
      <c r="M280" s="33"/>
      <c r="N280" s="33"/>
      <c r="O280" s="33"/>
      <c r="P280" s="33"/>
      <c r="Q280" s="33"/>
      <c r="R280" s="33"/>
      <c r="S280" s="33"/>
      <c r="T280" s="33"/>
      <c r="U280" s="33"/>
      <c r="V280" s="33"/>
      <c r="W280" s="33"/>
      <c r="X280" s="33"/>
      <c r="Y280" s="33"/>
      <c r="Z280" s="33"/>
      <c r="AA280" s="33"/>
      <c r="AB280" s="33"/>
      <c r="AC280" s="33"/>
      <c r="AD280" s="33"/>
      <c r="AE280" s="33"/>
      <c r="AF280" s="33"/>
      <c r="AG280" s="33"/>
      <c r="AH280" s="33"/>
      <c r="AI280" s="33"/>
      <c r="AJ280" s="33"/>
      <c r="AK280" s="33"/>
      <c r="AL280" s="33"/>
      <c r="AM280" s="33"/>
      <c r="AN280" s="33"/>
      <c r="AO280" s="33"/>
      <c r="AP280" s="33"/>
      <c r="AQ280" s="33"/>
      <c r="AR280" s="33"/>
      <c r="AS280" s="33"/>
      <c r="AT280" s="33"/>
      <c r="AU280" s="33"/>
      <c r="AV280" s="33"/>
      <c r="AW280" s="33"/>
      <c r="AX280" s="33"/>
      <c r="AY280" s="33"/>
      <c r="AZ280" s="33"/>
      <c r="BA280" s="33"/>
      <c r="BB280" s="33"/>
      <c r="BC280" s="33"/>
      <c r="BD280" s="33"/>
      <c r="BE280" s="33"/>
      <c r="BF280" s="33"/>
      <c r="BG280" s="33"/>
      <c r="BH280" s="33"/>
      <c r="BI280" s="33"/>
      <c r="BJ280" s="44"/>
      <c r="BK280" s="44"/>
      <c r="BL280" s="44"/>
      <c r="BM280" s="44"/>
      <c r="BN280" s="44"/>
      <c r="BO280" s="44"/>
    </row>
    <row r="281" spans="1:67">
      <c r="A281" s="18" t="s">
        <v>1763</v>
      </c>
      <c r="B281" s="18"/>
      <c r="C281" s="18"/>
      <c r="D281" s="18"/>
      <c r="E281" s="39"/>
      <c r="F281" s="39"/>
      <c r="G281" s="39"/>
      <c r="H281" s="39"/>
      <c r="I281" s="39"/>
      <c r="J281" s="39"/>
      <c r="K281" s="39"/>
      <c r="L281" s="39"/>
      <c r="M281" s="39"/>
      <c r="N281" s="39"/>
      <c r="O281" s="39"/>
      <c r="P281" s="39"/>
      <c r="Q281" s="39"/>
      <c r="R281" s="39"/>
      <c r="S281" s="39"/>
      <c r="T281" s="39"/>
      <c r="U281" s="39"/>
      <c r="V281" s="39"/>
      <c r="W281" s="39"/>
      <c r="X281" s="39"/>
      <c r="Y281" s="39"/>
      <c r="Z281" s="39"/>
      <c r="AA281" s="39"/>
      <c r="AB281" s="39"/>
      <c r="AC281" s="39"/>
      <c r="AD281" s="39"/>
      <c r="AE281" s="39"/>
      <c r="AF281" s="39"/>
      <c r="AG281" s="39"/>
      <c r="AH281" s="39"/>
      <c r="AI281" s="39"/>
      <c r="AJ281" s="39"/>
      <c r="AK281" s="39"/>
      <c r="AL281" s="39"/>
      <c r="AM281" s="39"/>
      <c r="AN281" s="39"/>
      <c r="AO281" s="39"/>
      <c r="AP281" s="39"/>
      <c r="AQ281" s="39"/>
      <c r="AR281" s="39"/>
      <c r="AS281" s="39"/>
      <c r="AT281" s="39"/>
      <c r="AU281" s="39"/>
      <c r="AV281" s="39"/>
      <c r="AW281" s="39"/>
      <c r="AX281" s="39"/>
      <c r="AY281" s="39"/>
      <c r="AZ281" s="39"/>
      <c r="BA281" s="39"/>
      <c r="BB281" s="39"/>
      <c r="BC281" s="39"/>
      <c r="BD281" s="39"/>
      <c r="BE281" s="39"/>
      <c r="BF281" s="39"/>
      <c r="BG281" s="39"/>
      <c r="BH281" s="39"/>
      <c r="BI281" s="39"/>
      <c r="BJ281" s="45"/>
      <c r="BK281" s="45"/>
      <c r="BL281" s="45"/>
      <c r="BM281" s="45"/>
      <c r="BN281" s="45"/>
      <c r="BO281" s="45"/>
    </row>
    <row r="282" spans="1:67">
      <c r="A282" s="11"/>
      <c r="B282" s="11" t="s">
        <v>1618</v>
      </c>
      <c r="C282" s="11"/>
      <c r="D282" s="11"/>
      <c r="E282" s="92">
        <v>450000</v>
      </c>
      <c r="F282" s="10" t="s">
        <v>1579</v>
      </c>
      <c r="G282" s="33"/>
      <c r="H282" s="33"/>
      <c r="I282" s="33"/>
      <c r="J282" s="33"/>
      <c r="K282" s="33"/>
      <c r="L282" s="33"/>
      <c r="M282" s="33"/>
      <c r="N282" s="33"/>
      <c r="O282" s="33"/>
      <c r="P282" s="33"/>
      <c r="Q282" s="33"/>
      <c r="R282" s="33"/>
      <c r="S282" s="33"/>
      <c r="T282" s="33"/>
      <c r="U282" s="33"/>
      <c r="V282" s="33"/>
      <c r="W282" s="33"/>
      <c r="X282" s="33"/>
      <c r="Y282" s="33"/>
      <c r="Z282" s="33"/>
      <c r="AA282" s="33"/>
      <c r="AB282" s="33"/>
      <c r="AC282" s="33"/>
      <c r="AD282" s="33"/>
      <c r="AE282" s="33"/>
      <c r="AF282" s="33"/>
      <c r="AG282" s="33"/>
      <c r="AH282" s="33"/>
      <c r="AI282" s="33"/>
      <c r="AJ282" s="33"/>
      <c r="AK282" s="33"/>
      <c r="AL282" s="33"/>
      <c r="AM282" s="33"/>
      <c r="AN282" s="33"/>
      <c r="AO282" s="33"/>
      <c r="AP282" s="33"/>
      <c r="AQ282" s="33"/>
      <c r="AR282" s="33"/>
      <c r="AS282" s="33"/>
      <c r="AT282" s="33"/>
      <c r="AU282" s="33"/>
      <c r="AV282" s="33"/>
      <c r="AW282" s="33"/>
      <c r="AX282" s="33"/>
      <c r="AY282" s="33"/>
      <c r="AZ282" s="33"/>
      <c r="BA282" s="33"/>
      <c r="BB282" s="33"/>
      <c r="BC282" s="33"/>
      <c r="BD282" s="33"/>
      <c r="BE282" s="33"/>
      <c r="BF282" s="33"/>
      <c r="BG282" s="33"/>
      <c r="BH282" s="33"/>
      <c r="BI282" s="33"/>
      <c r="BJ282" s="44"/>
      <c r="BK282" s="44"/>
      <c r="BL282" s="44"/>
      <c r="BM282" s="44"/>
      <c r="BN282" s="44"/>
      <c r="BO282" s="44"/>
    </row>
    <row r="283" spans="1:67">
      <c r="A283" s="11"/>
      <c r="B283" s="11" t="s">
        <v>1619</v>
      </c>
      <c r="C283" s="11"/>
      <c r="D283" s="11"/>
      <c r="E283" s="16">
        <v>0.1</v>
      </c>
      <c r="F283" s="10" t="s">
        <v>1620</v>
      </c>
      <c r="G283" s="33"/>
      <c r="H283" s="33"/>
      <c r="I283" s="33"/>
      <c r="J283" s="33"/>
      <c r="K283" s="33"/>
      <c r="L283" s="33"/>
      <c r="M283" s="33"/>
      <c r="N283" s="33"/>
      <c r="O283" s="33"/>
      <c r="P283" s="33"/>
      <c r="Q283" s="33"/>
      <c r="R283" s="33"/>
      <c r="S283" s="33"/>
      <c r="T283" s="33"/>
      <c r="U283" s="33"/>
      <c r="V283" s="33"/>
      <c r="W283" s="33"/>
      <c r="X283" s="33"/>
      <c r="Y283" s="33"/>
      <c r="Z283" s="33"/>
      <c r="AA283" s="33"/>
      <c r="AB283" s="33"/>
      <c r="AC283" s="33"/>
      <c r="AD283" s="33"/>
      <c r="AE283" s="33"/>
      <c r="AF283" s="33"/>
      <c r="AG283" s="33"/>
      <c r="AH283" s="33"/>
      <c r="AI283" s="33"/>
      <c r="AJ283" s="33"/>
      <c r="AK283" s="33"/>
      <c r="AL283" s="33"/>
      <c r="AM283" s="33"/>
      <c r="AN283" s="33"/>
      <c r="AO283" s="33"/>
      <c r="AP283" s="33"/>
      <c r="AQ283" s="33"/>
      <c r="AR283" s="33"/>
      <c r="AS283" s="33"/>
      <c r="AT283" s="33"/>
      <c r="AU283" s="33"/>
      <c r="AV283" s="33"/>
      <c r="AW283" s="33"/>
      <c r="AX283" s="33"/>
      <c r="AY283" s="33"/>
      <c r="AZ283" s="33"/>
      <c r="BA283" s="33"/>
      <c r="BB283" s="33"/>
      <c r="BC283" s="33"/>
      <c r="BD283" s="33"/>
      <c r="BE283" s="33"/>
      <c r="BF283" s="33"/>
      <c r="BG283" s="33"/>
      <c r="BH283" s="33"/>
      <c r="BI283" s="33"/>
      <c r="BJ283" s="44"/>
      <c r="BK283" s="44"/>
      <c r="BL283" s="44"/>
      <c r="BM283" s="44"/>
      <c r="BN283" s="44"/>
      <c r="BO283" s="44"/>
    </row>
    <row r="284" spans="1:67">
      <c r="A284" s="11"/>
      <c r="B284" s="11" t="s">
        <v>1621</v>
      </c>
      <c r="C284" s="11"/>
      <c r="D284" s="11"/>
      <c r="E284" s="90">
        <f>E282*(1+E283)</f>
        <v>495000.00000000006</v>
      </c>
      <c r="F284" s="10" t="s">
        <v>1579</v>
      </c>
      <c r="G284" s="33"/>
      <c r="H284" s="33"/>
      <c r="I284" s="33"/>
      <c r="J284" s="33"/>
      <c r="K284" s="33"/>
      <c r="L284" s="33"/>
      <c r="M284" s="33"/>
      <c r="N284" s="33"/>
      <c r="O284" s="33"/>
      <c r="P284" s="33"/>
      <c r="Q284" s="33"/>
      <c r="R284" s="33"/>
      <c r="S284" s="33"/>
      <c r="T284" s="33"/>
      <c r="U284" s="33"/>
      <c r="V284" s="33"/>
      <c r="W284" s="33"/>
      <c r="X284" s="33"/>
      <c r="Y284" s="33"/>
      <c r="Z284" s="33"/>
      <c r="AA284" s="33"/>
      <c r="AB284" s="33"/>
      <c r="AC284" s="33"/>
      <c r="AD284" s="33"/>
      <c r="AE284" s="33"/>
      <c r="AF284" s="33"/>
      <c r="AG284" s="33"/>
      <c r="AH284" s="33"/>
      <c r="AI284" s="33"/>
      <c r="AJ284" s="33"/>
      <c r="AK284" s="33"/>
      <c r="AL284" s="33"/>
      <c r="AM284" s="33"/>
      <c r="AN284" s="33"/>
      <c r="AO284" s="33"/>
      <c r="AP284" s="33"/>
      <c r="AQ284" s="33"/>
      <c r="AR284" s="33"/>
      <c r="AS284" s="33"/>
      <c r="AT284" s="33"/>
      <c r="AU284" s="33"/>
      <c r="AV284" s="33"/>
      <c r="AW284" s="33"/>
      <c r="AX284" s="33"/>
      <c r="AY284" s="33"/>
      <c r="AZ284" s="33"/>
      <c r="BA284" s="33"/>
      <c r="BB284" s="33"/>
      <c r="BC284" s="33"/>
      <c r="BD284" s="33"/>
      <c r="BE284" s="33"/>
      <c r="BF284" s="33"/>
      <c r="BG284" s="33"/>
      <c r="BH284" s="33"/>
      <c r="BI284" s="33"/>
      <c r="BJ284" s="44"/>
      <c r="BK284" s="44"/>
      <c r="BL284" s="44"/>
      <c r="BM284" s="44"/>
      <c r="BN284" s="44"/>
      <c r="BO284" s="44"/>
    </row>
    <row r="285" spans="1:67">
      <c r="A285" s="11"/>
      <c r="B285" s="11" t="s">
        <v>54</v>
      </c>
      <c r="C285" s="11"/>
      <c r="D285" s="11"/>
      <c r="E285" s="63">
        <f>'01 Major Assumptions'!$D$20</f>
        <v>32.5</v>
      </c>
      <c r="F285" s="10" t="s">
        <v>51</v>
      </c>
      <c r="G285" s="33"/>
      <c r="H285" s="33"/>
      <c r="I285" s="33"/>
      <c r="J285" s="33"/>
      <c r="K285" s="33"/>
      <c r="L285" s="33"/>
      <c r="M285" s="33"/>
      <c r="N285" s="33"/>
      <c r="O285" s="33"/>
      <c r="P285" s="33"/>
      <c r="Q285" s="33"/>
      <c r="R285" s="33"/>
      <c r="S285" s="33"/>
      <c r="T285" s="33"/>
      <c r="U285" s="33"/>
      <c r="V285" s="33"/>
      <c r="W285" s="33"/>
      <c r="X285" s="33"/>
      <c r="Y285" s="33"/>
      <c r="Z285" s="33"/>
      <c r="AA285" s="33"/>
      <c r="AB285" s="33"/>
      <c r="AC285" s="33"/>
      <c r="AD285" s="33"/>
      <c r="AE285" s="33"/>
      <c r="AF285" s="33"/>
      <c r="AG285" s="33"/>
      <c r="AH285" s="33"/>
      <c r="AI285" s="33"/>
      <c r="AJ285" s="33"/>
      <c r="AK285" s="33"/>
      <c r="AL285" s="33"/>
      <c r="AM285" s="33"/>
      <c r="AN285" s="33"/>
      <c r="AO285" s="33"/>
      <c r="AP285" s="33"/>
      <c r="AQ285" s="33"/>
      <c r="AR285" s="33"/>
      <c r="AS285" s="33"/>
      <c r="AT285" s="33"/>
      <c r="AU285" s="33"/>
      <c r="AV285" s="33"/>
      <c r="AW285" s="33"/>
      <c r="AX285" s="33"/>
      <c r="AY285" s="33"/>
      <c r="AZ285" s="33"/>
      <c r="BA285" s="33"/>
      <c r="BB285" s="33"/>
      <c r="BC285" s="33"/>
      <c r="BD285" s="33"/>
      <c r="BE285" s="33"/>
      <c r="BF285" s="33"/>
      <c r="BG285" s="33"/>
      <c r="BH285" s="33"/>
      <c r="BI285" s="33"/>
      <c r="BJ285" s="44"/>
      <c r="BK285" s="44"/>
      <c r="BL285" s="44"/>
      <c r="BM285" s="44"/>
      <c r="BN285" s="44"/>
      <c r="BO285" s="44"/>
    </row>
    <row r="286" spans="1:67">
      <c r="A286" s="11"/>
      <c r="B286" s="11" t="s">
        <v>1621</v>
      </c>
      <c r="C286" s="11"/>
      <c r="D286" s="11"/>
      <c r="E286" s="90">
        <f>E284*E285</f>
        <v>16087500.000000002</v>
      </c>
      <c r="F286" s="10" t="s">
        <v>1586</v>
      </c>
      <c r="G286" s="33"/>
      <c r="H286" s="33"/>
      <c r="I286" s="33"/>
      <c r="J286" s="33"/>
      <c r="K286" s="33"/>
      <c r="L286" s="33"/>
      <c r="M286" s="33"/>
      <c r="N286" s="33"/>
      <c r="O286" s="33"/>
      <c r="P286" s="33"/>
      <c r="Q286" s="33"/>
      <c r="R286" s="33"/>
      <c r="S286" s="33"/>
      <c r="T286" s="33"/>
      <c r="U286" s="33"/>
      <c r="V286" s="33"/>
      <c r="W286" s="33"/>
      <c r="X286" s="33"/>
      <c r="Y286" s="33"/>
      <c r="Z286" s="33"/>
      <c r="AA286" s="33"/>
      <c r="AB286" s="33"/>
      <c r="AC286" s="33"/>
      <c r="AD286" s="33"/>
      <c r="AE286" s="33"/>
      <c r="AF286" s="33"/>
      <c r="AG286" s="33"/>
      <c r="AH286" s="33"/>
      <c r="AI286" s="33"/>
      <c r="AJ286" s="33"/>
      <c r="AK286" s="33"/>
      <c r="AL286" s="33"/>
      <c r="AM286" s="33"/>
      <c r="AN286" s="33"/>
      <c r="AO286" s="33"/>
      <c r="AP286" s="33"/>
      <c r="AQ286" s="33"/>
      <c r="AR286" s="33"/>
      <c r="AS286" s="33"/>
      <c r="AT286" s="33"/>
      <c r="AU286" s="33"/>
      <c r="AV286" s="33"/>
      <c r="AW286" s="33"/>
      <c r="AX286" s="33"/>
      <c r="AY286" s="33"/>
      <c r="AZ286" s="33"/>
      <c r="BA286" s="33"/>
      <c r="BB286" s="33"/>
      <c r="BC286" s="33"/>
      <c r="BD286" s="33"/>
      <c r="BE286" s="33"/>
      <c r="BF286" s="33"/>
      <c r="BG286" s="33"/>
      <c r="BH286" s="33"/>
      <c r="BI286" s="33"/>
      <c r="BJ286" s="44"/>
      <c r="BK286" s="44"/>
      <c r="BL286" s="44"/>
      <c r="BM286" s="44"/>
      <c r="BN286" s="44"/>
      <c r="BO286" s="44"/>
    </row>
    <row r="287" spans="1:67">
      <c r="A287" s="11"/>
      <c r="B287" s="11" t="s">
        <v>1622</v>
      </c>
      <c r="C287" s="11"/>
      <c r="D287" s="11"/>
      <c r="E287" s="90">
        <f>'01 Major Assumptions'!$D$29</f>
        <v>8</v>
      </c>
      <c r="F287" s="10" t="s">
        <v>60</v>
      </c>
      <c r="G287" s="33"/>
      <c r="H287" s="33"/>
      <c r="I287" s="33"/>
      <c r="J287" s="33"/>
      <c r="K287" s="33"/>
      <c r="L287" s="33"/>
      <c r="M287" s="33"/>
      <c r="N287" s="33"/>
      <c r="O287" s="33"/>
      <c r="P287" s="33"/>
      <c r="Q287" s="33"/>
      <c r="R287" s="33"/>
      <c r="S287" s="33"/>
      <c r="T287" s="33"/>
      <c r="U287" s="33"/>
      <c r="V287" s="33"/>
      <c r="W287" s="33"/>
      <c r="X287" s="33"/>
      <c r="Y287" s="33"/>
      <c r="Z287" s="33"/>
      <c r="AA287" s="33"/>
      <c r="AB287" s="33"/>
      <c r="AC287" s="33"/>
      <c r="AD287" s="33"/>
      <c r="AE287" s="33"/>
      <c r="AF287" s="33"/>
      <c r="AG287" s="33"/>
      <c r="AH287" s="33"/>
      <c r="AI287" s="33"/>
      <c r="AJ287" s="33"/>
      <c r="AK287" s="33"/>
      <c r="AL287" s="33"/>
      <c r="AM287" s="33"/>
      <c r="AN287" s="33"/>
      <c r="AO287" s="33"/>
      <c r="AP287" s="33"/>
      <c r="AQ287" s="33"/>
      <c r="AR287" s="33"/>
      <c r="AS287" s="33"/>
      <c r="AT287" s="33"/>
      <c r="AU287" s="33"/>
      <c r="AV287" s="33"/>
      <c r="AW287" s="33"/>
      <c r="AX287" s="33"/>
      <c r="AY287" s="33"/>
      <c r="AZ287" s="33"/>
      <c r="BA287" s="33"/>
      <c r="BB287" s="33"/>
      <c r="BC287" s="33"/>
      <c r="BD287" s="33"/>
      <c r="BE287" s="33"/>
      <c r="BF287" s="33"/>
      <c r="BG287" s="33"/>
      <c r="BH287" s="33"/>
      <c r="BI287" s="33"/>
      <c r="BJ287" s="44"/>
      <c r="BK287" s="44"/>
      <c r="BL287" s="44"/>
      <c r="BM287" s="44"/>
      <c r="BN287" s="44"/>
      <c r="BO287" s="44"/>
    </row>
    <row r="288" spans="1:67">
      <c r="A288" s="11"/>
      <c r="B288" s="22" t="s">
        <v>1623</v>
      </c>
      <c r="C288" s="22"/>
      <c r="D288" s="22"/>
      <c r="E288" s="89">
        <f>E286*E287</f>
        <v>128700000.00000001</v>
      </c>
      <c r="F288" s="37" t="s">
        <v>13</v>
      </c>
      <c r="G288" s="33"/>
      <c r="H288" s="33"/>
      <c r="I288" s="33"/>
      <c r="J288" s="33"/>
      <c r="K288" s="33"/>
      <c r="L288" s="33"/>
      <c r="M288" s="33"/>
      <c r="N288" s="33"/>
      <c r="O288" s="33"/>
      <c r="P288" s="33"/>
      <c r="Q288" s="33"/>
      <c r="R288" s="33"/>
      <c r="S288" s="33"/>
      <c r="T288" s="33"/>
      <c r="U288" s="33"/>
      <c r="V288" s="33"/>
      <c r="W288" s="33"/>
      <c r="X288" s="33"/>
      <c r="Y288" s="33"/>
      <c r="Z288" s="33"/>
      <c r="AA288" s="33"/>
      <c r="AB288" s="33"/>
      <c r="AC288" s="33"/>
      <c r="AD288" s="33"/>
      <c r="AE288" s="33"/>
      <c r="AF288" s="33"/>
      <c r="AG288" s="33"/>
      <c r="AH288" s="33"/>
      <c r="AI288" s="33"/>
      <c r="AJ288" s="33"/>
      <c r="AK288" s="33"/>
      <c r="AL288" s="33"/>
      <c r="AM288" s="33"/>
      <c r="AN288" s="33"/>
      <c r="AO288" s="33"/>
      <c r="AP288" s="33"/>
      <c r="AQ288" s="33"/>
      <c r="AR288" s="33"/>
      <c r="AS288" s="33"/>
      <c r="AT288" s="33"/>
      <c r="AU288" s="33"/>
      <c r="AV288" s="33"/>
      <c r="AW288" s="33"/>
      <c r="AX288" s="33"/>
      <c r="AY288" s="33"/>
      <c r="AZ288" s="33"/>
      <c r="BA288" s="33"/>
      <c r="BB288" s="33"/>
      <c r="BC288" s="33"/>
      <c r="BD288" s="33"/>
      <c r="BE288" s="33"/>
      <c r="BF288" s="33"/>
      <c r="BG288" s="33"/>
      <c r="BH288" s="33"/>
      <c r="BI288" s="33"/>
      <c r="BJ288" s="44"/>
      <c r="BK288" s="44"/>
      <c r="BL288" s="44"/>
      <c r="BM288" s="44"/>
      <c r="BN288" s="44"/>
      <c r="BO288" s="44"/>
    </row>
    <row r="289" spans="1:67">
      <c r="A289" s="11"/>
      <c r="B289" s="11"/>
      <c r="C289" s="11"/>
      <c r="D289" s="11"/>
      <c r="E289" s="33"/>
      <c r="F289" s="43"/>
      <c r="G289" s="33"/>
      <c r="H289" s="33"/>
      <c r="I289" s="33"/>
      <c r="J289" s="33"/>
      <c r="K289" s="33"/>
      <c r="L289" s="33"/>
      <c r="M289" s="33"/>
      <c r="N289" s="33"/>
      <c r="O289" s="33"/>
      <c r="P289" s="33"/>
      <c r="Q289" s="33"/>
      <c r="R289" s="33"/>
      <c r="S289" s="33"/>
      <c r="T289" s="33"/>
      <c r="U289" s="33"/>
      <c r="V289" s="33"/>
      <c r="W289" s="33"/>
      <c r="X289" s="33"/>
      <c r="Y289" s="33"/>
      <c r="Z289" s="33"/>
      <c r="AA289" s="33"/>
      <c r="AB289" s="33"/>
      <c r="AC289" s="33"/>
      <c r="AD289" s="33"/>
      <c r="AE289" s="33"/>
      <c r="AF289" s="33"/>
      <c r="AG289" s="33"/>
      <c r="AH289" s="33"/>
      <c r="AI289" s="33"/>
      <c r="AJ289" s="33"/>
      <c r="AK289" s="33"/>
      <c r="AL289" s="33"/>
      <c r="AM289" s="33"/>
      <c r="AN289" s="33"/>
      <c r="AO289" s="33"/>
      <c r="AP289" s="33"/>
      <c r="AQ289" s="33"/>
      <c r="AR289" s="33"/>
      <c r="AS289" s="33"/>
      <c r="AT289" s="33"/>
      <c r="AU289" s="33"/>
      <c r="AV289" s="33"/>
      <c r="AW289" s="33"/>
      <c r="AX289" s="33"/>
      <c r="AY289" s="33"/>
      <c r="AZ289" s="33"/>
      <c r="BA289" s="33"/>
      <c r="BB289" s="33"/>
      <c r="BC289" s="33"/>
      <c r="BD289" s="33"/>
      <c r="BE289" s="33"/>
      <c r="BF289" s="33"/>
      <c r="BG289" s="33"/>
      <c r="BH289" s="33"/>
      <c r="BI289" s="33"/>
      <c r="BJ289" s="44"/>
      <c r="BK289" s="44"/>
      <c r="BL289" s="44"/>
      <c r="BM289" s="44"/>
      <c r="BN289" s="44"/>
      <c r="BO289" s="44"/>
    </row>
    <row r="290" spans="1:67">
      <c r="A290" s="11"/>
      <c r="B290" s="11" t="s">
        <v>1624</v>
      </c>
      <c r="C290" s="11"/>
      <c r="D290" s="11"/>
      <c r="E290" s="90">
        <f>'01 Major Assumptions'!$D$55</f>
        <v>2000</v>
      </c>
      <c r="F290" s="10" t="s">
        <v>68</v>
      </c>
      <c r="G290" s="33"/>
      <c r="H290" s="33"/>
      <c r="I290" s="33"/>
      <c r="J290" s="33"/>
      <c r="K290" s="33"/>
      <c r="L290" s="33"/>
      <c r="M290" s="33"/>
      <c r="N290" s="33"/>
      <c r="O290" s="33"/>
      <c r="P290" s="33"/>
      <c r="Q290" s="33"/>
      <c r="R290" s="33"/>
      <c r="S290" s="33"/>
      <c r="T290" s="33"/>
      <c r="U290" s="33"/>
      <c r="V290" s="33"/>
      <c r="W290" s="33"/>
      <c r="X290" s="33"/>
      <c r="Y290" s="33"/>
      <c r="Z290" s="33"/>
      <c r="AA290" s="33"/>
      <c r="AB290" s="33"/>
      <c r="AC290" s="33"/>
      <c r="AD290" s="33"/>
      <c r="AE290" s="33"/>
      <c r="AF290" s="33"/>
      <c r="AG290" s="33"/>
      <c r="AH290" s="33"/>
      <c r="AI290" s="33"/>
      <c r="AJ290" s="33"/>
      <c r="AK290" s="33"/>
      <c r="AL290" s="33"/>
      <c r="AM290" s="33"/>
      <c r="AN290" s="33"/>
      <c r="AO290" s="33"/>
      <c r="AP290" s="33"/>
      <c r="AQ290" s="33"/>
      <c r="AR290" s="33"/>
      <c r="AS290" s="33"/>
      <c r="AT290" s="33"/>
      <c r="AU290" s="33"/>
      <c r="AV290" s="33"/>
      <c r="AW290" s="33"/>
      <c r="AX290" s="33"/>
      <c r="AY290" s="33"/>
      <c r="AZ290" s="33"/>
      <c r="BA290" s="33"/>
      <c r="BB290" s="33"/>
      <c r="BC290" s="33"/>
      <c r="BD290" s="33"/>
      <c r="BE290" s="33"/>
      <c r="BF290" s="33"/>
      <c r="BG290" s="33"/>
      <c r="BH290" s="33"/>
      <c r="BI290" s="33"/>
      <c r="BJ290" s="44"/>
      <c r="BK290" s="44"/>
      <c r="BL290" s="44"/>
      <c r="BM290" s="44"/>
      <c r="BN290" s="44"/>
      <c r="BO290" s="44"/>
    </row>
    <row r="291" spans="1:67">
      <c r="A291" s="11"/>
      <c r="B291" s="11" t="s">
        <v>1625</v>
      </c>
      <c r="C291" s="11"/>
      <c r="D291" s="11"/>
      <c r="E291" s="92">
        <v>750000</v>
      </c>
      <c r="F291" s="10" t="s">
        <v>297</v>
      </c>
      <c r="G291" s="33"/>
      <c r="H291" s="33"/>
      <c r="I291" s="33"/>
      <c r="J291" s="33"/>
      <c r="K291" s="33"/>
      <c r="L291" s="33"/>
      <c r="M291" s="33"/>
      <c r="N291" s="33"/>
      <c r="O291" s="33"/>
      <c r="P291" s="33"/>
      <c r="Q291" s="33"/>
      <c r="R291" s="33"/>
      <c r="S291" s="33"/>
      <c r="T291" s="33"/>
      <c r="U291" s="33"/>
      <c r="V291" s="33"/>
      <c r="W291" s="33"/>
      <c r="X291" s="33"/>
      <c r="Y291" s="33"/>
      <c r="Z291" s="33"/>
      <c r="AA291" s="33"/>
      <c r="AB291" s="33"/>
      <c r="AC291" s="33"/>
      <c r="AD291" s="33"/>
      <c r="AE291" s="33"/>
      <c r="AF291" s="33"/>
      <c r="AG291" s="33"/>
      <c r="AH291" s="33"/>
      <c r="AI291" s="33"/>
      <c r="AJ291" s="33"/>
      <c r="AK291" s="33"/>
      <c r="AL291" s="33"/>
      <c r="AM291" s="33"/>
      <c r="AN291" s="33"/>
      <c r="AO291" s="33"/>
      <c r="AP291" s="33"/>
      <c r="AQ291" s="33"/>
      <c r="AR291" s="33"/>
      <c r="AS291" s="33"/>
      <c r="AT291" s="33"/>
      <c r="AU291" s="33"/>
      <c r="AV291" s="33"/>
      <c r="AW291" s="33"/>
      <c r="AX291" s="33"/>
      <c r="AY291" s="33"/>
      <c r="AZ291" s="33"/>
      <c r="BA291" s="33"/>
      <c r="BB291" s="33"/>
      <c r="BC291" s="33"/>
      <c r="BD291" s="33"/>
      <c r="BE291" s="33"/>
      <c r="BF291" s="33"/>
      <c r="BG291" s="33"/>
      <c r="BH291" s="33"/>
      <c r="BI291" s="33"/>
      <c r="BJ291" s="44"/>
      <c r="BK291" s="44"/>
      <c r="BL291" s="44"/>
      <c r="BM291" s="44"/>
      <c r="BN291" s="44"/>
      <c r="BO291" s="44"/>
    </row>
    <row r="292" spans="1:67">
      <c r="A292" s="11"/>
      <c r="B292" s="11" t="s">
        <v>1626</v>
      </c>
      <c r="C292" s="11"/>
      <c r="D292" s="11"/>
      <c r="E292" s="90">
        <f>'03 CAPEX &amp; Depreciation'!$E$72</f>
        <v>12153.24</v>
      </c>
      <c r="F292" s="10" t="s">
        <v>68</v>
      </c>
      <c r="G292" s="33"/>
      <c r="H292" s="33"/>
      <c r="I292" s="33"/>
      <c r="J292" s="33"/>
      <c r="K292" s="33"/>
      <c r="L292" s="33"/>
      <c r="M292" s="33"/>
      <c r="N292" s="33"/>
      <c r="O292" s="33"/>
      <c r="P292" s="33"/>
      <c r="Q292" s="33"/>
      <c r="R292" s="33"/>
      <c r="S292" s="33"/>
      <c r="T292" s="33"/>
      <c r="U292" s="33"/>
      <c r="V292" s="33"/>
      <c r="W292" s="33"/>
      <c r="X292" s="33"/>
      <c r="Y292" s="33"/>
      <c r="Z292" s="33"/>
      <c r="AA292" s="33"/>
      <c r="AB292" s="33"/>
      <c r="AC292" s="33"/>
      <c r="AD292" s="33"/>
      <c r="AE292" s="33"/>
      <c r="AF292" s="33"/>
      <c r="AG292" s="33"/>
      <c r="AH292" s="33"/>
      <c r="AI292" s="33"/>
      <c r="AJ292" s="33"/>
      <c r="AK292" s="33"/>
      <c r="AL292" s="33"/>
      <c r="AM292" s="33"/>
      <c r="AN292" s="33"/>
      <c r="AO292" s="33"/>
      <c r="AP292" s="33"/>
      <c r="AQ292" s="33"/>
      <c r="AR292" s="33"/>
      <c r="AS292" s="33"/>
      <c r="AT292" s="33"/>
      <c r="AU292" s="33"/>
      <c r="AV292" s="33"/>
      <c r="AW292" s="33"/>
      <c r="AX292" s="33"/>
      <c r="AY292" s="33"/>
      <c r="AZ292" s="33"/>
      <c r="BA292" s="33"/>
      <c r="BB292" s="33"/>
      <c r="BC292" s="33"/>
      <c r="BD292" s="33"/>
      <c r="BE292" s="33"/>
      <c r="BF292" s="33"/>
      <c r="BG292" s="33"/>
      <c r="BH292" s="33"/>
      <c r="BI292" s="33"/>
      <c r="BJ292" s="44"/>
      <c r="BK292" s="44"/>
      <c r="BL292" s="44"/>
      <c r="BM292" s="44"/>
      <c r="BN292" s="44"/>
      <c r="BO292" s="44"/>
    </row>
    <row r="293" spans="1:67">
      <c r="A293" s="11"/>
      <c r="B293" s="11" t="s">
        <v>1627</v>
      </c>
      <c r="C293" s="11"/>
      <c r="D293" s="11"/>
      <c r="E293" s="92">
        <v>2</v>
      </c>
      <c r="F293" s="10" t="s">
        <v>60</v>
      </c>
      <c r="G293" s="33"/>
      <c r="H293" s="33"/>
      <c r="I293" s="33"/>
      <c r="J293" s="33"/>
      <c r="K293" s="33"/>
      <c r="L293" s="33"/>
      <c r="M293" s="33"/>
      <c r="N293" s="33"/>
      <c r="O293" s="33"/>
      <c r="P293" s="33"/>
      <c r="Q293" s="33"/>
      <c r="R293" s="33"/>
      <c r="S293" s="33"/>
      <c r="T293" s="33"/>
      <c r="U293" s="33"/>
      <c r="V293" s="33"/>
      <c r="W293" s="33"/>
      <c r="X293" s="33"/>
      <c r="Y293" s="33"/>
      <c r="Z293" s="33"/>
      <c r="AA293" s="33"/>
      <c r="AB293" s="33"/>
      <c r="AC293" s="33"/>
      <c r="AD293" s="33"/>
      <c r="AE293" s="33"/>
      <c r="AF293" s="33"/>
      <c r="AG293" s="33"/>
      <c r="AH293" s="33"/>
      <c r="AI293" s="33"/>
      <c r="AJ293" s="33"/>
      <c r="AK293" s="33"/>
      <c r="AL293" s="33"/>
      <c r="AM293" s="33"/>
      <c r="AN293" s="33"/>
      <c r="AO293" s="33"/>
      <c r="AP293" s="33"/>
      <c r="AQ293" s="33"/>
      <c r="AR293" s="33"/>
      <c r="AS293" s="33"/>
      <c r="AT293" s="33"/>
      <c r="AU293" s="33"/>
      <c r="AV293" s="33"/>
      <c r="AW293" s="33"/>
      <c r="AX293" s="33"/>
      <c r="AY293" s="33"/>
      <c r="AZ293" s="33"/>
      <c r="BA293" s="33"/>
      <c r="BB293" s="33"/>
      <c r="BC293" s="33"/>
      <c r="BD293" s="33"/>
      <c r="BE293" s="33"/>
      <c r="BF293" s="33"/>
      <c r="BG293" s="33"/>
      <c r="BH293" s="33"/>
      <c r="BI293" s="33"/>
      <c r="BJ293" s="44"/>
      <c r="BK293" s="44"/>
      <c r="BL293" s="44"/>
      <c r="BM293" s="44"/>
      <c r="BN293" s="44"/>
      <c r="BO293" s="44"/>
    </row>
    <row r="294" spans="1:67">
      <c r="A294" s="11"/>
      <c r="B294" s="11" t="s">
        <v>1628</v>
      </c>
      <c r="C294" s="11"/>
      <c r="D294" s="11"/>
      <c r="E294" s="90">
        <f>E292/E293</f>
        <v>6076.62</v>
      </c>
      <c r="F294" s="10" t="s">
        <v>68</v>
      </c>
      <c r="G294" s="33"/>
      <c r="H294" s="33"/>
      <c r="I294" s="33"/>
      <c r="J294" s="33"/>
      <c r="K294" s="33"/>
      <c r="L294" s="33"/>
      <c r="M294" s="33"/>
      <c r="N294" s="33"/>
      <c r="O294" s="33"/>
      <c r="P294" s="33"/>
      <c r="Q294" s="33"/>
      <c r="R294" s="33"/>
      <c r="S294" s="33"/>
      <c r="T294" s="33"/>
      <c r="U294" s="33"/>
      <c r="V294" s="33"/>
      <c r="W294" s="33"/>
      <c r="X294" s="33"/>
      <c r="Y294" s="33"/>
      <c r="Z294" s="33"/>
      <c r="AA294" s="33"/>
      <c r="AB294" s="33"/>
      <c r="AC294" s="33"/>
      <c r="AD294" s="33"/>
      <c r="AE294" s="33"/>
      <c r="AF294" s="33"/>
      <c r="AG294" s="33"/>
      <c r="AH294" s="33"/>
      <c r="AI294" s="33"/>
      <c r="AJ294" s="33"/>
      <c r="AK294" s="33"/>
      <c r="AL294" s="33"/>
      <c r="AM294" s="33"/>
      <c r="AN294" s="33"/>
      <c r="AO294" s="33"/>
      <c r="AP294" s="33"/>
      <c r="AQ294" s="33"/>
      <c r="AR294" s="33"/>
      <c r="AS294" s="33"/>
      <c r="AT294" s="33"/>
      <c r="AU294" s="33"/>
      <c r="AV294" s="33"/>
      <c r="AW294" s="33"/>
      <c r="AX294" s="33"/>
      <c r="AY294" s="33"/>
      <c r="AZ294" s="33"/>
      <c r="BA294" s="33"/>
      <c r="BB294" s="33"/>
      <c r="BC294" s="33"/>
      <c r="BD294" s="33"/>
      <c r="BE294" s="33"/>
      <c r="BF294" s="33"/>
      <c r="BG294" s="33"/>
      <c r="BH294" s="33"/>
      <c r="BI294" s="33"/>
      <c r="BJ294" s="44"/>
      <c r="BK294" s="44"/>
      <c r="BL294" s="44"/>
      <c r="BM294" s="44"/>
      <c r="BN294" s="44"/>
      <c r="BO294" s="44"/>
    </row>
    <row r="295" spans="1:67">
      <c r="A295" s="11"/>
      <c r="B295" s="11" t="s">
        <v>1629</v>
      </c>
      <c r="C295" s="11"/>
      <c r="D295" s="11"/>
      <c r="E295" s="66">
        <v>0.6</v>
      </c>
      <c r="F295" s="43"/>
      <c r="G295" s="33"/>
      <c r="H295" s="33"/>
      <c r="I295" s="33"/>
      <c r="J295" s="33"/>
      <c r="K295" s="33"/>
      <c r="L295" s="33"/>
      <c r="M295" s="33"/>
      <c r="N295" s="33"/>
      <c r="O295" s="33"/>
      <c r="P295" s="33"/>
      <c r="Q295" s="33"/>
      <c r="R295" s="33"/>
      <c r="S295" s="33"/>
      <c r="T295" s="33"/>
      <c r="U295" s="33"/>
      <c r="V295" s="33"/>
      <c r="W295" s="33"/>
      <c r="X295" s="33"/>
      <c r="Y295" s="33"/>
      <c r="Z295" s="33"/>
      <c r="AA295" s="33"/>
      <c r="AB295" s="33"/>
      <c r="AC295" s="33"/>
      <c r="AD295" s="33"/>
      <c r="AE295" s="33"/>
      <c r="AF295" s="33"/>
      <c r="AG295" s="33"/>
      <c r="AH295" s="33"/>
      <c r="AI295" s="33"/>
      <c r="AJ295" s="33"/>
      <c r="AK295" s="33"/>
      <c r="AL295" s="33"/>
      <c r="AM295" s="33"/>
      <c r="AN295" s="33"/>
      <c r="AO295" s="33"/>
      <c r="AP295" s="33"/>
      <c r="AQ295" s="33"/>
      <c r="AR295" s="33"/>
      <c r="AS295" s="33"/>
      <c r="AT295" s="33"/>
      <c r="AU295" s="33"/>
      <c r="AV295" s="33"/>
      <c r="AW295" s="33"/>
      <c r="AX295" s="33"/>
      <c r="AY295" s="33"/>
      <c r="AZ295" s="33"/>
      <c r="BA295" s="33"/>
      <c r="BB295" s="33"/>
      <c r="BC295" s="33"/>
      <c r="BD295" s="33"/>
      <c r="BE295" s="33"/>
      <c r="BF295" s="33"/>
      <c r="BG295" s="33"/>
      <c r="BH295" s="33"/>
      <c r="BI295" s="33"/>
      <c r="BJ295" s="44"/>
      <c r="BK295" s="44"/>
      <c r="BL295" s="44"/>
      <c r="BM295" s="44"/>
      <c r="BN295" s="44"/>
      <c r="BO295" s="44"/>
    </row>
    <row r="296" spans="1:67">
      <c r="A296" s="11"/>
      <c r="B296" s="11" t="s">
        <v>1630</v>
      </c>
      <c r="C296" s="11"/>
      <c r="D296" s="11"/>
      <c r="E296" s="90">
        <f>E291*(E294/E290)^E295</f>
        <v>1460967.3596524342</v>
      </c>
      <c r="F296" s="10" t="s">
        <v>1579</v>
      </c>
      <c r="G296" s="33"/>
      <c r="H296" s="33"/>
      <c r="I296" s="33"/>
      <c r="J296" s="33"/>
      <c r="K296" s="33"/>
      <c r="L296" s="33"/>
      <c r="M296" s="33"/>
      <c r="N296" s="33"/>
      <c r="O296" s="33"/>
      <c r="P296" s="33"/>
      <c r="Q296" s="33"/>
      <c r="R296" s="33"/>
      <c r="S296" s="33"/>
      <c r="T296" s="33"/>
      <c r="U296" s="33"/>
      <c r="V296" s="33"/>
      <c r="W296" s="33"/>
      <c r="X296" s="33"/>
      <c r="Y296" s="33"/>
      <c r="Z296" s="33"/>
      <c r="AA296" s="33"/>
      <c r="AB296" s="33"/>
      <c r="AC296" s="33"/>
      <c r="AD296" s="33"/>
      <c r="AE296" s="33"/>
      <c r="AF296" s="33"/>
      <c r="AG296" s="33"/>
      <c r="AH296" s="33"/>
      <c r="AI296" s="33"/>
      <c r="AJ296" s="33"/>
      <c r="AK296" s="33"/>
      <c r="AL296" s="33"/>
      <c r="AM296" s="33"/>
      <c r="AN296" s="33"/>
      <c r="AO296" s="33"/>
      <c r="AP296" s="33"/>
      <c r="AQ296" s="33"/>
      <c r="AR296" s="33"/>
      <c r="AS296" s="33"/>
      <c r="AT296" s="33"/>
      <c r="AU296" s="33"/>
      <c r="AV296" s="33"/>
      <c r="AW296" s="33"/>
      <c r="AX296" s="33"/>
      <c r="AY296" s="33"/>
      <c r="AZ296" s="33"/>
      <c r="BA296" s="33"/>
      <c r="BB296" s="33"/>
      <c r="BC296" s="33"/>
      <c r="BD296" s="33"/>
      <c r="BE296" s="33"/>
      <c r="BF296" s="33"/>
      <c r="BG296" s="33"/>
      <c r="BH296" s="33"/>
      <c r="BI296" s="33"/>
      <c r="BJ296" s="44"/>
      <c r="BK296" s="44"/>
      <c r="BL296" s="44"/>
      <c r="BM296" s="44"/>
      <c r="BN296" s="44"/>
      <c r="BO296" s="44"/>
    </row>
    <row r="297" spans="1:67">
      <c r="A297" s="11"/>
      <c r="B297" s="11" t="s">
        <v>1631</v>
      </c>
      <c r="C297" s="11"/>
      <c r="D297" s="11"/>
      <c r="E297" s="90">
        <f>E296*(1+E283)*E285</f>
        <v>52229583.10757453</v>
      </c>
      <c r="F297" s="10" t="s">
        <v>1586</v>
      </c>
      <c r="G297" s="33"/>
      <c r="H297" s="33"/>
      <c r="I297" s="33"/>
      <c r="J297" s="33"/>
      <c r="K297" s="33"/>
      <c r="L297" s="33"/>
      <c r="M297" s="33"/>
      <c r="N297" s="33"/>
      <c r="O297" s="33"/>
      <c r="P297" s="33"/>
      <c r="Q297" s="33"/>
      <c r="R297" s="33"/>
      <c r="S297" s="33"/>
      <c r="T297" s="33"/>
      <c r="U297" s="33"/>
      <c r="V297" s="33"/>
      <c r="W297" s="33"/>
      <c r="X297" s="33"/>
      <c r="Y297" s="33"/>
      <c r="Z297" s="33"/>
      <c r="AA297" s="33"/>
      <c r="AB297" s="33"/>
      <c r="AC297" s="33"/>
      <c r="AD297" s="33"/>
      <c r="AE297" s="33"/>
      <c r="AF297" s="33"/>
      <c r="AG297" s="33"/>
      <c r="AH297" s="33"/>
      <c r="AI297" s="33"/>
      <c r="AJ297" s="33"/>
      <c r="AK297" s="33"/>
      <c r="AL297" s="33"/>
      <c r="AM297" s="33"/>
      <c r="AN297" s="33"/>
      <c r="AO297" s="33"/>
      <c r="AP297" s="33"/>
      <c r="AQ297" s="33"/>
      <c r="AR297" s="33"/>
      <c r="AS297" s="33"/>
      <c r="AT297" s="33"/>
      <c r="AU297" s="33"/>
      <c r="AV297" s="33"/>
      <c r="AW297" s="33"/>
      <c r="AX297" s="33"/>
      <c r="AY297" s="33"/>
      <c r="AZ297" s="33"/>
      <c r="BA297" s="33"/>
      <c r="BB297" s="33"/>
      <c r="BC297" s="33"/>
      <c r="BD297" s="33"/>
      <c r="BE297" s="33"/>
      <c r="BF297" s="33"/>
      <c r="BG297" s="33"/>
      <c r="BH297" s="33"/>
      <c r="BI297" s="33"/>
      <c r="BJ297" s="44"/>
      <c r="BK297" s="44"/>
      <c r="BL297" s="44"/>
      <c r="BM297" s="44"/>
      <c r="BN297" s="44"/>
      <c r="BO297" s="44"/>
    </row>
    <row r="298" spans="1:67">
      <c r="A298" s="11"/>
      <c r="B298" s="22" t="s">
        <v>1640</v>
      </c>
      <c r="C298" s="22"/>
      <c r="D298" s="22"/>
      <c r="E298" s="89">
        <f>E297*E293</f>
        <v>104459166.21514906</v>
      </c>
      <c r="F298" s="37" t="s">
        <v>13</v>
      </c>
      <c r="G298" s="33"/>
      <c r="H298" s="33"/>
      <c r="I298" s="33"/>
      <c r="J298" s="33"/>
      <c r="K298" s="33"/>
      <c r="L298" s="33"/>
      <c r="M298" s="33"/>
      <c r="N298" s="33"/>
      <c r="O298" s="33"/>
      <c r="P298" s="33"/>
      <c r="Q298" s="33"/>
      <c r="R298" s="33"/>
      <c r="S298" s="33"/>
      <c r="T298" s="33"/>
      <c r="U298" s="33"/>
      <c r="V298" s="33"/>
      <c r="W298" s="33"/>
      <c r="X298" s="33"/>
      <c r="Y298" s="33"/>
      <c r="Z298" s="33"/>
      <c r="AA298" s="33"/>
      <c r="AB298" s="33"/>
      <c r="AC298" s="33"/>
      <c r="AD298" s="33"/>
      <c r="AE298" s="33"/>
      <c r="AF298" s="33"/>
      <c r="AG298" s="33"/>
      <c r="AH298" s="33"/>
      <c r="AI298" s="33"/>
      <c r="AJ298" s="33"/>
      <c r="AK298" s="33"/>
      <c r="AL298" s="33"/>
      <c r="AM298" s="33"/>
      <c r="AN298" s="33"/>
      <c r="AO298" s="33"/>
      <c r="AP298" s="33"/>
      <c r="AQ298" s="33"/>
      <c r="AR298" s="33"/>
      <c r="AS298" s="33"/>
      <c r="AT298" s="33"/>
      <c r="AU298" s="33"/>
      <c r="AV298" s="33"/>
      <c r="AW298" s="33"/>
      <c r="AX298" s="33"/>
      <c r="AY298" s="33"/>
      <c r="AZ298" s="33"/>
      <c r="BA298" s="33"/>
      <c r="BB298" s="33"/>
      <c r="BC298" s="33"/>
      <c r="BD298" s="33"/>
      <c r="BE298" s="33"/>
      <c r="BF298" s="33"/>
      <c r="BG298" s="33"/>
      <c r="BH298" s="33"/>
      <c r="BI298" s="33"/>
      <c r="BJ298" s="44"/>
      <c r="BK298" s="44"/>
      <c r="BL298" s="44"/>
      <c r="BM298" s="44"/>
      <c r="BN298" s="44"/>
      <c r="BO298" s="44"/>
    </row>
    <row r="299" spans="1:67">
      <c r="A299" s="11"/>
      <c r="B299" s="11"/>
      <c r="C299" s="11"/>
      <c r="D299" s="11"/>
      <c r="E299" s="33"/>
      <c r="F299" s="43"/>
      <c r="G299" s="33"/>
      <c r="H299" s="33"/>
      <c r="I299" s="33"/>
      <c r="J299" s="33"/>
      <c r="K299" s="33"/>
      <c r="L299" s="33"/>
      <c r="M299" s="33"/>
      <c r="N299" s="33"/>
      <c r="O299" s="33"/>
      <c r="P299" s="33"/>
      <c r="Q299" s="33"/>
      <c r="R299" s="33"/>
      <c r="S299" s="33"/>
      <c r="T299" s="33"/>
      <c r="U299" s="33"/>
      <c r="V299" s="33"/>
      <c r="W299" s="33"/>
      <c r="X299" s="33"/>
      <c r="Y299" s="33"/>
      <c r="Z299" s="33"/>
      <c r="AA299" s="33"/>
      <c r="AB299" s="33"/>
      <c r="AC299" s="33"/>
      <c r="AD299" s="33"/>
      <c r="AE299" s="33"/>
      <c r="AF299" s="33"/>
      <c r="AG299" s="33"/>
      <c r="AH299" s="33"/>
      <c r="AI299" s="33"/>
      <c r="AJ299" s="33"/>
      <c r="AK299" s="33"/>
      <c r="AL299" s="33"/>
      <c r="AM299" s="33"/>
      <c r="AN299" s="33"/>
      <c r="AO299" s="33"/>
      <c r="AP299" s="33"/>
      <c r="AQ299" s="33"/>
      <c r="AR299" s="33"/>
      <c r="AS299" s="33"/>
      <c r="AT299" s="33"/>
      <c r="AU299" s="33"/>
      <c r="AV299" s="33"/>
      <c r="AW299" s="33"/>
      <c r="AX299" s="33"/>
      <c r="AY299" s="33"/>
      <c r="AZ299" s="33"/>
      <c r="BA299" s="33"/>
      <c r="BB299" s="33"/>
      <c r="BC299" s="33"/>
      <c r="BD299" s="33"/>
      <c r="BE299" s="33"/>
      <c r="BF299" s="33"/>
      <c r="BG299" s="33"/>
      <c r="BH299" s="33"/>
      <c r="BI299" s="33"/>
      <c r="BJ299" s="44"/>
      <c r="BK299" s="44"/>
      <c r="BL299" s="44"/>
      <c r="BM299" s="44"/>
      <c r="BN299" s="44"/>
      <c r="BO299" s="44"/>
    </row>
    <row r="300" spans="1:67">
      <c r="A300" s="11"/>
      <c r="B300" s="11" t="s">
        <v>1632</v>
      </c>
      <c r="C300" s="11"/>
      <c r="D300" s="11"/>
      <c r="E300" s="16">
        <v>0.2</v>
      </c>
      <c r="F300" s="10" t="s">
        <v>1633</v>
      </c>
      <c r="G300" s="33"/>
      <c r="H300" s="33"/>
      <c r="I300" s="33"/>
      <c r="J300" s="33"/>
      <c r="K300" s="33"/>
      <c r="L300" s="33"/>
      <c r="M300" s="33"/>
      <c r="N300" s="33"/>
      <c r="O300" s="33"/>
      <c r="P300" s="33"/>
      <c r="Q300" s="33"/>
      <c r="R300" s="33"/>
      <c r="S300" s="33"/>
      <c r="T300" s="33"/>
      <c r="U300" s="33"/>
      <c r="V300" s="33"/>
      <c r="W300" s="33"/>
      <c r="X300" s="33"/>
      <c r="Y300" s="33"/>
      <c r="Z300" s="33"/>
      <c r="AA300" s="33"/>
      <c r="AB300" s="33"/>
      <c r="AC300" s="33"/>
      <c r="AD300" s="33"/>
      <c r="AE300" s="33"/>
      <c r="AF300" s="33"/>
      <c r="AG300" s="33"/>
      <c r="AH300" s="33"/>
      <c r="AI300" s="33"/>
      <c r="AJ300" s="33"/>
      <c r="AK300" s="33"/>
      <c r="AL300" s="33"/>
      <c r="AM300" s="33"/>
      <c r="AN300" s="33"/>
      <c r="AO300" s="33"/>
      <c r="AP300" s="33"/>
      <c r="AQ300" s="33"/>
      <c r="AR300" s="33"/>
      <c r="AS300" s="33"/>
      <c r="AT300" s="33"/>
      <c r="AU300" s="33"/>
      <c r="AV300" s="33"/>
      <c r="AW300" s="33"/>
      <c r="AX300" s="33"/>
      <c r="AY300" s="33"/>
      <c r="AZ300" s="33"/>
      <c r="BA300" s="33"/>
      <c r="BB300" s="33"/>
      <c r="BC300" s="33"/>
      <c r="BD300" s="33"/>
      <c r="BE300" s="33"/>
      <c r="BF300" s="33"/>
      <c r="BG300" s="33"/>
      <c r="BH300" s="33"/>
      <c r="BI300" s="33"/>
      <c r="BJ300" s="44"/>
      <c r="BK300" s="44"/>
      <c r="BL300" s="44"/>
      <c r="BM300" s="44"/>
      <c r="BN300" s="44"/>
      <c r="BO300" s="44"/>
    </row>
    <row r="301" spans="1:67">
      <c r="A301" s="11"/>
      <c r="B301" s="11"/>
      <c r="C301" s="11"/>
      <c r="D301" s="11"/>
      <c r="E301" s="33"/>
      <c r="F301" s="33"/>
      <c r="G301" s="33"/>
      <c r="H301" s="33"/>
      <c r="I301" s="33"/>
      <c r="J301" s="33"/>
      <c r="K301" s="33"/>
      <c r="L301" s="33"/>
      <c r="M301" s="33"/>
      <c r="N301" s="33"/>
      <c r="O301" s="33"/>
      <c r="P301" s="33"/>
      <c r="Q301" s="33"/>
      <c r="R301" s="33"/>
      <c r="S301" s="33"/>
      <c r="T301" s="33"/>
      <c r="U301" s="33"/>
      <c r="V301" s="33"/>
      <c r="W301" s="33"/>
      <c r="X301" s="33"/>
      <c r="Y301" s="33"/>
      <c r="Z301" s="33"/>
      <c r="AA301" s="33"/>
      <c r="AB301" s="33"/>
      <c r="AC301" s="33"/>
      <c r="AD301" s="33"/>
      <c r="AE301" s="33"/>
      <c r="AF301" s="33"/>
      <c r="AG301" s="33"/>
      <c r="AH301" s="33"/>
      <c r="AI301" s="33"/>
      <c r="AJ301" s="33"/>
      <c r="AK301" s="33"/>
      <c r="AL301" s="33"/>
      <c r="AM301" s="33"/>
      <c r="AN301" s="33"/>
      <c r="AO301" s="33"/>
      <c r="AP301" s="33"/>
      <c r="AQ301" s="33"/>
      <c r="AR301" s="33"/>
      <c r="AS301" s="33"/>
      <c r="AT301" s="33"/>
      <c r="AU301" s="33"/>
      <c r="AV301" s="33"/>
      <c r="AW301" s="33"/>
      <c r="AX301" s="33"/>
      <c r="AY301" s="33"/>
      <c r="AZ301" s="33"/>
      <c r="BA301" s="33"/>
      <c r="BB301" s="33"/>
      <c r="BC301" s="33"/>
      <c r="BD301" s="33"/>
      <c r="BE301" s="33"/>
      <c r="BF301" s="33"/>
      <c r="BG301" s="33"/>
      <c r="BH301" s="33"/>
      <c r="BI301" s="33"/>
      <c r="BJ301" s="44"/>
      <c r="BK301" s="44"/>
      <c r="BL301" s="44"/>
      <c r="BM301" s="44"/>
      <c r="BN301" s="44"/>
      <c r="BO301" s="44"/>
    </row>
    <row r="302" spans="1:67">
      <c r="A302" s="11"/>
      <c r="B302" s="1" t="s">
        <v>1635</v>
      </c>
      <c r="C302" s="1"/>
      <c r="D302" s="11"/>
      <c r="E302" s="33"/>
      <c r="F302" s="33"/>
      <c r="G302" s="33"/>
      <c r="H302" s="33"/>
      <c r="I302" s="33"/>
      <c r="J302" s="33"/>
      <c r="K302" s="33"/>
      <c r="L302" s="33"/>
      <c r="M302" s="33"/>
      <c r="N302" s="33"/>
      <c r="O302" s="33"/>
      <c r="P302" s="33"/>
      <c r="Q302" s="33"/>
      <c r="R302" s="33"/>
      <c r="S302" s="33"/>
      <c r="T302" s="33"/>
      <c r="U302" s="33"/>
      <c r="V302" s="33"/>
      <c r="W302" s="33"/>
      <c r="X302" s="33"/>
      <c r="Y302" s="33"/>
      <c r="Z302" s="33"/>
      <c r="AA302" s="33"/>
      <c r="AB302" s="33"/>
      <c r="AC302" s="33"/>
      <c r="AD302" s="33"/>
      <c r="AE302" s="33"/>
      <c r="AF302" s="33"/>
      <c r="AG302" s="33"/>
      <c r="AH302" s="33"/>
      <c r="AI302" s="33"/>
      <c r="AJ302" s="33"/>
      <c r="AK302" s="33"/>
      <c r="AL302" s="33"/>
      <c r="AM302" s="33"/>
      <c r="AN302" s="33"/>
      <c r="AO302" s="33"/>
      <c r="AP302" s="33"/>
      <c r="AQ302" s="33"/>
      <c r="AR302" s="33"/>
      <c r="AS302" s="33"/>
      <c r="AT302" s="33"/>
      <c r="AU302" s="33"/>
      <c r="AV302" s="33"/>
      <c r="AW302" s="33"/>
      <c r="AX302" s="33"/>
      <c r="AY302" s="33"/>
      <c r="AZ302" s="33"/>
      <c r="BA302" s="33"/>
      <c r="BB302" s="33"/>
      <c r="BC302" s="33"/>
      <c r="BD302" s="33"/>
      <c r="BE302" s="33"/>
      <c r="BF302" s="33"/>
      <c r="BG302" s="33"/>
      <c r="BH302" s="33"/>
      <c r="BI302" s="33"/>
      <c r="BJ302" s="44"/>
      <c r="BK302" s="44"/>
      <c r="BL302" s="44"/>
      <c r="BM302" s="44"/>
      <c r="BN302" s="44"/>
      <c r="BO302" s="44"/>
    </row>
    <row r="303" spans="1:67">
      <c r="A303" s="11"/>
      <c r="B303" s="1" t="s">
        <v>1636</v>
      </c>
      <c r="C303" s="1"/>
      <c r="D303" s="11"/>
      <c r="E303" s="33"/>
      <c r="F303" s="33"/>
      <c r="G303" s="33"/>
      <c r="H303" s="33"/>
      <c r="I303" s="33"/>
      <c r="J303" s="33"/>
      <c r="K303" s="33"/>
      <c r="L303" s="33"/>
      <c r="M303" s="33"/>
      <c r="N303" s="33"/>
      <c r="O303" s="33"/>
      <c r="P303" s="33"/>
      <c r="Q303" s="33"/>
      <c r="R303" s="33"/>
      <c r="S303" s="33"/>
      <c r="T303" s="33"/>
      <c r="U303" s="33"/>
      <c r="V303" s="33"/>
      <c r="W303" s="33"/>
      <c r="X303" s="33"/>
      <c r="Y303" s="33"/>
      <c r="Z303" s="33"/>
      <c r="AA303" s="33"/>
      <c r="AB303" s="33"/>
      <c r="AC303" s="33"/>
      <c r="AD303" s="33"/>
      <c r="AE303" s="33"/>
      <c r="AF303" s="33"/>
      <c r="AG303" s="33"/>
      <c r="AH303" s="33"/>
      <c r="AI303" s="33"/>
      <c r="AJ303" s="33"/>
      <c r="AK303" s="33"/>
      <c r="AL303" s="33"/>
      <c r="AM303" s="33"/>
      <c r="AN303" s="33"/>
      <c r="AO303" s="33"/>
      <c r="AP303" s="33"/>
      <c r="AQ303" s="33"/>
      <c r="AR303" s="33"/>
      <c r="AS303" s="33"/>
      <c r="AT303" s="33"/>
      <c r="AU303" s="33"/>
      <c r="AV303" s="33"/>
      <c r="AW303" s="33"/>
      <c r="AX303" s="33"/>
      <c r="AY303" s="33"/>
      <c r="AZ303" s="33"/>
      <c r="BA303" s="33"/>
      <c r="BB303" s="33"/>
      <c r="BC303" s="33"/>
      <c r="BD303" s="33"/>
      <c r="BE303" s="33"/>
      <c r="BF303" s="33"/>
      <c r="BG303" s="33"/>
      <c r="BH303" s="33"/>
      <c r="BI303" s="33"/>
      <c r="BJ303" s="44"/>
      <c r="BK303" s="44"/>
      <c r="BL303" s="44"/>
      <c r="BM303" s="44"/>
      <c r="BN303" s="44"/>
      <c r="BO303" s="44"/>
    </row>
    <row r="304" spans="1:67">
      <c r="A304" s="11"/>
      <c r="B304" s="36" t="s">
        <v>1641</v>
      </c>
      <c r="C304" s="36"/>
      <c r="D304" s="11"/>
      <c r="E304" s="33"/>
      <c r="F304" s="33"/>
      <c r="G304" s="33"/>
      <c r="H304" s="33"/>
      <c r="I304" s="33"/>
      <c r="J304" s="33"/>
      <c r="K304" s="33"/>
      <c r="L304" s="33"/>
      <c r="M304" s="33"/>
      <c r="N304" s="33"/>
      <c r="O304" s="33"/>
      <c r="P304" s="33"/>
      <c r="Q304" s="33"/>
      <c r="R304" s="33"/>
      <c r="S304" s="33"/>
      <c r="T304" s="33"/>
      <c r="U304" s="33"/>
      <c r="V304" s="33"/>
      <c r="W304" s="33"/>
      <c r="X304" s="33"/>
      <c r="Y304" s="33"/>
      <c r="Z304" s="33"/>
      <c r="AA304" s="33"/>
      <c r="AB304" s="33"/>
      <c r="AC304" s="33"/>
      <c r="AD304" s="33"/>
      <c r="AE304" s="33"/>
      <c r="AF304" s="33"/>
      <c r="AG304" s="33"/>
      <c r="AH304" s="33"/>
      <c r="AI304" s="33"/>
      <c r="AJ304" s="33"/>
      <c r="AK304" s="33"/>
      <c r="AL304" s="33"/>
      <c r="AM304" s="33"/>
      <c r="AN304" s="33"/>
      <c r="AO304" s="33"/>
      <c r="AP304" s="33"/>
      <c r="AQ304" s="33"/>
      <c r="AR304" s="33"/>
      <c r="AS304" s="33"/>
      <c r="AT304" s="33"/>
      <c r="AU304" s="33"/>
      <c r="AV304" s="33"/>
      <c r="AW304" s="33"/>
      <c r="AX304" s="33"/>
      <c r="AY304" s="33"/>
      <c r="AZ304" s="33"/>
      <c r="BA304" s="33"/>
      <c r="BB304" s="33"/>
      <c r="BC304" s="33"/>
      <c r="BD304" s="33"/>
      <c r="BE304" s="33"/>
      <c r="BF304" s="33"/>
      <c r="BG304" s="33"/>
      <c r="BH304" s="33"/>
      <c r="BI304" s="33"/>
      <c r="BJ304" s="44"/>
      <c r="BK304" s="44"/>
      <c r="BL304" s="44"/>
      <c r="BM304" s="44"/>
      <c r="BN304" s="44"/>
      <c r="BO304" s="44"/>
    </row>
    <row r="305" spans="1:67">
      <c r="A305" s="11"/>
      <c r="B305" s="11"/>
      <c r="C305" s="11"/>
      <c r="D305" s="11"/>
      <c r="E305" s="33"/>
      <c r="F305" s="33"/>
      <c r="G305" s="33"/>
      <c r="H305" s="33"/>
      <c r="I305" s="33"/>
      <c r="J305" s="33"/>
      <c r="K305" s="33"/>
      <c r="L305" s="33"/>
      <c r="M305" s="33"/>
      <c r="N305" s="33"/>
      <c r="O305" s="33"/>
      <c r="P305" s="33"/>
      <c r="Q305" s="33"/>
      <c r="R305" s="33"/>
      <c r="S305" s="33"/>
      <c r="T305" s="33"/>
      <c r="U305" s="33"/>
      <c r="V305" s="33"/>
      <c r="W305" s="33"/>
      <c r="X305" s="33"/>
      <c r="Y305" s="33"/>
      <c r="Z305" s="33"/>
      <c r="AA305" s="33"/>
      <c r="AB305" s="33"/>
      <c r="AC305" s="33"/>
      <c r="AD305" s="33"/>
      <c r="AE305" s="33"/>
      <c r="AF305" s="33"/>
      <c r="AG305" s="33"/>
      <c r="AH305" s="33"/>
      <c r="AI305" s="33"/>
      <c r="AJ305" s="33"/>
      <c r="AK305" s="33"/>
      <c r="AL305" s="33"/>
      <c r="AM305" s="33"/>
      <c r="AN305" s="33"/>
      <c r="AO305" s="33"/>
      <c r="AP305" s="33"/>
      <c r="AQ305" s="33"/>
      <c r="AR305" s="33"/>
      <c r="AS305" s="33"/>
      <c r="AT305" s="33"/>
      <c r="AU305" s="33"/>
      <c r="AV305" s="33"/>
      <c r="AW305" s="33"/>
      <c r="AX305" s="33"/>
      <c r="AY305" s="33"/>
      <c r="AZ305" s="33"/>
      <c r="BA305" s="33"/>
      <c r="BB305" s="33"/>
      <c r="BC305" s="33"/>
      <c r="BD305" s="33"/>
      <c r="BE305" s="33"/>
      <c r="BF305" s="33"/>
      <c r="BG305" s="33"/>
      <c r="BH305" s="33"/>
      <c r="BI305" s="33"/>
      <c r="BJ305" s="44"/>
      <c r="BK305" s="44"/>
      <c r="BL305" s="44"/>
      <c r="BM305" s="44"/>
      <c r="BN305" s="44"/>
      <c r="BO305" s="44"/>
    </row>
    <row r="306" spans="1:67">
      <c r="A306" s="11"/>
      <c r="B306" s="11" t="s">
        <v>1658</v>
      </c>
      <c r="C306" s="11"/>
      <c r="D306" s="11"/>
      <c r="E306" s="90">
        <f>'01 Major Assumptions'!$D$29</f>
        <v>8</v>
      </c>
      <c r="F306" s="33"/>
      <c r="G306" s="33"/>
      <c r="H306" s="33"/>
      <c r="I306" s="33"/>
      <c r="J306" s="33"/>
      <c r="K306" s="33"/>
      <c r="L306" s="33"/>
      <c r="M306" s="33"/>
      <c r="N306" s="33"/>
      <c r="O306" s="33"/>
      <c r="P306" s="33"/>
      <c r="Q306" s="33"/>
      <c r="R306" s="33"/>
      <c r="S306" s="33"/>
      <c r="T306" s="33"/>
      <c r="U306" s="33"/>
      <c r="V306" s="33"/>
      <c r="W306" s="33"/>
      <c r="X306" s="33"/>
      <c r="Y306" s="33"/>
      <c r="Z306" s="33"/>
      <c r="AA306" s="33"/>
      <c r="AB306" s="33"/>
      <c r="AC306" s="33"/>
      <c r="AD306" s="33"/>
      <c r="AE306" s="33"/>
      <c r="AF306" s="33"/>
      <c r="AG306" s="33"/>
      <c r="AH306" s="33"/>
      <c r="AI306" s="33"/>
      <c r="AJ306" s="33"/>
      <c r="AK306" s="33"/>
      <c r="AL306" s="33"/>
      <c r="AM306" s="33"/>
      <c r="AN306" s="33"/>
      <c r="AO306" s="33"/>
      <c r="AP306" s="33"/>
      <c r="AQ306" s="33"/>
      <c r="AR306" s="33"/>
      <c r="AS306" s="33"/>
      <c r="AT306" s="33"/>
      <c r="AU306" s="33"/>
      <c r="AV306" s="33"/>
      <c r="AW306" s="33"/>
      <c r="AX306" s="33"/>
      <c r="AY306" s="33"/>
      <c r="AZ306" s="33"/>
      <c r="BA306" s="33"/>
      <c r="BB306" s="33"/>
      <c r="BC306" s="33"/>
      <c r="BD306" s="33"/>
      <c r="BE306" s="33"/>
      <c r="BF306" s="33"/>
      <c r="BG306" s="33"/>
      <c r="BH306" s="33"/>
      <c r="BI306" s="33"/>
      <c r="BJ306" s="44"/>
      <c r="BK306" s="44"/>
      <c r="BL306" s="44"/>
      <c r="BM306" s="44"/>
      <c r="BN306" s="44"/>
      <c r="BO306" s="44"/>
    </row>
    <row r="307" spans="1:67">
      <c r="A307" s="11"/>
      <c r="B307" s="11" t="s">
        <v>1659</v>
      </c>
      <c r="C307" s="11"/>
      <c r="D307" s="11"/>
      <c r="E307" s="90">
        <v>16</v>
      </c>
      <c r="F307" s="33"/>
      <c r="G307" s="33"/>
      <c r="H307" s="33"/>
      <c r="I307" s="33"/>
      <c r="J307" s="33"/>
      <c r="K307" s="33"/>
      <c r="L307" s="33"/>
      <c r="M307" s="33"/>
      <c r="N307" s="33"/>
      <c r="O307" s="33"/>
      <c r="P307" s="33"/>
      <c r="Q307" s="33"/>
      <c r="R307" s="33"/>
      <c r="S307" s="33"/>
      <c r="T307" s="33"/>
      <c r="U307" s="33"/>
      <c r="V307" s="33"/>
      <c r="W307" s="33"/>
      <c r="X307" s="33"/>
      <c r="Y307" s="33"/>
      <c r="Z307" s="33"/>
      <c r="AA307" s="33"/>
      <c r="AB307" s="33"/>
      <c r="AC307" s="33"/>
      <c r="AD307" s="33"/>
      <c r="AE307" s="33"/>
      <c r="AF307" s="33"/>
      <c r="AG307" s="33"/>
      <c r="AH307" s="33"/>
      <c r="AI307" s="33"/>
      <c r="AJ307" s="33"/>
      <c r="AK307" s="33"/>
      <c r="AL307" s="33"/>
      <c r="AM307" s="33"/>
      <c r="AN307" s="33"/>
      <c r="AO307" s="33"/>
      <c r="AP307" s="33"/>
      <c r="AQ307" s="33"/>
      <c r="AR307" s="33"/>
      <c r="AS307" s="33"/>
      <c r="AT307" s="33"/>
      <c r="AU307" s="33"/>
      <c r="AV307" s="33"/>
      <c r="AW307" s="33"/>
      <c r="AX307" s="33"/>
      <c r="AY307" s="33"/>
      <c r="AZ307" s="33"/>
      <c r="BA307" s="33"/>
      <c r="BB307" s="33"/>
      <c r="BC307" s="33"/>
      <c r="BD307" s="33"/>
      <c r="BE307" s="33"/>
      <c r="BF307" s="33"/>
      <c r="BG307" s="33"/>
      <c r="BH307" s="33"/>
      <c r="BI307" s="33"/>
      <c r="BJ307" s="44"/>
      <c r="BK307" s="44"/>
      <c r="BL307" s="44"/>
      <c r="BM307" s="44"/>
      <c r="BN307" s="44"/>
      <c r="BO307" s="44"/>
    </row>
    <row r="308" spans="1:67">
      <c r="A308" s="11"/>
      <c r="B308" s="11" t="s">
        <v>1660</v>
      </c>
      <c r="C308" s="11"/>
      <c r="D308" s="11"/>
      <c r="E308" s="6">
        <f>$E$306/$E$307</f>
        <v>0.5</v>
      </c>
      <c r="F308" s="33"/>
      <c r="G308" s="33"/>
      <c r="H308" s="33"/>
      <c r="I308" s="33"/>
      <c r="J308" s="33"/>
      <c r="K308" s="33"/>
      <c r="L308" s="33"/>
      <c r="M308" s="33"/>
      <c r="N308" s="33"/>
      <c r="O308" s="33"/>
      <c r="P308" s="33"/>
      <c r="Q308" s="33"/>
      <c r="R308" s="33"/>
      <c r="S308" s="33"/>
      <c r="T308" s="33"/>
      <c r="U308" s="33"/>
      <c r="V308" s="33"/>
      <c r="W308" s="33"/>
      <c r="X308" s="33"/>
      <c r="Y308" s="33"/>
      <c r="Z308" s="33"/>
      <c r="AA308" s="33"/>
      <c r="AB308" s="33"/>
      <c r="AC308" s="33"/>
      <c r="AD308" s="33"/>
      <c r="AE308" s="33"/>
      <c r="AF308" s="33"/>
      <c r="AG308" s="33"/>
      <c r="AH308" s="33"/>
      <c r="AI308" s="33"/>
      <c r="AJ308" s="33"/>
      <c r="AK308" s="33"/>
      <c r="AL308" s="33"/>
      <c r="AM308" s="33"/>
      <c r="AN308" s="33"/>
      <c r="AO308" s="33"/>
      <c r="AP308" s="33"/>
      <c r="AQ308" s="33"/>
      <c r="AR308" s="33"/>
      <c r="AS308" s="33"/>
      <c r="AT308" s="33"/>
      <c r="AU308" s="33"/>
      <c r="AV308" s="33"/>
      <c r="AW308" s="33"/>
      <c r="AX308" s="33"/>
      <c r="AY308" s="33"/>
      <c r="AZ308" s="33"/>
      <c r="BA308" s="33"/>
      <c r="BB308" s="33"/>
      <c r="BC308" s="33"/>
      <c r="BD308" s="33"/>
      <c r="BE308" s="33"/>
      <c r="BF308" s="33"/>
      <c r="BG308" s="33"/>
      <c r="BH308" s="33"/>
      <c r="BI308" s="33"/>
      <c r="BJ308" s="44"/>
      <c r="BK308" s="44"/>
      <c r="BL308" s="44"/>
      <c r="BM308" s="44"/>
      <c r="BN308" s="44"/>
      <c r="BO308" s="44"/>
    </row>
    <row r="309" spans="1:67">
      <c r="A309" s="1" t="s">
        <v>1769</v>
      </c>
      <c r="B309" s="1" t="s">
        <v>1770</v>
      </c>
      <c r="C309" s="1"/>
      <c r="D309" s="11"/>
      <c r="E309" s="33"/>
      <c r="F309" s="33"/>
      <c r="G309" s="33"/>
      <c r="H309" s="33"/>
      <c r="I309" s="33"/>
      <c r="J309" s="33"/>
      <c r="K309" s="33"/>
      <c r="L309" s="33"/>
      <c r="M309" s="33"/>
      <c r="N309" s="33"/>
      <c r="O309" s="33"/>
      <c r="P309" s="33"/>
      <c r="Q309" s="33"/>
      <c r="R309" s="33"/>
      <c r="S309" s="33"/>
      <c r="T309" s="33"/>
      <c r="U309" s="33"/>
      <c r="V309" s="33"/>
      <c r="W309" s="33"/>
      <c r="X309" s="33"/>
      <c r="Y309" s="33"/>
      <c r="Z309" s="33"/>
      <c r="AA309" s="33"/>
      <c r="AB309" s="33"/>
      <c r="AC309" s="33"/>
      <c r="AD309" s="33"/>
      <c r="AE309" s="33"/>
      <c r="AF309" s="33"/>
      <c r="AG309" s="33"/>
      <c r="AH309" s="33"/>
      <c r="AI309" s="33"/>
      <c r="AJ309" s="33"/>
      <c r="AK309" s="33"/>
      <c r="AL309" s="33"/>
      <c r="AM309" s="33"/>
      <c r="AN309" s="33"/>
      <c r="AO309" s="33"/>
      <c r="AP309" s="33"/>
      <c r="AQ309" s="33"/>
      <c r="AR309" s="33"/>
      <c r="AS309" s="33"/>
      <c r="AT309" s="33"/>
      <c r="AU309" s="33"/>
      <c r="AV309" s="33"/>
      <c r="AW309" s="33"/>
      <c r="AX309" s="33"/>
      <c r="AY309" s="33"/>
      <c r="AZ309" s="33"/>
      <c r="BA309" s="33"/>
      <c r="BB309" s="33"/>
      <c r="BC309" s="33"/>
      <c r="BD309" s="33"/>
      <c r="BE309" s="33"/>
      <c r="BF309" s="33"/>
      <c r="BG309" s="33"/>
      <c r="BH309" s="33"/>
      <c r="BI309" s="33"/>
      <c r="BJ309" s="44"/>
      <c r="BK309" s="44"/>
      <c r="BL309" s="44"/>
      <c r="BM309" s="44"/>
      <c r="BN309" s="44"/>
      <c r="BO309" s="44"/>
    </row>
    <row r="310" spans="1:67">
      <c r="A310" s="11"/>
      <c r="B310" s="11"/>
      <c r="C310" s="11"/>
      <c r="D310" s="11"/>
      <c r="E310" s="33"/>
      <c r="F310" s="33"/>
      <c r="G310" s="33"/>
      <c r="H310" s="33"/>
      <c r="I310" s="33"/>
      <c r="J310" s="33"/>
      <c r="K310" s="33"/>
      <c r="L310" s="33"/>
      <c r="M310" s="33"/>
      <c r="N310" s="33"/>
      <c r="O310" s="33"/>
      <c r="P310" s="33"/>
      <c r="Q310" s="33"/>
      <c r="R310" s="33"/>
      <c r="S310" s="33"/>
      <c r="T310" s="33"/>
      <c r="U310" s="33"/>
      <c r="V310" s="33"/>
      <c r="W310" s="33"/>
      <c r="X310" s="33"/>
      <c r="Y310" s="33"/>
      <c r="Z310" s="33"/>
      <c r="AA310" s="33"/>
      <c r="AB310" s="33"/>
      <c r="AC310" s="33"/>
      <c r="AD310" s="33"/>
      <c r="AE310" s="33"/>
      <c r="AF310" s="33"/>
      <c r="AG310" s="33"/>
      <c r="AH310" s="33"/>
      <c r="AI310" s="33"/>
      <c r="AJ310" s="33"/>
      <c r="AK310" s="33"/>
      <c r="AL310" s="33"/>
      <c r="AM310" s="33"/>
      <c r="AN310" s="33"/>
      <c r="AO310" s="33"/>
      <c r="AP310" s="33"/>
      <c r="AQ310" s="33"/>
      <c r="AR310" s="33"/>
      <c r="AS310" s="33"/>
      <c r="AT310" s="33"/>
      <c r="AU310" s="33"/>
      <c r="AV310" s="33"/>
      <c r="AW310" s="33"/>
      <c r="AX310" s="33"/>
      <c r="AY310" s="33"/>
      <c r="AZ310" s="33"/>
      <c r="BA310" s="33"/>
      <c r="BB310" s="33"/>
      <c r="BC310" s="33"/>
      <c r="BD310" s="33"/>
      <c r="BE310" s="33"/>
      <c r="BF310" s="33"/>
      <c r="BG310" s="33"/>
      <c r="BH310" s="33"/>
      <c r="BI310" s="33"/>
      <c r="BJ310" s="44"/>
      <c r="BK310" s="44"/>
      <c r="BL310" s="44"/>
      <c r="BM310" s="44"/>
      <c r="BN310" s="44"/>
      <c r="BO310" s="44"/>
    </row>
    <row r="311" spans="1:67">
      <c r="A311" s="18" t="s">
        <v>1764</v>
      </c>
      <c r="B311" s="18"/>
      <c r="C311" s="18"/>
      <c r="D311" s="18"/>
      <c r="E311" s="39"/>
      <c r="F311" s="39"/>
      <c r="G311" s="33"/>
      <c r="H311" s="33"/>
      <c r="I311" s="33"/>
      <c r="J311" s="33"/>
      <c r="K311" s="33"/>
      <c r="L311" s="33"/>
      <c r="M311" s="33"/>
      <c r="N311" s="33"/>
      <c r="O311" s="33"/>
      <c r="P311" s="33"/>
      <c r="Q311" s="33"/>
      <c r="R311" s="33"/>
      <c r="S311" s="33"/>
      <c r="T311" s="33"/>
      <c r="U311" s="33"/>
      <c r="V311" s="33"/>
      <c r="W311" s="33"/>
      <c r="X311" s="33"/>
      <c r="Y311" s="33"/>
      <c r="Z311" s="33"/>
      <c r="AA311" s="33"/>
      <c r="AB311" s="33"/>
      <c r="AC311" s="33"/>
      <c r="AD311" s="33"/>
      <c r="AE311" s="33"/>
      <c r="AF311" s="33"/>
      <c r="AG311" s="33"/>
      <c r="AH311" s="33"/>
      <c r="AI311" s="33"/>
      <c r="AJ311" s="33"/>
      <c r="AK311" s="33"/>
      <c r="AL311" s="33"/>
      <c r="AM311" s="33"/>
      <c r="AN311" s="33"/>
      <c r="AO311" s="33"/>
      <c r="AP311" s="33"/>
      <c r="AQ311" s="33"/>
      <c r="AR311" s="33"/>
      <c r="AS311" s="33"/>
      <c r="AT311" s="33"/>
      <c r="AU311" s="33"/>
      <c r="AV311" s="33"/>
      <c r="AW311" s="33"/>
      <c r="AX311" s="33"/>
      <c r="AY311" s="33"/>
      <c r="AZ311" s="33"/>
      <c r="BA311" s="33"/>
      <c r="BB311" s="33"/>
      <c r="BC311" s="33"/>
      <c r="BD311" s="33"/>
      <c r="BE311" s="33"/>
      <c r="BF311" s="33"/>
      <c r="BG311" s="33"/>
      <c r="BH311" s="33"/>
      <c r="BI311" s="33"/>
      <c r="BJ311" s="44"/>
      <c r="BK311" s="44"/>
      <c r="BL311" s="44"/>
      <c r="BM311" s="44"/>
      <c r="BN311" s="44"/>
      <c r="BO311" s="44"/>
    </row>
    <row r="312" spans="1:67">
      <c r="A312" s="32"/>
      <c r="B312" s="32" t="s">
        <v>1674</v>
      </c>
      <c r="C312" s="32"/>
      <c r="D312" s="11"/>
      <c r="E312" s="33"/>
      <c r="F312" s="90">
        <f>F110+F113+F114</f>
        <v>725000000</v>
      </c>
      <c r="G312" s="33"/>
      <c r="H312" s="33"/>
      <c r="I312" s="33"/>
      <c r="J312" s="33"/>
      <c r="K312" s="33"/>
      <c r="L312" s="33"/>
      <c r="M312" s="33"/>
      <c r="N312" s="33"/>
      <c r="O312" s="33"/>
      <c r="P312" s="33"/>
      <c r="Q312" s="33"/>
      <c r="R312" s="33"/>
      <c r="S312" s="33"/>
      <c r="T312" s="33"/>
      <c r="U312" s="33"/>
      <c r="V312" s="33"/>
      <c r="W312" s="33"/>
      <c r="X312" s="33"/>
      <c r="Y312" s="33"/>
      <c r="Z312" s="33"/>
      <c r="AA312" s="33"/>
      <c r="AB312" s="33"/>
      <c r="AC312" s="33"/>
      <c r="AD312" s="33"/>
      <c r="AE312" s="33"/>
      <c r="AF312" s="33"/>
      <c r="AG312" s="33"/>
      <c r="AH312" s="33"/>
      <c r="AI312" s="33"/>
      <c r="AJ312" s="33"/>
      <c r="AK312" s="33"/>
      <c r="AL312" s="33"/>
      <c r="AM312" s="33"/>
      <c r="AN312" s="33"/>
      <c r="AO312" s="33"/>
      <c r="AP312" s="33"/>
      <c r="AQ312" s="33"/>
      <c r="AR312" s="33"/>
      <c r="AS312" s="33"/>
      <c r="AT312" s="33"/>
      <c r="AU312" s="33"/>
      <c r="AV312" s="33"/>
      <c r="AW312" s="33"/>
      <c r="AX312" s="33"/>
      <c r="AY312" s="33"/>
      <c r="AZ312" s="33"/>
      <c r="BA312" s="33"/>
      <c r="BB312" s="33"/>
      <c r="BC312" s="33"/>
      <c r="BD312" s="33"/>
      <c r="BE312" s="33"/>
      <c r="BF312" s="33"/>
      <c r="BG312" s="33"/>
      <c r="BH312" s="33"/>
      <c r="BI312" s="33"/>
      <c r="BJ312" s="44"/>
      <c r="BK312" s="44"/>
      <c r="BL312" s="44"/>
      <c r="BM312" s="44"/>
      <c r="BN312" s="44"/>
      <c r="BO312" s="44"/>
    </row>
    <row r="313" spans="1:67">
      <c r="A313" s="32"/>
      <c r="B313" s="32" t="s">
        <v>1675</v>
      </c>
      <c r="C313" s="32"/>
      <c r="D313" s="11"/>
      <c r="E313" s="33"/>
      <c r="F313" s="6">
        <f>'01 Major Assumptions'!D224</f>
        <v>0.03</v>
      </c>
      <c r="G313" s="33"/>
      <c r="H313" s="33"/>
      <c r="I313" s="33"/>
      <c r="J313" s="33"/>
      <c r="K313" s="33"/>
      <c r="L313" s="33"/>
      <c r="M313" s="33"/>
      <c r="N313" s="33"/>
      <c r="O313" s="33"/>
      <c r="P313" s="33"/>
      <c r="Q313" s="33"/>
      <c r="R313" s="33"/>
      <c r="S313" s="33"/>
      <c r="T313" s="33"/>
      <c r="U313" s="33"/>
      <c r="V313" s="33"/>
      <c r="W313" s="33"/>
      <c r="X313" s="33"/>
      <c r="Y313" s="33"/>
      <c r="Z313" s="33"/>
      <c r="AA313" s="33"/>
      <c r="AB313" s="33"/>
      <c r="AC313" s="33"/>
      <c r="AD313" s="33"/>
      <c r="AE313" s="33"/>
      <c r="AF313" s="33"/>
      <c r="AG313" s="33"/>
      <c r="AH313" s="33"/>
      <c r="AI313" s="33"/>
      <c r="AJ313" s="33"/>
      <c r="AK313" s="33"/>
      <c r="AL313" s="33"/>
      <c r="AM313" s="33"/>
      <c r="AN313" s="33"/>
      <c r="AO313" s="33"/>
      <c r="AP313" s="33"/>
      <c r="AQ313" s="33"/>
      <c r="AR313" s="33"/>
      <c r="AS313" s="33"/>
      <c r="AT313" s="33"/>
      <c r="AU313" s="33"/>
      <c r="AV313" s="33"/>
      <c r="AW313" s="33"/>
      <c r="AX313" s="33"/>
      <c r="AY313" s="33"/>
      <c r="AZ313" s="33"/>
      <c r="BA313" s="33"/>
      <c r="BB313" s="33"/>
      <c r="BC313" s="33"/>
      <c r="BD313" s="33"/>
      <c r="BE313" s="33"/>
      <c r="BF313" s="33"/>
      <c r="BG313" s="33"/>
      <c r="BH313" s="33"/>
      <c r="BI313" s="33"/>
      <c r="BJ313" s="44"/>
      <c r="BK313" s="44"/>
      <c r="BL313" s="44"/>
      <c r="BM313" s="44"/>
      <c r="BN313" s="44"/>
      <c r="BO313" s="44"/>
    </row>
    <row r="314" spans="1:67">
      <c r="A314" s="32" t="s">
        <v>1676</v>
      </c>
      <c r="B314" s="32" t="s">
        <v>1671</v>
      </c>
      <c r="C314" s="32"/>
      <c r="D314" s="11"/>
      <c r="E314" s="33"/>
      <c r="F314" s="90">
        <f>SUM(G314:BO314)</f>
        <v>212062500</v>
      </c>
      <c r="G314" s="90">
        <f>IF('01 Major Assumptions'!G$15=0,0,$F$312*$F$313/12*'01 Major Assumptions'!G$14)</f>
        <v>0</v>
      </c>
      <c r="H314" s="90">
        <f>IF('01 Major Assumptions'!H$15=0,0,$F$312*$F$313/12*'01 Major Assumptions'!H$14)</f>
        <v>0</v>
      </c>
      <c r="I314" s="90">
        <f>IF('01 Major Assumptions'!I$15=0,0,$F$312*$F$313/12*'01 Major Assumptions'!I$14)</f>
        <v>0</v>
      </c>
      <c r="J314" s="90">
        <f>IF('01 Major Assumptions'!J$15=0,0,$F$312*$F$313/12*'01 Major Assumptions'!J$14)</f>
        <v>0</v>
      </c>
      <c r="K314" s="90">
        <f>IF('01 Major Assumptions'!K$15=0,0,$F$312*$F$313/12*'01 Major Assumptions'!K$14)</f>
        <v>0</v>
      </c>
      <c r="L314" s="90">
        <f>IF('01 Major Assumptions'!L$15=0,0,$F$312*$F$313/12*'01 Major Assumptions'!L$14)</f>
        <v>0</v>
      </c>
      <c r="M314" s="90">
        <f>IF('01 Major Assumptions'!M$15=0,0,$F$312*$F$313/12*'01 Major Assumptions'!M$14)</f>
        <v>0</v>
      </c>
      <c r="N314" s="90">
        <f>IF('01 Major Assumptions'!N$15=0,0,$F$312*$F$313/12*'01 Major Assumptions'!N$14)</f>
        <v>0</v>
      </c>
      <c r="O314" s="90">
        <f>IF('01 Major Assumptions'!O$15=0,0,$F$312*$F$313/12*'01 Major Assumptions'!O$14)</f>
        <v>0</v>
      </c>
      <c r="P314" s="90">
        <f>IF('01 Major Assumptions'!P$15=0,0,$F$312*$F$313/12*'01 Major Assumptions'!P$14)</f>
        <v>0</v>
      </c>
      <c r="Q314" s="90">
        <f>IF('01 Major Assumptions'!Q$15=0,0,$F$312*$F$313/12*'01 Major Assumptions'!Q$14)</f>
        <v>0</v>
      </c>
      <c r="R314" s="90">
        <f>IF('01 Major Assumptions'!R$15=0,0,$F$312*$F$313/12*'01 Major Assumptions'!R$14)</f>
        <v>0</v>
      </c>
      <c r="S314" s="90">
        <f>IF('01 Major Assumptions'!S$15=0,0,$F$312*$F$313/12*'01 Major Assumptions'!S$14)</f>
        <v>0</v>
      </c>
      <c r="T314" s="90">
        <f>IF('01 Major Assumptions'!T$15=0,0,$F$312*$F$313/12*'01 Major Assumptions'!T$14)</f>
        <v>0</v>
      </c>
      <c r="U314" s="90">
        <f>IF('01 Major Assumptions'!U$15=0,0,$F$312*$F$313/12*'01 Major Assumptions'!U$14)</f>
        <v>0</v>
      </c>
      <c r="V314" s="90">
        <f>IF('01 Major Assumptions'!V$15=0,0,$F$312*$F$313/12*'01 Major Assumptions'!V$14)</f>
        <v>0</v>
      </c>
      <c r="W314" s="90">
        <f>IF('01 Major Assumptions'!W$15=0,0,$F$312*$F$313/12*'01 Major Assumptions'!W$14)</f>
        <v>0</v>
      </c>
      <c r="X314" s="90">
        <f>IF('01 Major Assumptions'!X$15=0,0,$F$312*$F$313/12*'01 Major Assumptions'!X$14)</f>
        <v>0</v>
      </c>
      <c r="Y314" s="90">
        <f>IF('01 Major Assumptions'!Y$15=0,0,$F$312*$F$313/12*'01 Major Assumptions'!Y$14)</f>
        <v>0</v>
      </c>
      <c r="Z314" s="90">
        <f>IF('01 Major Assumptions'!Z$15=0,0,$F$312*$F$313/12*'01 Major Assumptions'!Z$14)</f>
        <v>0</v>
      </c>
      <c r="AA314" s="90">
        <f>IF('01 Major Assumptions'!AA$15=0,0,$F$312*$F$313/12*'01 Major Assumptions'!AA$14)</f>
        <v>0</v>
      </c>
      <c r="AB314" s="90">
        <f>IF('01 Major Assumptions'!AB$15=0,0,$F$312*$F$313/12*'01 Major Assumptions'!AB$14)</f>
        <v>1812500</v>
      </c>
      <c r="AC314" s="90">
        <f>IF('01 Major Assumptions'!AC$15=0,0,$F$312*$F$313/12*'01 Major Assumptions'!AC$14)</f>
        <v>1812500</v>
      </c>
      <c r="AD314" s="90">
        <f>IF('01 Major Assumptions'!AD$15=0,0,$F$312*$F$313/12*'01 Major Assumptions'!AD$14)</f>
        <v>1812500</v>
      </c>
      <c r="AE314" s="90">
        <f>IF('01 Major Assumptions'!AE$15=0,0,$F$312*$F$313/12*'01 Major Assumptions'!AE$14)</f>
        <v>1812500</v>
      </c>
      <c r="AF314" s="90">
        <f>IF('01 Major Assumptions'!AF$15=0,0,$F$312*$F$313/12*'01 Major Assumptions'!AF$14)</f>
        <v>1812500</v>
      </c>
      <c r="AG314" s="90">
        <f>IF('01 Major Assumptions'!AG$15=0,0,$F$312*$F$313/12*'01 Major Assumptions'!AG$14)</f>
        <v>1812500</v>
      </c>
      <c r="AH314" s="90">
        <f>IF('01 Major Assumptions'!AH$15=0,0,$F$312*$F$313/12*'01 Major Assumptions'!AH$14)</f>
        <v>1812500</v>
      </c>
      <c r="AI314" s="90">
        <f>IF('01 Major Assumptions'!AI$15=0,0,$F$312*$F$313/12*'01 Major Assumptions'!AI$14)</f>
        <v>1812500</v>
      </c>
      <c r="AJ314" s="90">
        <f>IF('01 Major Assumptions'!AJ$15=0,0,$F$312*$F$313/12*'01 Major Assumptions'!AJ$14)</f>
        <v>1812500</v>
      </c>
      <c r="AK314" s="90">
        <f>IF('01 Major Assumptions'!AK$15=0,0,$F$312*$F$313/12*'01 Major Assumptions'!AK$14)</f>
        <v>1812500</v>
      </c>
      <c r="AL314" s="90">
        <f>IF('01 Major Assumptions'!AL$15=0,0,$F$312*$F$313/12*'01 Major Assumptions'!AL$14)</f>
        <v>1812500</v>
      </c>
      <c r="AM314" s="90">
        <f>IF('01 Major Assumptions'!AM$15=0,0,$F$312*$F$313/12*'01 Major Assumptions'!AM$14)</f>
        <v>1812500</v>
      </c>
      <c r="AN314" s="90">
        <f>IF('01 Major Assumptions'!AN$15=0,0,$F$312*$F$313/12*'01 Major Assumptions'!AN$14)</f>
        <v>1812500</v>
      </c>
      <c r="AO314" s="90">
        <f>IF('01 Major Assumptions'!AO$15=0,0,$F$312*$F$313/12*'01 Major Assumptions'!AO$14)</f>
        <v>1812500</v>
      </c>
      <c r="AP314" s="90">
        <f>IF('01 Major Assumptions'!AP$15=0,0,$F$312*$F$313/12*'01 Major Assumptions'!AP$14)</f>
        <v>1812500</v>
      </c>
      <c r="AQ314" s="90">
        <f>IF('01 Major Assumptions'!AQ$15=0,0,$F$312*$F$313/12*'01 Major Assumptions'!AQ$14)</f>
        <v>1812500</v>
      </c>
      <c r="AR314" s="90">
        <f>IF('01 Major Assumptions'!AR$15=0,0,$F$312*$F$313/12*'01 Major Assumptions'!AR$14)</f>
        <v>1812500</v>
      </c>
      <c r="AS314" s="90">
        <f>IF('01 Major Assumptions'!AS$15=0,0,$F$312*$F$313/12*'01 Major Assumptions'!AS$14)</f>
        <v>1812500</v>
      </c>
      <c r="AT314" s="90">
        <f>IF('01 Major Assumptions'!AT$15=0,0,$F$312*$F$313/12*'01 Major Assumptions'!AT$14)</f>
        <v>1812500</v>
      </c>
      <c r="AU314" s="90">
        <f>IF('01 Major Assumptions'!AU$15=0,0,$F$312*$F$313/12*'01 Major Assumptions'!AU$14)</f>
        <v>1812500</v>
      </c>
      <c r="AV314" s="90">
        <f>IF('01 Major Assumptions'!AV$15=0,0,$F$312*$F$313/12*'01 Major Assumptions'!AV$14)</f>
        <v>1812500</v>
      </c>
      <c r="AW314" s="90">
        <f>IF('01 Major Assumptions'!AW$15=0,0,$F$312*$F$313/12*'01 Major Assumptions'!AW$14)</f>
        <v>1812500</v>
      </c>
      <c r="AX314" s="90">
        <f>IF('01 Major Assumptions'!AX$15=0,0,$F$312*$F$313/12*'01 Major Assumptions'!AX$14)</f>
        <v>1812500</v>
      </c>
      <c r="AY314" s="90">
        <f>IF('01 Major Assumptions'!AY$15=0,0,$F$312*$F$313/12*'01 Major Assumptions'!AY$14)</f>
        <v>1812500</v>
      </c>
      <c r="AZ314" s="90">
        <f>IF('01 Major Assumptions'!AZ$15=0,0,$F$312*$F$313/12*'01 Major Assumptions'!AZ$14)</f>
        <v>1812500</v>
      </c>
      <c r="BA314" s="90">
        <f>IF('01 Major Assumptions'!BA$15=0,0,$F$312*$F$313/12*'01 Major Assumptions'!BA$14)</f>
        <v>1812500</v>
      </c>
      <c r="BB314" s="90">
        <f>IF('01 Major Assumptions'!BB$15=0,0,$F$312*$F$313/12*'01 Major Assumptions'!BB$14)</f>
        <v>1812500</v>
      </c>
      <c r="BC314" s="90">
        <f>IF('01 Major Assumptions'!BC$15=0,0,$F$312*$F$313/12*'01 Major Assumptions'!BC$14)</f>
        <v>1812500</v>
      </c>
      <c r="BD314" s="90">
        <f>IF('01 Major Assumptions'!BD$15=0,0,$F$312*$F$313/12*'01 Major Assumptions'!BD$14)</f>
        <v>1812500</v>
      </c>
      <c r="BE314" s="90">
        <f>IF('01 Major Assumptions'!BE$15=0,0,$F$312*$F$313/12*'01 Major Assumptions'!BE$14)</f>
        <v>1812500</v>
      </c>
      <c r="BF314" s="90">
        <f>IF('01 Major Assumptions'!BF$15=0,0,$F$312*$F$313/12*'01 Major Assumptions'!BF$14)</f>
        <v>1812500</v>
      </c>
      <c r="BG314" s="90">
        <f>IF('01 Major Assumptions'!BG$15=0,0,$F$312*$F$313/12*'01 Major Assumptions'!BG$14)</f>
        <v>1812500</v>
      </c>
      <c r="BH314" s="90">
        <f>IF('01 Major Assumptions'!BH$15=0,0,$F$312*$F$313/12*'01 Major Assumptions'!BH$14)</f>
        <v>1812500</v>
      </c>
      <c r="BI314" s="90">
        <f>IF('01 Major Assumptions'!BI$15=0,0,$F$312*$F$313/12*'01 Major Assumptions'!BI$14)</f>
        <v>21750000</v>
      </c>
      <c r="BJ314" s="90">
        <f>IF('01 Major Assumptions'!BJ$15=0,0,$F$312*$F$313/12*'01 Major Assumptions'!BJ$14)</f>
        <v>21750000</v>
      </c>
      <c r="BK314" s="90">
        <f>IF('01 Major Assumptions'!BK$15=0,0,$F$312*$F$313/12*'01 Major Assumptions'!BK$14)</f>
        <v>21750000</v>
      </c>
      <c r="BL314" s="90">
        <f>IF('01 Major Assumptions'!BL$15=0,0,$F$312*$F$313/12*'01 Major Assumptions'!BL$14)</f>
        <v>21750000</v>
      </c>
      <c r="BM314" s="90">
        <f>IF('01 Major Assumptions'!BM$15=0,0,$F$312*$F$313/12*'01 Major Assumptions'!BM$14)</f>
        <v>21750000</v>
      </c>
      <c r="BN314" s="90">
        <f>IF('01 Major Assumptions'!BN$15=0,0,$F$312*$F$313/12*'01 Major Assumptions'!BN$14)</f>
        <v>21750000</v>
      </c>
      <c r="BO314" s="90">
        <f>IF('01 Major Assumptions'!BO$15=0,0,$F$312*$F$313/12*'01 Major Assumptions'!BO$14)</f>
        <v>21750000</v>
      </c>
    </row>
    <row r="315" spans="1:67">
      <c r="A315" s="1" t="s">
        <v>1676</v>
      </c>
      <c r="B315" s="11"/>
      <c r="C315" s="11"/>
      <c r="D315" s="11"/>
      <c r="E315" s="33"/>
      <c r="F315" s="33"/>
      <c r="G315" s="33"/>
      <c r="H315" s="33"/>
      <c r="I315" s="33"/>
      <c r="J315" s="33"/>
      <c r="K315" s="33"/>
      <c r="L315" s="33"/>
      <c r="M315" s="33"/>
      <c r="N315" s="33"/>
      <c r="O315" s="33"/>
      <c r="P315" s="33"/>
      <c r="Q315" s="33"/>
      <c r="R315" s="33"/>
      <c r="S315" s="33"/>
      <c r="T315" s="33"/>
      <c r="U315" s="33"/>
      <c r="V315" s="33"/>
      <c r="W315" s="33"/>
      <c r="X315" s="33"/>
      <c r="Y315" s="33"/>
      <c r="Z315" s="33"/>
      <c r="AA315" s="33"/>
      <c r="AB315" s="33"/>
      <c r="AC315" s="33"/>
      <c r="AD315" s="33"/>
      <c r="AE315" s="33"/>
      <c r="AF315" s="33"/>
      <c r="AG315" s="33"/>
      <c r="AH315" s="33"/>
      <c r="AI315" s="33"/>
      <c r="AJ315" s="33"/>
      <c r="AK315" s="33"/>
      <c r="AL315" s="33"/>
      <c r="AM315" s="33"/>
      <c r="AN315" s="33"/>
      <c r="AO315" s="33"/>
      <c r="AP315" s="33"/>
      <c r="AQ315" s="33"/>
      <c r="AR315" s="33"/>
      <c r="AS315" s="33"/>
      <c r="AT315" s="33"/>
      <c r="AU315" s="33"/>
      <c r="AV315" s="33"/>
      <c r="AW315" s="33"/>
      <c r="AX315" s="33"/>
      <c r="AY315" s="33"/>
      <c r="AZ315" s="33"/>
      <c r="BA315" s="33"/>
      <c r="BB315" s="33"/>
      <c r="BC315" s="33"/>
      <c r="BD315" s="33"/>
      <c r="BE315" s="33"/>
      <c r="BF315" s="33"/>
      <c r="BG315" s="33"/>
      <c r="BH315" s="33"/>
      <c r="BI315" s="33"/>
      <c r="BJ315" s="44"/>
      <c r="BK315" s="44"/>
      <c r="BL315" s="44"/>
      <c r="BM315" s="44"/>
      <c r="BN315" s="44"/>
      <c r="BO315" s="44"/>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1DADC8-A33B-B045-9AE8-EF79FB3F64E6}">
  <sheetPr>
    <tabColor rgb="FFFFF9C4"/>
  </sheetPr>
  <dimension ref="A1:BO250"/>
  <sheetViews>
    <sheetView workbookViewId="0">
      <pane xSplit="6" ySplit="6" topLeftCell="G7" activePane="bottomRight" state="frozen"/>
      <selection pane="topRight" activeCell="G1" sqref="G1"/>
      <selection pane="bottomLeft" activeCell="A7" sqref="A7"/>
      <selection pane="bottomRight" activeCell="E15" sqref="E15"/>
    </sheetView>
  </sheetViews>
  <sheetFormatPr baseColWidth="10" defaultRowHeight="15"/>
  <cols>
    <col min="1" max="2" width="3.83203125" style="9" customWidth="1"/>
    <col min="3" max="3" width="33.33203125" style="9" customWidth="1"/>
    <col min="4" max="6" width="12.83203125" style="42" customWidth="1"/>
    <col min="7" max="61" width="14" style="42" customWidth="1"/>
    <col min="62" max="67" width="14" style="34" customWidth="1"/>
  </cols>
  <sheetData>
    <row r="1" spans="1:67" ht="18">
      <c r="A1" s="21" t="s">
        <v>1678</v>
      </c>
      <c r="B1" s="11"/>
      <c r="C1" s="11"/>
      <c r="D1" s="33"/>
      <c r="E1" s="43"/>
      <c r="F1" s="43"/>
      <c r="G1" s="33"/>
      <c r="H1" s="33"/>
      <c r="I1" s="33"/>
      <c r="J1" s="33"/>
      <c r="K1" s="33"/>
      <c r="L1" s="33"/>
      <c r="M1" s="33"/>
      <c r="N1" s="33"/>
      <c r="O1" s="33"/>
      <c r="P1" s="33"/>
      <c r="Q1" s="33"/>
      <c r="R1" s="33"/>
      <c r="S1" s="33"/>
      <c r="T1" s="33"/>
      <c r="U1" s="33"/>
      <c r="V1" s="33"/>
      <c r="W1" s="33"/>
      <c r="X1" s="33"/>
      <c r="Y1" s="33"/>
      <c r="Z1" s="33"/>
      <c r="AA1" s="33"/>
      <c r="AB1" s="33"/>
      <c r="AC1" s="33"/>
      <c r="AD1" s="33"/>
      <c r="AE1" s="33"/>
      <c r="AF1" s="33"/>
      <c r="AG1" s="33"/>
      <c r="AH1" s="33"/>
      <c r="AI1" s="33"/>
      <c r="AJ1" s="33"/>
      <c r="AK1" s="33"/>
      <c r="AL1" s="33"/>
      <c r="AM1" s="33"/>
      <c r="AN1" s="33"/>
      <c r="AO1" s="33"/>
      <c r="AP1" s="33"/>
      <c r="AQ1" s="33"/>
      <c r="AR1" s="33"/>
      <c r="AS1" s="33"/>
      <c r="AT1" s="33"/>
      <c r="AU1" s="33"/>
      <c r="AV1" s="33"/>
      <c r="AW1" s="33"/>
      <c r="AX1" s="33"/>
      <c r="AY1" s="33"/>
      <c r="AZ1" s="33"/>
      <c r="BA1" s="33"/>
      <c r="BB1" s="33"/>
      <c r="BC1" s="33"/>
      <c r="BD1" s="33"/>
      <c r="BE1" s="33"/>
      <c r="BF1" s="33"/>
      <c r="BG1" s="33"/>
      <c r="BH1" s="33"/>
      <c r="BI1" s="33"/>
      <c r="BJ1" s="33"/>
      <c r="BK1" s="33"/>
      <c r="BL1" s="33"/>
      <c r="BM1" s="33"/>
      <c r="BN1" s="33"/>
      <c r="BO1" s="33"/>
    </row>
    <row r="2" spans="1:67" ht="16">
      <c r="A2" s="12" t="s">
        <v>333</v>
      </c>
      <c r="B2" s="11"/>
      <c r="C2" s="11"/>
      <c r="D2" s="33"/>
      <c r="E2" s="43"/>
      <c r="F2" s="4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row>
    <row r="3" spans="1:67">
      <c r="A3" s="13" t="s">
        <v>334</v>
      </c>
      <c r="B3" s="11"/>
      <c r="C3" s="11"/>
      <c r="D3" s="33"/>
      <c r="E3" s="43"/>
      <c r="F3" s="4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row>
    <row r="4" spans="1:67">
      <c r="A4" s="11"/>
      <c r="B4" s="11"/>
      <c r="C4" s="11"/>
      <c r="D4" s="33"/>
      <c r="E4" s="43"/>
      <c r="F4" s="4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row>
    <row r="5" spans="1:67">
      <c r="A5" s="11"/>
      <c r="B5" s="22" t="s">
        <v>213</v>
      </c>
      <c r="C5" s="11"/>
      <c r="D5" s="33"/>
      <c r="E5" s="43"/>
      <c r="F5" s="43"/>
      <c r="G5" s="23" t="str">
        <f>'01 Major Assumptions'!G$12</f>
        <v>Jan-27</v>
      </c>
      <c r="H5" s="23" t="str">
        <f>'01 Major Assumptions'!H$12</f>
        <v>Feb-27</v>
      </c>
      <c r="I5" s="23" t="str">
        <f>'01 Major Assumptions'!I$12</f>
        <v>Mar-27</v>
      </c>
      <c r="J5" s="23" t="str">
        <f>'01 Major Assumptions'!J$12</f>
        <v>Apr-27</v>
      </c>
      <c r="K5" s="23" t="str">
        <f>'01 Major Assumptions'!K$12</f>
        <v>May-27</v>
      </c>
      <c r="L5" s="23" t="str">
        <f>'01 Major Assumptions'!L$12</f>
        <v>Jun-27</v>
      </c>
      <c r="M5" s="23" t="str">
        <f>'01 Major Assumptions'!M$12</f>
        <v>Jul-27</v>
      </c>
      <c r="N5" s="23" t="str">
        <f>'01 Major Assumptions'!N$12</f>
        <v>Aug-27</v>
      </c>
      <c r="O5" s="23" t="str">
        <f>'01 Major Assumptions'!O$12</f>
        <v>Sep-27</v>
      </c>
      <c r="P5" s="23" t="str">
        <f>'01 Major Assumptions'!P$12</f>
        <v>Oct-27</v>
      </c>
      <c r="Q5" s="23" t="str">
        <f>'01 Major Assumptions'!Q$12</f>
        <v>Nov-27</v>
      </c>
      <c r="R5" s="23" t="str">
        <f>'01 Major Assumptions'!R$12</f>
        <v>Dec-27</v>
      </c>
      <c r="S5" s="23" t="str">
        <f>'01 Major Assumptions'!S$12</f>
        <v>Jan-28</v>
      </c>
      <c r="T5" s="23" t="str">
        <f>'01 Major Assumptions'!T$12</f>
        <v>Feb-28</v>
      </c>
      <c r="U5" s="23" t="str">
        <f>'01 Major Assumptions'!U$12</f>
        <v>Mar-28</v>
      </c>
      <c r="V5" s="23" t="str">
        <f>'01 Major Assumptions'!V$12</f>
        <v>Apr-28</v>
      </c>
      <c r="W5" s="23" t="str">
        <f>'01 Major Assumptions'!W$12</f>
        <v>May-28</v>
      </c>
      <c r="X5" s="23" t="str">
        <f>'01 Major Assumptions'!X$12</f>
        <v>Jun-28</v>
      </c>
      <c r="Y5" s="23" t="str">
        <f>'01 Major Assumptions'!Y$12</f>
        <v>Jul-28</v>
      </c>
      <c r="Z5" s="23" t="str">
        <f>'01 Major Assumptions'!Z$12</f>
        <v>Aug-28</v>
      </c>
      <c r="AA5" s="23" t="str">
        <f>'01 Major Assumptions'!AA$12</f>
        <v>Sep-28</v>
      </c>
      <c r="AB5" s="23" t="str">
        <f>'01 Major Assumptions'!AB$12</f>
        <v>Oct-28</v>
      </c>
      <c r="AC5" s="23" t="str">
        <f>'01 Major Assumptions'!AC$12</f>
        <v>Nov-28</v>
      </c>
      <c r="AD5" s="23" t="str">
        <f>'01 Major Assumptions'!AD$12</f>
        <v>Dec-28</v>
      </c>
      <c r="AE5" s="23" t="str">
        <f>'01 Major Assumptions'!AE$12</f>
        <v>Jan-29</v>
      </c>
      <c r="AF5" s="23" t="str">
        <f>'01 Major Assumptions'!AF$12</f>
        <v>Feb-29</v>
      </c>
      <c r="AG5" s="23" t="str">
        <f>'01 Major Assumptions'!AG$12</f>
        <v>Mar-29</v>
      </c>
      <c r="AH5" s="23" t="str">
        <f>'01 Major Assumptions'!AH$12</f>
        <v>Apr-29</v>
      </c>
      <c r="AI5" s="23" t="str">
        <f>'01 Major Assumptions'!AI$12</f>
        <v>May-29</v>
      </c>
      <c r="AJ5" s="23" t="str">
        <f>'01 Major Assumptions'!AJ$12</f>
        <v>Jun-29</v>
      </c>
      <c r="AK5" s="23" t="str">
        <f>'01 Major Assumptions'!AK$12</f>
        <v>Jul-29</v>
      </c>
      <c r="AL5" s="23" t="str">
        <f>'01 Major Assumptions'!AL$12</f>
        <v>Aug-29</v>
      </c>
      <c r="AM5" s="23" t="str">
        <f>'01 Major Assumptions'!AM$12</f>
        <v>Sep-29</v>
      </c>
      <c r="AN5" s="23" t="str">
        <f>'01 Major Assumptions'!AN$12</f>
        <v>Oct-29</v>
      </c>
      <c r="AO5" s="23" t="str">
        <f>'01 Major Assumptions'!AO$12</f>
        <v>Nov-29</v>
      </c>
      <c r="AP5" s="23" t="str">
        <f>'01 Major Assumptions'!AP$12</f>
        <v>Dec-29</v>
      </c>
      <c r="AQ5" s="23" t="str">
        <f>'01 Major Assumptions'!AQ$12</f>
        <v>Jan-30</v>
      </c>
      <c r="AR5" s="23" t="str">
        <f>'01 Major Assumptions'!AR$12</f>
        <v>Feb-30</v>
      </c>
      <c r="AS5" s="23" t="str">
        <f>'01 Major Assumptions'!AS$12</f>
        <v>Mar-30</v>
      </c>
      <c r="AT5" s="23" t="str">
        <f>'01 Major Assumptions'!AT$12</f>
        <v>Apr-30</v>
      </c>
      <c r="AU5" s="23" t="str">
        <f>'01 Major Assumptions'!AU$12</f>
        <v>May-30</v>
      </c>
      <c r="AV5" s="23" t="str">
        <f>'01 Major Assumptions'!AV$12</f>
        <v>Jun-30</v>
      </c>
      <c r="AW5" s="23" t="str">
        <f>'01 Major Assumptions'!AW$12</f>
        <v>Jul-30</v>
      </c>
      <c r="AX5" s="23" t="str">
        <f>'01 Major Assumptions'!AX$12</f>
        <v>Aug-30</v>
      </c>
      <c r="AY5" s="23" t="str">
        <f>'01 Major Assumptions'!AY$12</f>
        <v>Sep-30</v>
      </c>
      <c r="AZ5" s="23" t="str">
        <f>'01 Major Assumptions'!AZ$12</f>
        <v>Oct-30</v>
      </c>
      <c r="BA5" s="23" t="str">
        <f>'01 Major Assumptions'!BA$12</f>
        <v>Nov-30</v>
      </c>
      <c r="BB5" s="23" t="str">
        <f>'01 Major Assumptions'!BB$12</f>
        <v>Dec-30</v>
      </c>
      <c r="BC5" s="23" t="str">
        <f>'01 Major Assumptions'!BC$12</f>
        <v>Jan-31</v>
      </c>
      <c r="BD5" s="23" t="str">
        <f>'01 Major Assumptions'!BD$12</f>
        <v>Feb-31</v>
      </c>
      <c r="BE5" s="23" t="str">
        <f>'01 Major Assumptions'!BE$12</f>
        <v>Mar-31</v>
      </c>
      <c r="BF5" s="23" t="str">
        <f>'01 Major Assumptions'!BF$12</f>
        <v>Apr-31</v>
      </c>
      <c r="BG5" s="23" t="str">
        <f>'01 Major Assumptions'!BG$12</f>
        <v>May-31</v>
      </c>
      <c r="BH5" s="23" t="str">
        <f>'01 Major Assumptions'!BH$12</f>
        <v>Jun-31</v>
      </c>
      <c r="BI5" s="23" t="str">
        <f>'01 Major Assumptions'!BI$12</f>
        <v>FY2032</v>
      </c>
      <c r="BJ5" s="23" t="str">
        <f>'01 Major Assumptions'!BJ$12</f>
        <v>FY2033</v>
      </c>
      <c r="BK5" s="23" t="str">
        <f>'01 Major Assumptions'!BK$12</f>
        <v>FY2034</v>
      </c>
      <c r="BL5" s="23" t="str">
        <f>'01 Major Assumptions'!BL$12</f>
        <v>FY2035</v>
      </c>
      <c r="BM5" s="23" t="str">
        <f>'01 Major Assumptions'!BM$12</f>
        <v>FY2036</v>
      </c>
      <c r="BN5" s="23" t="str">
        <f>'01 Major Assumptions'!BN$12</f>
        <v>FY2037</v>
      </c>
      <c r="BO5" s="23" t="str">
        <f>'01 Major Assumptions'!BO$12</f>
        <v>FY2038</v>
      </c>
    </row>
    <row r="6" spans="1:67">
      <c r="A6" s="11"/>
      <c r="B6" s="11"/>
      <c r="C6" s="11"/>
      <c r="D6" s="33"/>
      <c r="E6" s="43"/>
      <c r="F6" s="4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row>
    <row r="7" spans="1:67">
      <c r="A7" s="18" t="s">
        <v>335</v>
      </c>
      <c r="B7" s="18"/>
      <c r="C7" s="18"/>
      <c r="D7" s="39"/>
      <c r="E7" s="39"/>
      <c r="F7" s="39"/>
      <c r="G7" s="39"/>
      <c r="H7" s="39"/>
      <c r="I7" s="39"/>
      <c r="J7" s="39"/>
      <c r="K7" s="39"/>
      <c r="L7" s="39"/>
      <c r="M7" s="39"/>
      <c r="N7" s="39"/>
      <c r="O7" s="39"/>
      <c r="P7" s="39"/>
      <c r="Q7" s="39"/>
      <c r="R7" s="39"/>
      <c r="S7" s="39"/>
      <c r="T7" s="39"/>
      <c r="U7" s="39"/>
      <c r="V7" s="39"/>
      <c r="W7" s="39"/>
      <c r="X7" s="39"/>
      <c r="Y7" s="39"/>
      <c r="Z7" s="39"/>
      <c r="AA7" s="39"/>
      <c r="AB7" s="39"/>
      <c r="AC7" s="39"/>
      <c r="AD7" s="39"/>
      <c r="AE7" s="39"/>
      <c r="AF7" s="39"/>
      <c r="AG7" s="39"/>
      <c r="AH7" s="39"/>
      <c r="AI7" s="39"/>
      <c r="AJ7" s="39"/>
      <c r="AK7" s="39"/>
      <c r="AL7" s="39"/>
      <c r="AM7" s="39"/>
      <c r="AN7" s="39"/>
      <c r="AO7" s="39"/>
      <c r="AP7" s="39"/>
      <c r="AQ7" s="39"/>
      <c r="AR7" s="39"/>
      <c r="AS7" s="39"/>
      <c r="AT7" s="39"/>
      <c r="AU7" s="39"/>
      <c r="AV7" s="39"/>
      <c r="AW7" s="39"/>
      <c r="AX7" s="39"/>
      <c r="AY7" s="39"/>
      <c r="AZ7" s="39"/>
      <c r="BA7" s="39"/>
      <c r="BB7" s="39"/>
      <c r="BC7" s="39"/>
      <c r="BD7" s="39"/>
      <c r="BE7" s="39"/>
      <c r="BF7" s="39"/>
      <c r="BG7" s="39"/>
      <c r="BH7" s="39"/>
      <c r="BI7" s="39"/>
      <c r="BJ7" s="39"/>
      <c r="BK7" s="39"/>
      <c r="BL7" s="39"/>
      <c r="BM7" s="39"/>
      <c r="BN7" s="39"/>
      <c r="BO7" s="39"/>
    </row>
    <row r="8" spans="1:67">
      <c r="A8" s="11"/>
      <c r="B8" s="11"/>
      <c r="C8" s="11" t="s">
        <v>336</v>
      </c>
      <c r="D8" s="92">
        <f>IF(1&lt;='01 Major Assumptions'!$D$29,'01 Major Assumptions'!$D$30,0)</f>
        <v>15</v>
      </c>
      <c r="E8" s="10" t="s">
        <v>64</v>
      </c>
      <c r="F8" s="10"/>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row>
    <row r="9" spans="1:67">
      <c r="A9" s="11"/>
      <c r="B9" s="11"/>
      <c r="C9" s="11" t="s">
        <v>337</v>
      </c>
      <c r="D9" s="92">
        <f>IF(2&lt;='01 Major Assumptions'!$D$29,'01 Major Assumptions'!$D$30,0)</f>
        <v>15</v>
      </c>
      <c r="E9" s="10" t="s">
        <v>64</v>
      </c>
      <c r="F9" s="10"/>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row>
    <row r="10" spans="1:67">
      <c r="A10" s="11"/>
      <c r="B10" s="11"/>
      <c r="C10" s="11" t="s">
        <v>338</v>
      </c>
      <c r="D10" s="92">
        <f>IF(3&lt;='01 Major Assumptions'!$D$29,'01 Major Assumptions'!$D$30,0)</f>
        <v>15</v>
      </c>
      <c r="E10" s="10" t="s">
        <v>64</v>
      </c>
      <c r="F10" s="10"/>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row>
    <row r="11" spans="1:67">
      <c r="A11" s="11"/>
      <c r="B11" s="11"/>
      <c r="C11" s="11" t="s">
        <v>339</v>
      </c>
      <c r="D11" s="92">
        <f>IF(4&lt;='01 Major Assumptions'!$D$29,'01 Major Assumptions'!$D$30,0)</f>
        <v>15</v>
      </c>
      <c r="E11" s="10" t="s">
        <v>64</v>
      </c>
      <c r="F11" s="10"/>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row>
    <row r="12" spans="1:67">
      <c r="A12" s="11"/>
      <c r="B12" s="11"/>
      <c r="C12" s="11" t="s">
        <v>340</v>
      </c>
      <c r="D12" s="92">
        <f>IF(5&lt;='01 Major Assumptions'!$D$29,'01 Major Assumptions'!$D$30,0)</f>
        <v>15</v>
      </c>
      <c r="E12" s="10" t="s">
        <v>64</v>
      </c>
      <c r="F12" s="10"/>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row>
    <row r="13" spans="1:67">
      <c r="A13" s="11"/>
      <c r="B13" s="11"/>
      <c r="C13" s="11" t="s">
        <v>341</v>
      </c>
      <c r="D13" s="92">
        <f>IF(6&lt;='01 Major Assumptions'!$D$29,'01 Major Assumptions'!$D$30,0)</f>
        <v>15</v>
      </c>
      <c r="E13" s="10" t="s">
        <v>64</v>
      </c>
      <c r="F13" s="10"/>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row>
    <row r="14" spans="1:67">
      <c r="A14" s="11"/>
      <c r="B14" s="11"/>
      <c r="C14" s="11" t="s">
        <v>342</v>
      </c>
      <c r="D14" s="92">
        <f>IF(7&lt;='01 Major Assumptions'!$D$29,'01 Major Assumptions'!$D$30,0)</f>
        <v>15</v>
      </c>
      <c r="E14" s="10" t="s">
        <v>64</v>
      </c>
      <c r="F14" s="10"/>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row>
    <row r="15" spans="1:67">
      <c r="A15" s="11"/>
      <c r="B15" s="11"/>
      <c r="C15" s="11" t="s">
        <v>343</v>
      </c>
      <c r="D15" s="92">
        <f>IF(8&lt;='01 Major Assumptions'!$D$29,'01 Major Assumptions'!$D$30,0)</f>
        <v>15</v>
      </c>
      <c r="E15" s="10" t="s">
        <v>64</v>
      </c>
      <c r="F15" s="10"/>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row>
    <row r="16" spans="1:67">
      <c r="A16" s="11"/>
      <c r="B16" s="11"/>
      <c r="C16" s="11" t="s">
        <v>344</v>
      </c>
      <c r="D16" s="92">
        <f>IF(9&lt;='01 Major Assumptions'!$D$29,'01 Major Assumptions'!$D$30,0)</f>
        <v>0</v>
      </c>
      <c r="E16" s="10" t="s">
        <v>64</v>
      </c>
      <c r="F16" s="10"/>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row>
    <row r="17" spans="1:67">
      <c r="A17" s="11"/>
      <c r="B17" s="11"/>
      <c r="C17" s="11" t="s">
        <v>345</v>
      </c>
      <c r="D17" s="92">
        <f>IF(10&lt;='01 Major Assumptions'!$D$29,'01 Major Assumptions'!$D$30,0)</f>
        <v>0</v>
      </c>
      <c r="E17" s="10" t="s">
        <v>64</v>
      </c>
      <c r="F17" s="10"/>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row>
    <row r="18" spans="1:67">
      <c r="A18" s="11"/>
      <c r="B18" s="11"/>
      <c r="C18" s="11" t="s">
        <v>346</v>
      </c>
      <c r="D18" s="92">
        <f>IF(11&lt;='01 Major Assumptions'!$D$29,'01 Major Assumptions'!$D$30,0)</f>
        <v>0</v>
      </c>
      <c r="E18" s="10" t="s">
        <v>64</v>
      </c>
      <c r="F18" s="10"/>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row>
    <row r="19" spans="1:67">
      <c r="A19" s="11"/>
      <c r="B19" s="11"/>
      <c r="C19" s="11" t="s">
        <v>347</v>
      </c>
      <c r="D19" s="92">
        <f>IF(12&lt;='01 Major Assumptions'!$D$29,'01 Major Assumptions'!$D$30,0)</f>
        <v>0</v>
      </c>
      <c r="E19" s="10" t="s">
        <v>64</v>
      </c>
      <c r="F19" s="10"/>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row>
    <row r="20" spans="1:67">
      <c r="A20" s="11"/>
      <c r="B20" s="11"/>
      <c r="C20" s="11" t="s">
        <v>348</v>
      </c>
      <c r="D20" s="92">
        <f>IF(13&lt;='01 Major Assumptions'!$D$29,'01 Major Assumptions'!$D$30,0)</f>
        <v>0</v>
      </c>
      <c r="E20" s="10" t="s">
        <v>64</v>
      </c>
      <c r="F20" s="10"/>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row>
    <row r="21" spans="1:67">
      <c r="A21" s="11"/>
      <c r="B21" s="11"/>
      <c r="C21" s="11" t="s">
        <v>349</v>
      </c>
      <c r="D21" s="92">
        <f>IF(14&lt;='01 Major Assumptions'!$D$29,'01 Major Assumptions'!$D$30,0)</f>
        <v>0</v>
      </c>
      <c r="E21" s="10" t="s">
        <v>64</v>
      </c>
      <c r="F21" s="10"/>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row>
    <row r="22" spans="1:67">
      <c r="A22" s="11"/>
      <c r="B22" s="11"/>
      <c r="C22" s="11" t="s">
        <v>350</v>
      </c>
      <c r="D22" s="92">
        <f>IF(15&lt;='01 Major Assumptions'!$D$29,'01 Major Assumptions'!$D$30,0)</f>
        <v>0</v>
      </c>
      <c r="E22" s="10" t="s">
        <v>64</v>
      </c>
      <c r="F22" s="10"/>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row>
    <row r="23" spans="1:67">
      <c r="A23" s="11"/>
      <c r="B23" s="11"/>
      <c r="C23" s="11" t="s">
        <v>351</v>
      </c>
      <c r="D23" s="92">
        <f>IF(16&lt;='01 Major Assumptions'!$D$29,'01 Major Assumptions'!$D$30,0)</f>
        <v>0</v>
      </c>
      <c r="E23" s="10" t="s">
        <v>64</v>
      </c>
      <c r="F23" s="10"/>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row>
    <row r="24" spans="1:67">
      <c r="A24" s="11"/>
      <c r="B24" s="22" t="s">
        <v>3</v>
      </c>
      <c r="C24" s="11"/>
      <c r="D24" s="90">
        <f>SUM(D8:D23)</f>
        <v>120</v>
      </c>
      <c r="E24" s="10" t="s">
        <v>64</v>
      </c>
      <c r="F24" s="10"/>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row>
    <row r="25" spans="1:67">
      <c r="A25" s="11"/>
      <c r="B25" s="11"/>
      <c r="C25" s="11"/>
      <c r="D25" s="33"/>
      <c r="E25" s="43"/>
      <c r="F25" s="4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row>
    <row r="26" spans="1:67">
      <c r="A26" s="18" t="s">
        <v>352</v>
      </c>
      <c r="B26" s="18"/>
      <c r="C26" s="18"/>
      <c r="D26" s="39"/>
      <c r="E26" s="39"/>
      <c r="F26" s="39"/>
      <c r="G26" s="39"/>
      <c r="H26" s="39"/>
      <c r="I26" s="39"/>
      <c r="J26" s="39"/>
      <c r="K26" s="39"/>
      <c r="L26" s="39"/>
      <c r="M26" s="39"/>
      <c r="N26" s="39"/>
      <c r="O26" s="39"/>
      <c r="P26" s="39"/>
      <c r="Q26" s="39"/>
      <c r="R26" s="39"/>
      <c r="S26" s="39"/>
      <c r="T26" s="39"/>
      <c r="U26" s="39"/>
      <c r="V26" s="39"/>
      <c r="W26" s="39"/>
      <c r="X26" s="39"/>
      <c r="Y26" s="39"/>
      <c r="Z26" s="39"/>
      <c r="AA26" s="39"/>
      <c r="AB26" s="39"/>
      <c r="AC26" s="39"/>
      <c r="AD26" s="39"/>
      <c r="AE26" s="39"/>
      <c r="AF26" s="39"/>
      <c r="AG26" s="39"/>
      <c r="AH26" s="39"/>
      <c r="AI26" s="39"/>
      <c r="AJ26" s="39"/>
      <c r="AK26" s="39"/>
      <c r="AL26" s="39"/>
      <c r="AM26" s="39"/>
      <c r="AN26" s="39"/>
      <c r="AO26" s="39"/>
      <c r="AP26" s="39"/>
      <c r="AQ26" s="39"/>
      <c r="AR26" s="39"/>
      <c r="AS26" s="39"/>
      <c r="AT26" s="39"/>
      <c r="AU26" s="39"/>
      <c r="AV26" s="39"/>
      <c r="AW26" s="39"/>
      <c r="AX26" s="39"/>
      <c r="AY26" s="39"/>
      <c r="AZ26" s="39"/>
      <c r="BA26" s="39"/>
      <c r="BB26" s="39"/>
      <c r="BC26" s="39"/>
      <c r="BD26" s="39"/>
      <c r="BE26" s="39"/>
      <c r="BF26" s="39"/>
      <c r="BG26" s="39"/>
      <c r="BH26" s="39"/>
      <c r="BI26" s="39"/>
      <c r="BJ26" s="39"/>
      <c r="BK26" s="39"/>
      <c r="BL26" s="39"/>
      <c r="BM26" s="39"/>
      <c r="BN26" s="39"/>
      <c r="BO26" s="39"/>
    </row>
    <row r="27" spans="1:67">
      <c r="A27" s="11"/>
      <c r="B27" s="11" t="s">
        <v>353</v>
      </c>
      <c r="C27" s="11"/>
      <c r="D27" s="33"/>
      <c r="E27" s="10" t="s">
        <v>6</v>
      </c>
      <c r="F27" s="10"/>
      <c r="G27" s="90">
        <f>'01 Major Assumptions'!G$13</f>
        <v>31</v>
      </c>
      <c r="H27" s="90">
        <f>'01 Major Assumptions'!H$13</f>
        <v>28</v>
      </c>
      <c r="I27" s="90">
        <f>'01 Major Assumptions'!I$13</f>
        <v>31</v>
      </c>
      <c r="J27" s="90">
        <f>'01 Major Assumptions'!J$13</f>
        <v>30</v>
      </c>
      <c r="K27" s="90">
        <f>'01 Major Assumptions'!K$13</f>
        <v>31</v>
      </c>
      <c r="L27" s="90">
        <f>'01 Major Assumptions'!L$13</f>
        <v>30</v>
      </c>
      <c r="M27" s="90">
        <f>'01 Major Assumptions'!M$13</f>
        <v>31</v>
      </c>
      <c r="N27" s="90">
        <f>'01 Major Assumptions'!N$13</f>
        <v>31</v>
      </c>
      <c r="O27" s="90">
        <f>'01 Major Assumptions'!O$13</f>
        <v>30</v>
      </c>
      <c r="P27" s="90">
        <f>'01 Major Assumptions'!P$13</f>
        <v>31</v>
      </c>
      <c r="Q27" s="90">
        <f>'01 Major Assumptions'!Q$13</f>
        <v>30</v>
      </c>
      <c r="R27" s="90">
        <f>'01 Major Assumptions'!R$13</f>
        <v>31</v>
      </c>
      <c r="S27" s="90">
        <f>'01 Major Assumptions'!S$13</f>
        <v>31</v>
      </c>
      <c r="T27" s="90">
        <f>'01 Major Assumptions'!T$13</f>
        <v>29</v>
      </c>
      <c r="U27" s="90">
        <f>'01 Major Assumptions'!U$13</f>
        <v>31</v>
      </c>
      <c r="V27" s="90">
        <f>'01 Major Assumptions'!V$13</f>
        <v>30</v>
      </c>
      <c r="W27" s="90">
        <f>'01 Major Assumptions'!W$13</f>
        <v>31</v>
      </c>
      <c r="X27" s="90">
        <f>'01 Major Assumptions'!X$13</f>
        <v>30</v>
      </c>
      <c r="Y27" s="90">
        <f>'01 Major Assumptions'!Y$13</f>
        <v>31</v>
      </c>
      <c r="Z27" s="90">
        <f>'01 Major Assumptions'!Z$13</f>
        <v>31</v>
      </c>
      <c r="AA27" s="90">
        <f>'01 Major Assumptions'!AA$13</f>
        <v>30</v>
      </c>
      <c r="AB27" s="90">
        <f>'01 Major Assumptions'!AB$13</f>
        <v>31</v>
      </c>
      <c r="AC27" s="90">
        <f>'01 Major Assumptions'!AC$13</f>
        <v>30</v>
      </c>
      <c r="AD27" s="90">
        <f>'01 Major Assumptions'!AD$13</f>
        <v>31</v>
      </c>
      <c r="AE27" s="90">
        <f>'01 Major Assumptions'!AE$13</f>
        <v>31</v>
      </c>
      <c r="AF27" s="90">
        <f>'01 Major Assumptions'!AF$13</f>
        <v>28</v>
      </c>
      <c r="AG27" s="90">
        <f>'01 Major Assumptions'!AG$13</f>
        <v>31</v>
      </c>
      <c r="AH27" s="90">
        <f>'01 Major Assumptions'!AH$13</f>
        <v>30</v>
      </c>
      <c r="AI27" s="90">
        <f>'01 Major Assumptions'!AI$13</f>
        <v>31</v>
      </c>
      <c r="AJ27" s="90">
        <f>'01 Major Assumptions'!AJ$13</f>
        <v>30</v>
      </c>
      <c r="AK27" s="90">
        <f>'01 Major Assumptions'!AK$13</f>
        <v>31</v>
      </c>
      <c r="AL27" s="90">
        <f>'01 Major Assumptions'!AL$13</f>
        <v>31</v>
      </c>
      <c r="AM27" s="90">
        <f>'01 Major Assumptions'!AM$13</f>
        <v>30</v>
      </c>
      <c r="AN27" s="90">
        <f>'01 Major Assumptions'!AN$13</f>
        <v>31</v>
      </c>
      <c r="AO27" s="90">
        <f>'01 Major Assumptions'!AO$13</f>
        <v>30</v>
      </c>
      <c r="AP27" s="90">
        <f>'01 Major Assumptions'!AP$13</f>
        <v>31</v>
      </c>
      <c r="AQ27" s="90">
        <f>'01 Major Assumptions'!AQ$13</f>
        <v>31</v>
      </c>
      <c r="AR27" s="90">
        <f>'01 Major Assumptions'!AR$13</f>
        <v>28</v>
      </c>
      <c r="AS27" s="90">
        <f>'01 Major Assumptions'!AS$13</f>
        <v>31</v>
      </c>
      <c r="AT27" s="90">
        <f>'01 Major Assumptions'!AT$13</f>
        <v>30</v>
      </c>
      <c r="AU27" s="90">
        <f>'01 Major Assumptions'!AU$13</f>
        <v>31</v>
      </c>
      <c r="AV27" s="90">
        <f>'01 Major Assumptions'!AV$13</f>
        <v>30</v>
      </c>
      <c r="AW27" s="90">
        <f>'01 Major Assumptions'!AW$13</f>
        <v>31</v>
      </c>
      <c r="AX27" s="90">
        <f>'01 Major Assumptions'!AX$13</f>
        <v>31</v>
      </c>
      <c r="AY27" s="90">
        <f>'01 Major Assumptions'!AY$13</f>
        <v>30</v>
      </c>
      <c r="AZ27" s="90">
        <f>'01 Major Assumptions'!AZ$13</f>
        <v>31</v>
      </c>
      <c r="BA27" s="90">
        <f>'01 Major Assumptions'!BA$13</f>
        <v>30</v>
      </c>
      <c r="BB27" s="90">
        <f>'01 Major Assumptions'!BB$13</f>
        <v>31</v>
      </c>
      <c r="BC27" s="90">
        <f>'01 Major Assumptions'!BC$13</f>
        <v>31</v>
      </c>
      <c r="BD27" s="90">
        <f>'01 Major Assumptions'!BD$13</f>
        <v>28</v>
      </c>
      <c r="BE27" s="90">
        <f>'01 Major Assumptions'!BE$13</f>
        <v>31</v>
      </c>
      <c r="BF27" s="90">
        <f>'01 Major Assumptions'!BF$13</f>
        <v>30</v>
      </c>
      <c r="BG27" s="90">
        <f>'01 Major Assumptions'!BG$13</f>
        <v>31</v>
      </c>
      <c r="BH27" s="90">
        <f>'01 Major Assumptions'!BH$13</f>
        <v>30</v>
      </c>
      <c r="BI27" s="90">
        <f>'01 Major Assumptions'!BI$13</f>
        <v>366</v>
      </c>
      <c r="BJ27" s="90">
        <f>'01 Major Assumptions'!BJ$13</f>
        <v>365</v>
      </c>
      <c r="BK27" s="90">
        <f>'01 Major Assumptions'!BK$13</f>
        <v>365</v>
      </c>
      <c r="BL27" s="90">
        <f>'01 Major Assumptions'!BL$13</f>
        <v>365</v>
      </c>
      <c r="BM27" s="90">
        <f>'01 Major Assumptions'!BM$13</f>
        <v>366</v>
      </c>
      <c r="BN27" s="90">
        <f>'01 Major Assumptions'!BN$13</f>
        <v>365</v>
      </c>
      <c r="BO27" s="90">
        <f>'01 Major Assumptions'!BO$13</f>
        <v>365</v>
      </c>
    </row>
    <row r="28" spans="1:67">
      <c r="A28" s="11"/>
      <c r="B28" s="11" t="s">
        <v>354</v>
      </c>
      <c r="C28" s="11"/>
      <c r="D28" s="33"/>
      <c r="E28" s="10" t="s">
        <v>6</v>
      </c>
      <c r="F28" s="10"/>
      <c r="G28" s="63">
        <f>'01 Major Assumptions'!$D$32*'01 Major Assumptions'!G$14/12</f>
        <v>28.416666666666668</v>
      </c>
      <c r="H28" s="63">
        <f>'01 Major Assumptions'!$D$32*'01 Major Assumptions'!H$14/12</f>
        <v>28.416666666666668</v>
      </c>
      <c r="I28" s="63">
        <f>'01 Major Assumptions'!$D$32*'01 Major Assumptions'!I$14/12</f>
        <v>28.416666666666668</v>
      </c>
      <c r="J28" s="63">
        <f>'01 Major Assumptions'!$D$32*'01 Major Assumptions'!J$14/12</f>
        <v>28.416666666666668</v>
      </c>
      <c r="K28" s="63">
        <f>'01 Major Assumptions'!$D$32*'01 Major Assumptions'!K$14/12</f>
        <v>28.416666666666668</v>
      </c>
      <c r="L28" s="63">
        <f>'01 Major Assumptions'!$D$32*'01 Major Assumptions'!L$14/12</f>
        <v>28.416666666666668</v>
      </c>
      <c r="M28" s="63">
        <f>'01 Major Assumptions'!$D$32*'01 Major Assumptions'!M$14/12</f>
        <v>28.416666666666668</v>
      </c>
      <c r="N28" s="63">
        <f>'01 Major Assumptions'!$D$32*'01 Major Assumptions'!N$14/12</f>
        <v>28.416666666666668</v>
      </c>
      <c r="O28" s="63">
        <f>'01 Major Assumptions'!$D$32*'01 Major Assumptions'!O$14/12</f>
        <v>28.416666666666668</v>
      </c>
      <c r="P28" s="63">
        <f>'01 Major Assumptions'!$D$32*'01 Major Assumptions'!P$14/12</f>
        <v>28.416666666666668</v>
      </c>
      <c r="Q28" s="63">
        <f>'01 Major Assumptions'!$D$32*'01 Major Assumptions'!Q$14/12</f>
        <v>28.416666666666668</v>
      </c>
      <c r="R28" s="63">
        <f>'01 Major Assumptions'!$D$32*'01 Major Assumptions'!R$14/12</f>
        <v>28.416666666666668</v>
      </c>
      <c r="S28" s="63">
        <f>'01 Major Assumptions'!$D$32*'01 Major Assumptions'!S$14/12</f>
        <v>28.416666666666668</v>
      </c>
      <c r="T28" s="63">
        <f>'01 Major Assumptions'!$D$32*'01 Major Assumptions'!T$14/12</f>
        <v>28.416666666666668</v>
      </c>
      <c r="U28" s="63">
        <f>'01 Major Assumptions'!$D$32*'01 Major Assumptions'!U$14/12</f>
        <v>28.416666666666668</v>
      </c>
      <c r="V28" s="63">
        <f>'01 Major Assumptions'!$D$32*'01 Major Assumptions'!V$14/12</f>
        <v>28.416666666666668</v>
      </c>
      <c r="W28" s="63">
        <f>'01 Major Assumptions'!$D$32*'01 Major Assumptions'!W$14/12</f>
        <v>28.416666666666668</v>
      </c>
      <c r="X28" s="63">
        <f>'01 Major Assumptions'!$D$32*'01 Major Assumptions'!X$14/12</f>
        <v>28.416666666666668</v>
      </c>
      <c r="Y28" s="63">
        <f>'01 Major Assumptions'!$D$32*'01 Major Assumptions'!Y$14/12</f>
        <v>28.416666666666668</v>
      </c>
      <c r="Z28" s="63">
        <f>'01 Major Assumptions'!$D$32*'01 Major Assumptions'!Z$14/12</f>
        <v>28.416666666666668</v>
      </c>
      <c r="AA28" s="63">
        <f>'01 Major Assumptions'!$D$32*'01 Major Assumptions'!AA$14/12</f>
        <v>28.416666666666668</v>
      </c>
      <c r="AB28" s="63">
        <f>'01 Major Assumptions'!$D$32*'01 Major Assumptions'!AB$14/12</f>
        <v>28.416666666666668</v>
      </c>
      <c r="AC28" s="63">
        <f>'01 Major Assumptions'!$D$32*'01 Major Assumptions'!AC$14/12</f>
        <v>28.416666666666668</v>
      </c>
      <c r="AD28" s="63">
        <f>'01 Major Assumptions'!$D$32*'01 Major Assumptions'!AD$14/12</f>
        <v>28.416666666666668</v>
      </c>
      <c r="AE28" s="63">
        <f>'01 Major Assumptions'!$D$32*'01 Major Assumptions'!AE$14/12</f>
        <v>28.416666666666668</v>
      </c>
      <c r="AF28" s="63">
        <f>'01 Major Assumptions'!$D$32*'01 Major Assumptions'!AF$14/12</f>
        <v>28.416666666666668</v>
      </c>
      <c r="AG28" s="63">
        <f>'01 Major Assumptions'!$D$32*'01 Major Assumptions'!AG$14/12</f>
        <v>28.416666666666668</v>
      </c>
      <c r="AH28" s="63">
        <f>'01 Major Assumptions'!$D$32*'01 Major Assumptions'!AH$14/12</f>
        <v>28.416666666666668</v>
      </c>
      <c r="AI28" s="63">
        <f>'01 Major Assumptions'!$D$32*'01 Major Assumptions'!AI$14/12</f>
        <v>28.416666666666668</v>
      </c>
      <c r="AJ28" s="63">
        <f>'01 Major Assumptions'!$D$32*'01 Major Assumptions'!AJ$14/12</f>
        <v>28.416666666666668</v>
      </c>
      <c r="AK28" s="63">
        <f>'01 Major Assumptions'!$D$32*'01 Major Assumptions'!AK$14/12</f>
        <v>28.416666666666668</v>
      </c>
      <c r="AL28" s="63">
        <f>'01 Major Assumptions'!$D$32*'01 Major Assumptions'!AL$14/12</f>
        <v>28.416666666666668</v>
      </c>
      <c r="AM28" s="63">
        <f>'01 Major Assumptions'!$D$32*'01 Major Assumptions'!AM$14/12</f>
        <v>28.416666666666668</v>
      </c>
      <c r="AN28" s="63">
        <f>'01 Major Assumptions'!$D$32*'01 Major Assumptions'!AN$14/12</f>
        <v>28.416666666666668</v>
      </c>
      <c r="AO28" s="63">
        <f>'01 Major Assumptions'!$D$32*'01 Major Assumptions'!AO$14/12</f>
        <v>28.416666666666668</v>
      </c>
      <c r="AP28" s="63">
        <f>'01 Major Assumptions'!$D$32*'01 Major Assumptions'!AP$14/12</f>
        <v>28.416666666666668</v>
      </c>
      <c r="AQ28" s="63">
        <f>'01 Major Assumptions'!$D$32*'01 Major Assumptions'!AQ$14/12</f>
        <v>28.416666666666668</v>
      </c>
      <c r="AR28" s="63">
        <f>'01 Major Assumptions'!$D$32*'01 Major Assumptions'!AR$14/12</f>
        <v>28.416666666666668</v>
      </c>
      <c r="AS28" s="63">
        <f>'01 Major Assumptions'!$D$32*'01 Major Assumptions'!AS$14/12</f>
        <v>28.416666666666668</v>
      </c>
      <c r="AT28" s="63">
        <f>'01 Major Assumptions'!$D$32*'01 Major Assumptions'!AT$14/12</f>
        <v>28.416666666666668</v>
      </c>
      <c r="AU28" s="63">
        <f>'01 Major Assumptions'!$D$32*'01 Major Assumptions'!AU$14/12</f>
        <v>28.416666666666668</v>
      </c>
      <c r="AV28" s="63">
        <f>'01 Major Assumptions'!$D$32*'01 Major Assumptions'!AV$14/12</f>
        <v>28.416666666666668</v>
      </c>
      <c r="AW28" s="63">
        <f>'01 Major Assumptions'!$D$32*'01 Major Assumptions'!AW$14/12</f>
        <v>28.416666666666668</v>
      </c>
      <c r="AX28" s="63">
        <f>'01 Major Assumptions'!$D$32*'01 Major Assumptions'!AX$14/12</f>
        <v>28.416666666666668</v>
      </c>
      <c r="AY28" s="63">
        <f>'01 Major Assumptions'!$D$32*'01 Major Assumptions'!AY$14/12</f>
        <v>28.416666666666668</v>
      </c>
      <c r="AZ28" s="63">
        <f>'01 Major Assumptions'!$D$32*'01 Major Assumptions'!AZ$14/12</f>
        <v>28.416666666666668</v>
      </c>
      <c r="BA28" s="63">
        <f>'01 Major Assumptions'!$D$32*'01 Major Assumptions'!BA$14/12</f>
        <v>28.416666666666668</v>
      </c>
      <c r="BB28" s="63">
        <f>'01 Major Assumptions'!$D$32*'01 Major Assumptions'!BB$14/12</f>
        <v>28.416666666666668</v>
      </c>
      <c r="BC28" s="63">
        <f>'01 Major Assumptions'!$D$32*'01 Major Assumptions'!BC$14/12</f>
        <v>28.416666666666668</v>
      </c>
      <c r="BD28" s="63">
        <f>'01 Major Assumptions'!$D$32*'01 Major Assumptions'!BD$14/12</f>
        <v>28.416666666666668</v>
      </c>
      <c r="BE28" s="63">
        <f>'01 Major Assumptions'!$D$32*'01 Major Assumptions'!BE$14/12</f>
        <v>28.416666666666668</v>
      </c>
      <c r="BF28" s="63">
        <f>'01 Major Assumptions'!$D$32*'01 Major Assumptions'!BF$14/12</f>
        <v>28.416666666666668</v>
      </c>
      <c r="BG28" s="63">
        <f>'01 Major Assumptions'!$D$32*'01 Major Assumptions'!BG$14/12</f>
        <v>28.416666666666668</v>
      </c>
      <c r="BH28" s="63">
        <f>'01 Major Assumptions'!$D$32*'01 Major Assumptions'!BH$14/12</f>
        <v>28.416666666666668</v>
      </c>
      <c r="BI28" s="90">
        <f>'01 Major Assumptions'!$D$32*'01 Major Assumptions'!BI$14/12</f>
        <v>341</v>
      </c>
      <c r="BJ28" s="90">
        <f>'01 Major Assumptions'!$D$32*'01 Major Assumptions'!BJ$14/12</f>
        <v>341</v>
      </c>
      <c r="BK28" s="90">
        <f>'01 Major Assumptions'!$D$32*'01 Major Assumptions'!BK$14/12</f>
        <v>341</v>
      </c>
      <c r="BL28" s="90">
        <f>'01 Major Assumptions'!$D$32*'01 Major Assumptions'!BL$14/12</f>
        <v>341</v>
      </c>
      <c r="BM28" s="90">
        <f>'01 Major Assumptions'!$D$32*'01 Major Assumptions'!BM$14/12</f>
        <v>341</v>
      </c>
      <c r="BN28" s="90">
        <f>'01 Major Assumptions'!$D$32*'01 Major Assumptions'!BN$14/12</f>
        <v>341</v>
      </c>
      <c r="BO28" s="90">
        <f>'01 Major Assumptions'!$D$32*'01 Major Assumptions'!BO$14/12</f>
        <v>341</v>
      </c>
    </row>
    <row r="29" spans="1:67">
      <c r="A29" s="11"/>
      <c r="B29" s="11" t="s">
        <v>355</v>
      </c>
      <c r="C29" s="11"/>
      <c r="D29" s="33"/>
      <c r="E29" s="10" t="s">
        <v>7</v>
      </c>
      <c r="F29" s="10"/>
      <c r="G29" s="6">
        <f>'01 Major Assumptions'!G$34</f>
        <v>0</v>
      </c>
      <c r="H29" s="6">
        <f>'01 Major Assumptions'!H$34</f>
        <v>0</v>
      </c>
      <c r="I29" s="6">
        <f>'01 Major Assumptions'!I$34</f>
        <v>0</v>
      </c>
      <c r="J29" s="6">
        <f>'01 Major Assumptions'!J$34</f>
        <v>0</v>
      </c>
      <c r="K29" s="6">
        <f>'01 Major Assumptions'!K$34</f>
        <v>0</v>
      </c>
      <c r="L29" s="6">
        <f>'01 Major Assumptions'!L$34</f>
        <v>0</v>
      </c>
      <c r="M29" s="6">
        <f>'01 Major Assumptions'!M$34</f>
        <v>0</v>
      </c>
      <c r="N29" s="6">
        <f>'01 Major Assumptions'!N$34</f>
        <v>0</v>
      </c>
      <c r="O29" s="6">
        <f>'01 Major Assumptions'!O$34</f>
        <v>0</v>
      </c>
      <c r="P29" s="6">
        <f>'01 Major Assumptions'!P$34</f>
        <v>0</v>
      </c>
      <c r="Q29" s="6">
        <f>'01 Major Assumptions'!Q$34</f>
        <v>0</v>
      </c>
      <c r="R29" s="6">
        <f>'01 Major Assumptions'!R$34</f>
        <v>0</v>
      </c>
      <c r="S29" s="6">
        <f>'01 Major Assumptions'!S$34</f>
        <v>0</v>
      </c>
      <c r="T29" s="6">
        <f>'01 Major Assumptions'!T$34</f>
        <v>0</v>
      </c>
      <c r="U29" s="6">
        <f>'01 Major Assumptions'!U$34</f>
        <v>0</v>
      </c>
      <c r="V29" s="6">
        <f>'01 Major Assumptions'!V$34</f>
        <v>0</v>
      </c>
      <c r="W29" s="6">
        <f>'01 Major Assumptions'!W$34</f>
        <v>0</v>
      </c>
      <c r="X29" s="6">
        <f>'01 Major Assumptions'!X$34</f>
        <v>0</v>
      </c>
      <c r="Y29" s="6">
        <f>'01 Major Assumptions'!Y$34</f>
        <v>0</v>
      </c>
      <c r="Z29" s="6">
        <f>'01 Major Assumptions'!Z$34</f>
        <v>0</v>
      </c>
      <c r="AA29" s="6">
        <f>'01 Major Assumptions'!AA$34</f>
        <v>0</v>
      </c>
      <c r="AB29" s="6">
        <f>'01 Major Assumptions'!AB$34</f>
        <v>0.2</v>
      </c>
      <c r="AC29" s="6">
        <f>'01 Major Assumptions'!AC$34</f>
        <v>0.26500000000000001</v>
      </c>
      <c r="AD29" s="6">
        <f>'01 Major Assumptions'!AD$34</f>
        <v>0.33</v>
      </c>
      <c r="AE29" s="6">
        <f>'01 Major Assumptions'!AE$34</f>
        <v>0.39500000000000002</v>
      </c>
      <c r="AF29" s="6">
        <f>'01 Major Assumptions'!AF$34</f>
        <v>0.46</v>
      </c>
      <c r="AG29" s="6">
        <f>'01 Major Assumptions'!AG$34</f>
        <v>0.52500000000000002</v>
      </c>
      <c r="AH29" s="6">
        <f>'01 Major Assumptions'!AH$34</f>
        <v>0.59</v>
      </c>
      <c r="AI29" s="6">
        <f>'01 Major Assumptions'!AI$34</f>
        <v>0.65500000000000003</v>
      </c>
      <c r="AJ29" s="6">
        <f>'01 Major Assumptions'!AJ$34</f>
        <v>0.72</v>
      </c>
      <c r="AK29" s="6">
        <f>'01 Major Assumptions'!AK$34</f>
        <v>0.78500000000000014</v>
      </c>
      <c r="AL29" s="6">
        <f>'01 Major Assumptions'!AL$34</f>
        <v>0.85000000000000009</v>
      </c>
      <c r="AM29" s="6">
        <f>'01 Major Assumptions'!AM$34</f>
        <v>0.91500000000000004</v>
      </c>
      <c r="AN29" s="6">
        <f>'01 Major Assumptions'!AN$34</f>
        <v>0.98</v>
      </c>
      <c r="AO29" s="6">
        <f>'01 Major Assumptions'!AO$34</f>
        <v>0.98</v>
      </c>
      <c r="AP29" s="6">
        <f>'01 Major Assumptions'!AP$34</f>
        <v>0.98</v>
      </c>
      <c r="AQ29" s="6">
        <f>'01 Major Assumptions'!AQ$34</f>
        <v>0.98</v>
      </c>
      <c r="AR29" s="6">
        <f>'01 Major Assumptions'!AR$34</f>
        <v>0.98</v>
      </c>
      <c r="AS29" s="6">
        <f>'01 Major Assumptions'!AS$34</f>
        <v>0.98</v>
      </c>
      <c r="AT29" s="6">
        <f>'01 Major Assumptions'!AT$34</f>
        <v>0.98</v>
      </c>
      <c r="AU29" s="6">
        <f>'01 Major Assumptions'!AU$34</f>
        <v>0.98</v>
      </c>
      <c r="AV29" s="6">
        <f>'01 Major Assumptions'!AV$34</f>
        <v>0.98</v>
      </c>
      <c r="AW29" s="6">
        <f>'01 Major Assumptions'!AW$34</f>
        <v>0.98</v>
      </c>
      <c r="AX29" s="6">
        <f>'01 Major Assumptions'!AX$34</f>
        <v>0.98</v>
      </c>
      <c r="AY29" s="6">
        <f>'01 Major Assumptions'!AY$34</f>
        <v>0.98</v>
      </c>
      <c r="AZ29" s="6">
        <f>'01 Major Assumptions'!AZ$34</f>
        <v>0.98</v>
      </c>
      <c r="BA29" s="6">
        <f>'01 Major Assumptions'!BA$34</f>
        <v>0.98</v>
      </c>
      <c r="BB29" s="6">
        <f>'01 Major Assumptions'!BB$34</f>
        <v>0.98</v>
      </c>
      <c r="BC29" s="6">
        <f>'01 Major Assumptions'!BC$34</f>
        <v>0.98</v>
      </c>
      <c r="BD29" s="6">
        <f>'01 Major Assumptions'!BD$34</f>
        <v>0.98</v>
      </c>
      <c r="BE29" s="6">
        <f>'01 Major Assumptions'!BE$34</f>
        <v>0.98</v>
      </c>
      <c r="BF29" s="6">
        <f>'01 Major Assumptions'!BF$34</f>
        <v>0.98</v>
      </c>
      <c r="BG29" s="6">
        <f>'01 Major Assumptions'!BG$34</f>
        <v>0.98</v>
      </c>
      <c r="BH29" s="6">
        <f>'01 Major Assumptions'!BH$34</f>
        <v>0.98</v>
      </c>
      <c r="BI29" s="6">
        <f>'01 Major Assumptions'!BI$34</f>
        <v>0.98</v>
      </c>
      <c r="BJ29" s="6">
        <f>'01 Major Assumptions'!BJ$34</f>
        <v>0.98</v>
      </c>
      <c r="BK29" s="6">
        <f>'01 Major Assumptions'!BK$34</f>
        <v>0.98</v>
      </c>
      <c r="BL29" s="6">
        <f>'01 Major Assumptions'!BL$34</f>
        <v>0.98</v>
      </c>
      <c r="BM29" s="6">
        <f>'01 Major Assumptions'!BM$34</f>
        <v>0.98</v>
      </c>
      <c r="BN29" s="6">
        <f>'01 Major Assumptions'!BN$34</f>
        <v>0.98</v>
      </c>
      <c r="BO29" s="6">
        <f>'01 Major Assumptions'!BO$34</f>
        <v>0.98</v>
      </c>
    </row>
    <row r="30" spans="1:67">
      <c r="A30" s="11"/>
      <c r="B30" s="11" t="s">
        <v>356</v>
      </c>
      <c r="C30" s="11"/>
      <c r="D30" s="33"/>
      <c r="E30" s="10" t="s">
        <v>6</v>
      </c>
      <c r="F30" s="10"/>
      <c r="G30" s="90">
        <f>G28*G29*'01 Major Assumptions'!G$15</f>
        <v>0</v>
      </c>
      <c r="H30" s="90">
        <f>H28*H29*'01 Major Assumptions'!H$15</f>
        <v>0</v>
      </c>
      <c r="I30" s="90">
        <f>I28*I29*'01 Major Assumptions'!I$15</f>
        <v>0</v>
      </c>
      <c r="J30" s="90">
        <f>J28*J29*'01 Major Assumptions'!J$15</f>
        <v>0</v>
      </c>
      <c r="K30" s="90">
        <f>K28*K29*'01 Major Assumptions'!K$15</f>
        <v>0</v>
      </c>
      <c r="L30" s="90">
        <f>L28*L29*'01 Major Assumptions'!L$15</f>
        <v>0</v>
      </c>
      <c r="M30" s="90">
        <f>M28*M29*'01 Major Assumptions'!M$15</f>
        <v>0</v>
      </c>
      <c r="N30" s="90">
        <f>N28*N29*'01 Major Assumptions'!N$15</f>
        <v>0</v>
      </c>
      <c r="O30" s="90">
        <f>O28*O29*'01 Major Assumptions'!O$15</f>
        <v>0</v>
      </c>
      <c r="P30" s="90">
        <f>P28*P29*'01 Major Assumptions'!P$15</f>
        <v>0</v>
      </c>
      <c r="Q30" s="90">
        <f>Q28*Q29*'01 Major Assumptions'!Q$15</f>
        <v>0</v>
      </c>
      <c r="R30" s="90">
        <f>R28*R29*'01 Major Assumptions'!R$15</f>
        <v>0</v>
      </c>
      <c r="S30" s="90">
        <f>S28*S29*'01 Major Assumptions'!S$15</f>
        <v>0</v>
      </c>
      <c r="T30" s="90">
        <f>T28*T29*'01 Major Assumptions'!T$15</f>
        <v>0</v>
      </c>
      <c r="U30" s="90">
        <f>U28*U29*'01 Major Assumptions'!U$15</f>
        <v>0</v>
      </c>
      <c r="V30" s="90">
        <f>V28*V29*'01 Major Assumptions'!V$15</f>
        <v>0</v>
      </c>
      <c r="W30" s="90">
        <f>W28*W29*'01 Major Assumptions'!W$15</f>
        <v>0</v>
      </c>
      <c r="X30" s="90">
        <f>X28*X29*'01 Major Assumptions'!X$15</f>
        <v>0</v>
      </c>
      <c r="Y30" s="63">
        <f>Y28*Y29*'01 Major Assumptions'!Y$15</f>
        <v>0</v>
      </c>
      <c r="Z30" s="63">
        <f>Z28*Z29*'01 Major Assumptions'!Z$15</f>
        <v>0</v>
      </c>
      <c r="AA30" s="63">
        <f>AA28*AA29*'01 Major Assumptions'!AA$15</f>
        <v>0</v>
      </c>
      <c r="AB30" s="63">
        <f>AB28*AB29*'01 Major Assumptions'!AB$15</f>
        <v>5.6833333333333336</v>
      </c>
      <c r="AC30" s="63">
        <f>AC28*AC29*'01 Major Assumptions'!AC$15</f>
        <v>7.5304166666666674</v>
      </c>
      <c r="AD30" s="63">
        <f>AD28*AD29*'01 Major Assumptions'!AD$15</f>
        <v>9.3775000000000013</v>
      </c>
      <c r="AE30" s="63">
        <f>AE28*AE29*'01 Major Assumptions'!AE$15</f>
        <v>11.224583333333335</v>
      </c>
      <c r="AF30" s="63">
        <f>AF28*AF29*'01 Major Assumptions'!AF$15</f>
        <v>13.071666666666667</v>
      </c>
      <c r="AG30" s="63">
        <f>AG28*AG29*'01 Major Assumptions'!AG$15</f>
        <v>14.918750000000001</v>
      </c>
      <c r="AH30" s="63">
        <f>AH28*AH29*'01 Major Assumptions'!AH$15</f>
        <v>16.765833333333333</v>
      </c>
      <c r="AI30" s="63">
        <f>AI28*AI29*'01 Major Assumptions'!AI$15</f>
        <v>18.612916666666667</v>
      </c>
      <c r="AJ30" s="63">
        <f>AJ28*AJ29*'01 Major Assumptions'!AJ$15</f>
        <v>20.46</v>
      </c>
      <c r="AK30" s="63">
        <f>AK28*AK29*'01 Major Assumptions'!AK$15</f>
        <v>22.307083333333338</v>
      </c>
      <c r="AL30" s="63">
        <f>AL28*AL29*'01 Major Assumptions'!AL$15</f>
        <v>24.154166666666669</v>
      </c>
      <c r="AM30" s="63">
        <f>AM28*AM29*'01 Major Assumptions'!AM$15</f>
        <v>26.001250000000002</v>
      </c>
      <c r="AN30" s="63">
        <f>AN28*AN29*'01 Major Assumptions'!AN$15</f>
        <v>27.848333333333333</v>
      </c>
      <c r="AO30" s="63">
        <f>AO28*AO29*'01 Major Assumptions'!AO$15</f>
        <v>27.848333333333333</v>
      </c>
      <c r="AP30" s="63">
        <f>AP28*AP29*'01 Major Assumptions'!AP$15</f>
        <v>27.848333333333333</v>
      </c>
      <c r="AQ30" s="63">
        <f>AQ28*AQ29*'01 Major Assumptions'!AQ$15</f>
        <v>27.848333333333333</v>
      </c>
      <c r="AR30" s="63">
        <f>AR28*AR29*'01 Major Assumptions'!AR$15</f>
        <v>27.848333333333333</v>
      </c>
      <c r="AS30" s="63">
        <f>AS28*AS29*'01 Major Assumptions'!AS$15</f>
        <v>27.848333333333333</v>
      </c>
      <c r="AT30" s="63">
        <f>AT28*AT29*'01 Major Assumptions'!AT$15</f>
        <v>27.848333333333333</v>
      </c>
      <c r="AU30" s="63">
        <f>AU28*AU29*'01 Major Assumptions'!AU$15</f>
        <v>27.848333333333333</v>
      </c>
      <c r="AV30" s="63">
        <f>AV28*AV29*'01 Major Assumptions'!AV$15</f>
        <v>27.848333333333333</v>
      </c>
      <c r="AW30" s="63">
        <f>AW28*AW29*'01 Major Assumptions'!AW$15</f>
        <v>27.848333333333333</v>
      </c>
      <c r="AX30" s="63">
        <f>AX28*AX29*'01 Major Assumptions'!AX$15</f>
        <v>27.848333333333333</v>
      </c>
      <c r="AY30" s="63">
        <f>AY28*AY29*'01 Major Assumptions'!AY$15</f>
        <v>27.848333333333333</v>
      </c>
      <c r="AZ30" s="63">
        <f>AZ28*AZ29*'01 Major Assumptions'!AZ$15</f>
        <v>27.848333333333333</v>
      </c>
      <c r="BA30" s="63">
        <f>BA28*BA29*'01 Major Assumptions'!BA$15</f>
        <v>27.848333333333333</v>
      </c>
      <c r="BB30" s="63">
        <f>BB28*BB29*'01 Major Assumptions'!BB$15</f>
        <v>27.848333333333333</v>
      </c>
      <c r="BC30" s="63">
        <f>BC28*BC29*'01 Major Assumptions'!BC$15</f>
        <v>27.848333333333333</v>
      </c>
      <c r="BD30" s="63">
        <f>BD28*BD29*'01 Major Assumptions'!BD$15</f>
        <v>27.848333333333333</v>
      </c>
      <c r="BE30" s="63">
        <f>BE28*BE29*'01 Major Assumptions'!BE$15</f>
        <v>27.848333333333333</v>
      </c>
      <c r="BF30" s="63">
        <f>BF28*BF29*'01 Major Assumptions'!BF$15</f>
        <v>27.848333333333333</v>
      </c>
      <c r="BG30" s="63">
        <f>BG28*BG29*'01 Major Assumptions'!BG$15</f>
        <v>27.848333333333333</v>
      </c>
      <c r="BH30" s="63">
        <f>BH28*BH29*'01 Major Assumptions'!BH$15</f>
        <v>27.848333333333333</v>
      </c>
      <c r="BI30" s="63">
        <f>BI28*BI29*'01 Major Assumptions'!BI$15</f>
        <v>334.18</v>
      </c>
      <c r="BJ30" s="63">
        <f>BJ28*BJ29*'01 Major Assumptions'!BJ$15</f>
        <v>334.18</v>
      </c>
      <c r="BK30" s="63">
        <f>BK28*BK29*'01 Major Assumptions'!BK$15</f>
        <v>334.18</v>
      </c>
      <c r="BL30" s="63">
        <f>BL28*BL29*'01 Major Assumptions'!BL$15</f>
        <v>334.18</v>
      </c>
      <c r="BM30" s="63">
        <f>BM28*BM29*'01 Major Assumptions'!BM$15</f>
        <v>334.18</v>
      </c>
      <c r="BN30" s="63">
        <f>BN28*BN29*'01 Major Assumptions'!BN$15</f>
        <v>334.18</v>
      </c>
      <c r="BO30" s="63">
        <f>BO28*BO29*'01 Major Assumptions'!BO$15</f>
        <v>334.18</v>
      </c>
    </row>
    <row r="31" spans="1:67">
      <c r="A31" s="11"/>
      <c r="B31" s="11"/>
      <c r="C31" s="11"/>
      <c r="D31" s="33"/>
      <c r="E31" s="43"/>
      <c r="F31" s="4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row>
    <row r="32" spans="1:67">
      <c r="A32" s="18" t="s">
        <v>357</v>
      </c>
      <c r="B32" s="18"/>
      <c r="C32" s="18"/>
      <c r="D32" s="39"/>
      <c r="E32" s="39"/>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c r="AE32" s="39"/>
      <c r="AF32" s="39"/>
      <c r="AG32" s="39"/>
      <c r="AH32" s="39"/>
      <c r="AI32" s="39"/>
      <c r="AJ32" s="39"/>
      <c r="AK32" s="39"/>
      <c r="AL32" s="39"/>
      <c r="AM32" s="39"/>
      <c r="AN32" s="39"/>
      <c r="AO32" s="39"/>
      <c r="AP32" s="39"/>
      <c r="AQ32" s="39"/>
      <c r="AR32" s="39"/>
      <c r="AS32" s="39"/>
      <c r="AT32" s="39"/>
      <c r="AU32" s="39"/>
      <c r="AV32" s="39"/>
      <c r="AW32" s="39"/>
      <c r="AX32" s="39"/>
      <c r="AY32" s="39"/>
      <c r="AZ32" s="39"/>
      <c r="BA32" s="39"/>
      <c r="BB32" s="39"/>
      <c r="BC32" s="39"/>
      <c r="BD32" s="39"/>
      <c r="BE32" s="39"/>
      <c r="BF32" s="39"/>
      <c r="BG32" s="39"/>
      <c r="BH32" s="39"/>
      <c r="BI32" s="39"/>
      <c r="BJ32" s="39"/>
      <c r="BK32" s="39"/>
      <c r="BL32" s="39"/>
      <c r="BM32" s="39"/>
      <c r="BN32" s="39"/>
      <c r="BO32" s="39"/>
    </row>
    <row r="33" spans="1:67">
      <c r="A33" s="11"/>
      <c r="B33" s="11"/>
      <c r="C33" s="11" t="s">
        <v>336</v>
      </c>
      <c r="D33" s="33"/>
      <c r="E33" s="10" t="s">
        <v>358</v>
      </c>
      <c r="F33" s="10"/>
      <c r="G33" s="90">
        <f>$D$8*G$30</f>
        <v>0</v>
      </c>
      <c r="H33" s="90">
        <f t="shared" ref="H33:BO33" si="0">$D$8*H$30</f>
        <v>0</v>
      </c>
      <c r="I33" s="90">
        <f t="shared" si="0"/>
        <v>0</v>
      </c>
      <c r="J33" s="90">
        <f t="shared" si="0"/>
        <v>0</v>
      </c>
      <c r="K33" s="90">
        <f t="shared" si="0"/>
        <v>0</v>
      </c>
      <c r="L33" s="90">
        <f t="shared" si="0"/>
        <v>0</v>
      </c>
      <c r="M33" s="90">
        <f t="shared" si="0"/>
        <v>0</v>
      </c>
      <c r="N33" s="90">
        <f t="shared" si="0"/>
        <v>0</v>
      </c>
      <c r="O33" s="90">
        <f t="shared" si="0"/>
        <v>0</v>
      </c>
      <c r="P33" s="90">
        <f t="shared" si="0"/>
        <v>0</v>
      </c>
      <c r="Q33" s="90">
        <f t="shared" si="0"/>
        <v>0</v>
      </c>
      <c r="R33" s="90">
        <f t="shared" si="0"/>
        <v>0</v>
      </c>
      <c r="S33" s="90">
        <f t="shared" si="0"/>
        <v>0</v>
      </c>
      <c r="T33" s="90">
        <f t="shared" si="0"/>
        <v>0</v>
      </c>
      <c r="U33" s="90">
        <f t="shared" si="0"/>
        <v>0</v>
      </c>
      <c r="V33" s="90">
        <f t="shared" si="0"/>
        <v>0</v>
      </c>
      <c r="W33" s="90">
        <f t="shared" si="0"/>
        <v>0</v>
      </c>
      <c r="X33" s="90">
        <f t="shared" si="0"/>
        <v>0</v>
      </c>
      <c r="Y33" s="63">
        <f t="shared" si="0"/>
        <v>0</v>
      </c>
      <c r="Z33" s="63">
        <f t="shared" si="0"/>
        <v>0</v>
      </c>
      <c r="AA33" s="63">
        <f t="shared" si="0"/>
        <v>0</v>
      </c>
      <c r="AB33" s="63">
        <f t="shared" si="0"/>
        <v>85.25</v>
      </c>
      <c r="AC33" s="63">
        <f t="shared" si="0"/>
        <v>112.95625000000001</v>
      </c>
      <c r="AD33" s="63">
        <f t="shared" si="0"/>
        <v>140.66250000000002</v>
      </c>
      <c r="AE33" s="63">
        <f t="shared" si="0"/>
        <v>168.36875000000003</v>
      </c>
      <c r="AF33" s="63">
        <f t="shared" si="0"/>
        <v>196.07500000000002</v>
      </c>
      <c r="AG33" s="63">
        <f t="shared" si="0"/>
        <v>223.78125000000003</v>
      </c>
      <c r="AH33" s="63">
        <f t="shared" si="0"/>
        <v>251.48750000000001</v>
      </c>
      <c r="AI33" s="63">
        <f t="shared" si="0"/>
        <v>279.19375000000002</v>
      </c>
      <c r="AJ33" s="63">
        <f t="shared" si="0"/>
        <v>306.90000000000003</v>
      </c>
      <c r="AK33" s="63">
        <f t="shared" si="0"/>
        <v>334.60625000000005</v>
      </c>
      <c r="AL33" s="63">
        <f t="shared" si="0"/>
        <v>362.3125</v>
      </c>
      <c r="AM33" s="63">
        <f t="shared" si="0"/>
        <v>390.01875000000001</v>
      </c>
      <c r="AN33" s="63">
        <f t="shared" si="0"/>
        <v>417.72499999999997</v>
      </c>
      <c r="AO33" s="63">
        <f t="shared" si="0"/>
        <v>417.72499999999997</v>
      </c>
      <c r="AP33" s="63">
        <f t="shared" si="0"/>
        <v>417.72499999999997</v>
      </c>
      <c r="AQ33" s="63">
        <f t="shared" si="0"/>
        <v>417.72499999999997</v>
      </c>
      <c r="AR33" s="63">
        <f t="shared" si="0"/>
        <v>417.72499999999997</v>
      </c>
      <c r="AS33" s="63">
        <f t="shared" si="0"/>
        <v>417.72499999999997</v>
      </c>
      <c r="AT33" s="63">
        <f t="shared" si="0"/>
        <v>417.72499999999997</v>
      </c>
      <c r="AU33" s="63">
        <f t="shared" si="0"/>
        <v>417.72499999999997</v>
      </c>
      <c r="AV33" s="63">
        <f t="shared" si="0"/>
        <v>417.72499999999997</v>
      </c>
      <c r="AW33" s="63">
        <f t="shared" si="0"/>
        <v>417.72499999999997</v>
      </c>
      <c r="AX33" s="63">
        <f t="shared" si="0"/>
        <v>417.72499999999997</v>
      </c>
      <c r="AY33" s="63">
        <f t="shared" si="0"/>
        <v>417.72499999999997</v>
      </c>
      <c r="AZ33" s="63">
        <f t="shared" si="0"/>
        <v>417.72499999999997</v>
      </c>
      <c r="BA33" s="63">
        <f t="shared" si="0"/>
        <v>417.72499999999997</v>
      </c>
      <c r="BB33" s="63">
        <f t="shared" si="0"/>
        <v>417.72499999999997</v>
      </c>
      <c r="BC33" s="63">
        <f t="shared" si="0"/>
        <v>417.72499999999997</v>
      </c>
      <c r="BD33" s="63">
        <f t="shared" si="0"/>
        <v>417.72499999999997</v>
      </c>
      <c r="BE33" s="63">
        <f t="shared" si="0"/>
        <v>417.72499999999997</v>
      </c>
      <c r="BF33" s="63">
        <f t="shared" si="0"/>
        <v>417.72499999999997</v>
      </c>
      <c r="BG33" s="63">
        <f t="shared" si="0"/>
        <v>417.72499999999997</v>
      </c>
      <c r="BH33" s="63">
        <f t="shared" si="0"/>
        <v>417.72499999999997</v>
      </c>
      <c r="BI33" s="90">
        <f t="shared" si="0"/>
        <v>5012.7</v>
      </c>
      <c r="BJ33" s="90">
        <f t="shared" si="0"/>
        <v>5012.7</v>
      </c>
      <c r="BK33" s="90">
        <f t="shared" si="0"/>
        <v>5012.7</v>
      </c>
      <c r="BL33" s="90">
        <f t="shared" si="0"/>
        <v>5012.7</v>
      </c>
      <c r="BM33" s="90">
        <f t="shared" si="0"/>
        <v>5012.7</v>
      </c>
      <c r="BN33" s="90">
        <f t="shared" si="0"/>
        <v>5012.7</v>
      </c>
      <c r="BO33" s="90">
        <f t="shared" si="0"/>
        <v>5012.7</v>
      </c>
    </row>
    <row r="34" spans="1:67">
      <c r="A34" s="11"/>
      <c r="B34" s="11"/>
      <c r="C34" s="11" t="s">
        <v>337</v>
      </c>
      <c r="D34" s="33"/>
      <c r="E34" s="10" t="s">
        <v>358</v>
      </c>
      <c r="F34" s="10"/>
      <c r="G34" s="90">
        <f>$D$9*G$30</f>
        <v>0</v>
      </c>
      <c r="H34" s="90">
        <f t="shared" ref="H34:BO34" si="1">$D$9*H$30</f>
        <v>0</v>
      </c>
      <c r="I34" s="90">
        <f t="shared" si="1"/>
        <v>0</v>
      </c>
      <c r="J34" s="90">
        <f t="shared" si="1"/>
        <v>0</v>
      </c>
      <c r="K34" s="90">
        <f t="shared" si="1"/>
        <v>0</v>
      </c>
      <c r="L34" s="90">
        <f t="shared" si="1"/>
        <v>0</v>
      </c>
      <c r="M34" s="90">
        <f t="shared" si="1"/>
        <v>0</v>
      </c>
      <c r="N34" s="90">
        <f t="shared" si="1"/>
        <v>0</v>
      </c>
      <c r="O34" s="90">
        <f t="shared" si="1"/>
        <v>0</v>
      </c>
      <c r="P34" s="90">
        <f t="shared" si="1"/>
        <v>0</v>
      </c>
      <c r="Q34" s="90">
        <f t="shared" si="1"/>
        <v>0</v>
      </c>
      <c r="R34" s="90">
        <f t="shared" si="1"/>
        <v>0</v>
      </c>
      <c r="S34" s="90">
        <f t="shared" si="1"/>
        <v>0</v>
      </c>
      <c r="T34" s="90">
        <f t="shared" si="1"/>
        <v>0</v>
      </c>
      <c r="U34" s="90">
        <f t="shared" si="1"/>
        <v>0</v>
      </c>
      <c r="V34" s="90">
        <f t="shared" si="1"/>
        <v>0</v>
      </c>
      <c r="W34" s="90">
        <f t="shared" si="1"/>
        <v>0</v>
      </c>
      <c r="X34" s="90">
        <f t="shared" si="1"/>
        <v>0</v>
      </c>
      <c r="Y34" s="63">
        <f t="shared" si="1"/>
        <v>0</v>
      </c>
      <c r="Z34" s="63">
        <f t="shared" si="1"/>
        <v>0</v>
      </c>
      <c r="AA34" s="63">
        <f t="shared" si="1"/>
        <v>0</v>
      </c>
      <c r="AB34" s="63">
        <f t="shared" si="1"/>
        <v>85.25</v>
      </c>
      <c r="AC34" s="63">
        <f t="shared" si="1"/>
        <v>112.95625000000001</v>
      </c>
      <c r="AD34" s="63">
        <f t="shared" si="1"/>
        <v>140.66250000000002</v>
      </c>
      <c r="AE34" s="63">
        <f t="shared" si="1"/>
        <v>168.36875000000003</v>
      </c>
      <c r="AF34" s="63">
        <f t="shared" si="1"/>
        <v>196.07500000000002</v>
      </c>
      <c r="AG34" s="63">
        <f t="shared" si="1"/>
        <v>223.78125000000003</v>
      </c>
      <c r="AH34" s="63">
        <f t="shared" si="1"/>
        <v>251.48750000000001</v>
      </c>
      <c r="AI34" s="63">
        <f t="shared" si="1"/>
        <v>279.19375000000002</v>
      </c>
      <c r="AJ34" s="63">
        <f t="shared" si="1"/>
        <v>306.90000000000003</v>
      </c>
      <c r="AK34" s="63">
        <f t="shared" si="1"/>
        <v>334.60625000000005</v>
      </c>
      <c r="AL34" s="63">
        <f t="shared" si="1"/>
        <v>362.3125</v>
      </c>
      <c r="AM34" s="63">
        <f t="shared" si="1"/>
        <v>390.01875000000001</v>
      </c>
      <c r="AN34" s="63">
        <f t="shared" si="1"/>
        <v>417.72499999999997</v>
      </c>
      <c r="AO34" s="63">
        <f t="shared" si="1"/>
        <v>417.72499999999997</v>
      </c>
      <c r="AP34" s="63">
        <f t="shared" si="1"/>
        <v>417.72499999999997</v>
      </c>
      <c r="AQ34" s="63">
        <f t="shared" si="1"/>
        <v>417.72499999999997</v>
      </c>
      <c r="AR34" s="63">
        <f t="shared" si="1"/>
        <v>417.72499999999997</v>
      </c>
      <c r="AS34" s="63">
        <f t="shared" si="1"/>
        <v>417.72499999999997</v>
      </c>
      <c r="AT34" s="63">
        <f t="shared" si="1"/>
        <v>417.72499999999997</v>
      </c>
      <c r="AU34" s="63">
        <f t="shared" si="1"/>
        <v>417.72499999999997</v>
      </c>
      <c r="AV34" s="63">
        <f t="shared" si="1"/>
        <v>417.72499999999997</v>
      </c>
      <c r="AW34" s="63">
        <f t="shared" si="1"/>
        <v>417.72499999999997</v>
      </c>
      <c r="AX34" s="63">
        <f t="shared" si="1"/>
        <v>417.72499999999997</v>
      </c>
      <c r="AY34" s="63">
        <f t="shared" si="1"/>
        <v>417.72499999999997</v>
      </c>
      <c r="AZ34" s="63">
        <f t="shared" si="1"/>
        <v>417.72499999999997</v>
      </c>
      <c r="BA34" s="63">
        <f t="shared" si="1"/>
        <v>417.72499999999997</v>
      </c>
      <c r="BB34" s="63">
        <f t="shared" si="1"/>
        <v>417.72499999999997</v>
      </c>
      <c r="BC34" s="63">
        <f t="shared" si="1"/>
        <v>417.72499999999997</v>
      </c>
      <c r="BD34" s="63">
        <f t="shared" si="1"/>
        <v>417.72499999999997</v>
      </c>
      <c r="BE34" s="63">
        <f t="shared" si="1"/>
        <v>417.72499999999997</v>
      </c>
      <c r="BF34" s="63">
        <f t="shared" si="1"/>
        <v>417.72499999999997</v>
      </c>
      <c r="BG34" s="63">
        <f t="shared" si="1"/>
        <v>417.72499999999997</v>
      </c>
      <c r="BH34" s="63">
        <f t="shared" si="1"/>
        <v>417.72499999999997</v>
      </c>
      <c r="BI34" s="90">
        <f t="shared" si="1"/>
        <v>5012.7</v>
      </c>
      <c r="BJ34" s="90">
        <f t="shared" si="1"/>
        <v>5012.7</v>
      </c>
      <c r="BK34" s="90">
        <f t="shared" si="1"/>
        <v>5012.7</v>
      </c>
      <c r="BL34" s="90">
        <f t="shared" si="1"/>
        <v>5012.7</v>
      </c>
      <c r="BM34" s="90">
        <f t="shared" si="1"/>
        <v>5012.7</v>
      </c>
      <c r="BN34" s="90">
        <f t="shared" si="1"/>
        <v>5012.7</v>
      </c>
      <c r="BO34" s="90">
        <f t="shared" si="1"/>
        <v>5012.7</v>
      </c>
    </row>
    <row r="35" spans="1:67">
      <c r="A35" s="11"/>
      <c r="B35" s="11"/>
      <c r="C35" s="11" t="s">
        <v>338</v>
      </c>
      <c r="D35" s="33"/>
      <c r="E35" s="10" t="s">
        <v>358</v>
      </c>
      <c r="F35" s="10"/>
      <c r="G35" s="90">
        <f>$D$10*G$30</f>
        <v>0</v>
      </c>
      <c r="H35" s="90">
        <f t="shared" ref="H35:BO35" si="2">$D$10*H$30</f>
        <v>0</v>
      </c>
      <c r="I35" s="90">
        <f t="shared" si="2"/>
        <v>0</v>
      </c>
      <c r="J35" s="90">
        <f t="shared" si="2"/>
        <v>0</v>
      </c>
      <c r="K35" s="90">
        <f t="shared" si="2"/>
        <v>0</v>
      </c>
      <c r="L35" s="90">
        <f t="shared" si="2"/>
        <v>0</v>
      </c>
      <c r="M35" s="90">
        <f t="shared" si="2"/>
        <v>0</v>
      </c>
      <c r="N35" s="90">
        <f t="shared" si="2"/>
        <v>0</v>
      </c>
      <c r="O35" s="90">
        <f t="shared" si="2"/>
        <v>0</v>
      </c>
      <c r="P35" s="90">
        <f t="shared" si="2"/>
        <v>0</v>
      </c>
      <c r="Q35" s="90">
        <f t="shared" si="2"/>
        <v>0</v>
      </c>
      <c r="R35" s="90">
        <f t="shared" si="2"/>
        <v>0</v>
      </c>
      <c r="S35" s="90">
        <f t="shared" si="2"/>
        <v>0</v>
      </c>
      <c r="T35" s="90">
        <f t="shared" si="2"/>
        <v>0</v>
      </c>
      <c r="U35" s="90">
        <f t="shared" si="2"/>
        <v>0</v>
      </c>
      <c r="V35" s="90">
        <f t="shared" si="2"/>
        <v>0</v>
      </c>
      <c r="W35" s="90">
        <f t="shared" si="2"/>
        <v>0</v>
      </c>
      <c r="X35" s="90">
        <f t="shared" si="2"/>
        <v>0</v>
      </c>
      <c r="Y35" s="63">
        <f t="shared" si="2"/>
        <v>0</v>
      </c>
      <c r="Z35" s="63">
        <f t="shared" si="2"/>
        <v>0</v>
      </c>
      <c r="AA35" s="63">
        <f t="shared" si="2"/>
        <v>0</v>
      </c>
      <c r="AB35" s="63">
        <f t="shared" si="2"/>
        <v>85.25</v>
      </c>
      <c r="AC35" s="63">
        <f t="shared" si="2"/>
        <v>112.95625000000001</v>
      </c>
      <c r="AD35" s="63">
        <f t="shared" si="2"/>
        <v>140.66250000000002</v>
      </c>
      <c r="AE35" s="63">
        <f t="shared" si="2"/>
        <v>168.36875000000003</v>
      </c>
      <c r="AF35" s="63">
        <f t="shared" si="2"/>
        <v>196.07500000000002</v>
      </c>
      <c r="AG35" s="63">
        <f t="shared" si="2"/>
        <v>223.78125000000003</v>
      </c>
      <c r="AH35" s="63">
        <f t="shared" si="2"/>
        <v>251.48750000000001</v>
      </c>
      <c r="AI35" s="63">
        <f t="shared" si="2"/>
        <v>279.19375000000002</v>
      </c>
      <c r="AJ35" s="63">
        <f t="shared" si="2"/>
        <v>306.90000000000003</v>
      </c>
      <c r="AK35" s="63">
        <f t="shared" si="2"/>
        <v>334.60625000000005</v>
      </c>
      <c r="AL35" s="63">
        <f t="shared" si="2"/>
        <v>362.3125</v>
      </c>
      <c r="AM35" s="63">
        <f t="shared" si="2"/>
        <v>390.01875000000001</v>
      </c>
      <c r="AN35" s="63">
        <f t="shared" si="2"/>
        <v>417.72499999999997</v>
      </c>
      <c r="AO35" s="63">
        <f t="shared" si="2"/>
        <v>417.72499999999997</v>
      </c>
      <c r="AP35" s="63">
        <f t="shared" si="2"/>
        <v>417.72499999999997</v>
      </c>
      <c r="AQ35" s="63">
        <f t="shared" si="2"/>
        <v>417.72499999999997</v>
      </c>
      <c r="AR35" s="63">
        <f t="shared" si="2"/>
        <v>417.72499999999997</v>
      </c>
      <c r="AS35" s="63">
        <f t="shared" si="2"/>
        <v>417.72499999999997</v>
      </c>
      <c r="AT35" s="63">
        <f t="shared" si="2"/>
        <v>417.72499999999997</v>
      </c>
      <c r="AU35" s="63">
        <f t="shared" si="2"/>
        <v>417.72499999999997</v>
      </c>
      <c r="AV35" s="63">
        <f t="shared" si="2"/>
        <v>417.72499999999997</v>
      </c>
      <c r="AW35" s="63">
        <f t="shared" si="2"/>
        <v>417.72499999999997</v>
      </c>
      <c r="AX35" s="63">
        <f t="shared" si="2"/>
        <v>417.72499999999997</v>
      </c>
      <c r="AY35" s="63">
        <f t="shared" si="2"/>
        <v>417.72499999999997</v>
      </c>
      <c r="AZ35" s="63">
        <f t="shared" si="2"/>
        <v>417.72499999999997</v>
      </c>
      <c r="BA35" s="63">
        <f t="shared" si="2"/>
        <v>417.72499999999997</v>
      </c>
      <c r="BB35" s="63">
        <f t="shared" si="2"/>
        <v>417.72499999999997</v>
      </c>
      <c r="BC35" s="63">
        <f t="shared" si="2"/>
        <v>417.72499999999997</v>
      </c>
      <c r="BD35" s="63">
        <f t="shared" si="2"/>
        <v>417.72499999999997</v>
      </c>
      <c r="BE35" s="63">
        <f t="shared" si="2"/>
        <v>417.72499999999997</v>
      </c>
      <c r="BF35" s="63">
        <f t="shared" si="2"/>
        <v>417.72499999999997</v>
      </c>
      <c r="BG35" s="63">
        <f t="shared" si="2"/>
        <v>417.72499999999997</v>
      </c>
      <c r="BH35" s="63">
        <f t="shared" si="2"/>
        <v>417.72499999999997</v>
      </c>
      <c r="BI35" s="90">
        <f t="shared" si="2"/>
        <v>5012.7</v>
      </c>
      <c r="BJ35" s="90">
        <f t="shared" si="2"/>
        <v>5012.7</v>
      </c>
      <c r="BK35" s="90">
        <f t="shared" si="2"/>
        <v>5012.7</v>
      </c>
      <c r="BL35" s="90">
        <f t="shared" si="2"/>
        <v>5012.7</v>
      </c>
      <c r="BM35" s="90">
        <f t="shared" si="2"/>
        <v>5012.7</v>
      </c>
      <c r="BN35" s="90">
        <f t="shared" si="2"/>
        <v>5012.7</v>
      </c>
      <c r="BO35" s="90">
        <f t="shared" si="2"/>
        <v>5012.7</v>
      </c>
    </row>
    <row r="36" spans="1:67">
      <c r="A36" s="11"/>
      <c r="B36" s="11"/>
      <c r="C36" s="11" t="s">
        <v>339</v>
      </c>
      <c r="D36" s="33"/>
      <c r="E36" s="10" t="s">
        <v>358</v>
      </c>
      <c r="F36" s="10"/>
      <c r="G36" s="90">
        <f>$D$11*G$30</f>
        <v>0</v>
      </c>
      <c r="H36" s="90">
        <f t="shared" ref="H36:BO36" si="3">$D$11*H$30</f>
        <v>0</v>
      </c>
      <c r="I36" s="90">
        <f t="shared" si="3"/>
        <v>0</v>
      </c>
      <c r="J36" s="90">
        <f t="shared" si="3"/>
        <v>0</v>
      </c>
      <c r="K36" s="90">
        <f t="shared" si="3"/>
        <v>0</v>
      </c>
      <c r="L36" s="90">
        <f t="shared" si="3"/>
        <v>0</v>
      </c>
      <c r="M36" s="90">
        <f t="shared" si="3"/>
        <v>0</v>
      </c>
      <c r="N36" s="90">
        <f t="shared" si="3"/>
        <v>0</v>
      </c>
      <c r="O36" s="90">
        <f t="shared" si="3"/>
        <v>0</v>
      </c>
      <c r="P36" s="90">
        <f t="shared" si="3"/>
        <v>0</v>
      </c>
      <c r="Q36" s="90">
        <f t="shared" si="3"/>
        <v>0</v>
      </c>
      <c r="R36" s="90">
        <f t="shared" si="3"/>
        <v>0</v>
      </c>
      <c r="S36" s="90">
        <f t="shared" si="3"/>
        <v>0</v>
      </c>
      <c r="T36" s="90">
        <f t="shared" si="3"/>
        <v>0</v>
      </c>
      <c r="U36" s="90">
        <f t="shared" si="3"/>
        <v>0</v>
      </c>
      <c r="V36" s="90">
        <f t="shared" si="3"/>
        <v>0</v>
      </c>
      <c r="W36" s="90">
        <f t="shared" si="3"/>
        <v>0</v>
      </c>
      <c r="X36" s="90">
        <f t="shared" si="3"/>
        <v>0</v>
      </c>
      <c r="Y36" s="63">
        <f t="shared" si="3"/>
        <v>0</v>
      </c>
      <c r="Z36" s="63">
        <f t="shared" si="3"/>
        <v>0</v>
      </c>
      <c r="AA36" s="63">
        <f t="shared" si="3"/>
        <v>0</v>
      </c>
      <c r="AB36" s="63">
        <f t="shared" si="3"/>
        <v>85.25</v>
      </c>
      <c r="AC36" s="63">
        <f t="shared" si="3"/>
        <v>112.95625000000001</v>
      </c>
      <c r="AD36" s="63">
        <f t="shared" si="3"/>
        <v>140.66250000000002</v>
      </c>
      <c r="AE36" s="63">
        <f t="shared" si="3"/>
        <v>168.36875000000003</v>
      </c>
      <c r="AF36" s="63">
        <f t="shared" si="3"/>
        <v>196.07500000000002</v>
      </c>
      <c r="AG36" s="63">
        <f t="shared" si="3"/>
        <v>223.78125000000003</v>
      </c>
      <c r="AH36" s="63">
        <f t="shared" si="3"/>
        <v>251.48750000000001</v>
      </c>
      <c r="AI36" s="63">
        <f t="shared" si="3"/>
        <v>279.19375000000002</v>
      </c>
      <c r="AJ36" s="63">
        <f t="shared" si="3"/>
        <v>306.90000000000003</v>
      </c>
      <c r="AK36" s="63">
        <f t="shared" si="3"/>
        <v>334.60625000000005</v>
      </c>
      <c r="AL36" s="63">
        <f t="shared" si="3"/>
        <v>362.3125</v>
      </c>
      <c r="AM36" s="63">
        <f t="shared" si="3"/>
        <v>390.01875000000001</v>
      </c>
      <c r="AN36" s="63">
        <f t="shared" si="3"/>
        <v>417.72499999999997</v>
      </c>
      <c r="AO36" s="63">
        <f t="shared" si="3"/>
        <v>417.72499999999997</v>
      </c>
      <c r="AP36" s="63">
        <f t="shared" si="3"/>
        <v>417.72499999999997</v>
      </c>
      <c r="AQ36" s="63">
        <f t="shared" si="3"/>
        <v>417.72499999999997</v>
      </c>
      <c r="AR36" s="63">
        <f t="shared" si="3"/>
        <v>417.72499999999997</v>
      </c>
      <c r="AS36" s="63">
        <f t="shared" si="3"/>
        <v>417.72499999999997</v>
      </c>
      <c r="AT36" s="63">
        <f t="shared" si="3"/>
        <v>417.72499999999997</v>
      </c>
      <c r="AU36" s="63">
        <f t="shared" si="3"/>
        <v>417.72499999999997</v>
      </c>
      <c r="AV36" s="63">
        <f t="shared" si="3"/>
        <v>417.72499999999997</v>
      </c>
      <c r="AW36" s="63">
        <f t="shared" si="3"/>
        <v>417.72499999999997</v>
      </c>
      <c r="AX36" s="63">
        <f t="shared" si="3"/>
        <v>417.72499999999997</v>
      </c>
      <c r="AY36" s="63">
        <f t="shared" si="3"/>
        <v>417.72499999999997</v>
      </c>
      <c r="AZ36" s="63">
        <f t="shared" si="3"/>
        <v>417.72499999999997</v>
      </c>
      <c r="BA36" s="63">
        <f t="shared" si="3"/>
        <v>417.72499999999997</v>
      </c>
      <c r="BB36" s="63">
        <f t="shared" si="3"/>
        <v>417.72499999999997</v>
      </c>
      <c r="BC36" s="63">
        <f t="shared" si="3"/>
        <v>417.72499999999997</v>
      </c>
      <c r="BD36" s="63">
        <f t="shared" si="3"/>
        <v>417.72499999999997</v>
      </c>
      <c r="BE36" s="63">
        <f t="shared" si="3"/>
        <v>417.72499999999997</v>
      </c>
      <c r="BF36" s="63">
        <f t="shared" si="3"/>
        <v>417.72499999999997</v>
      </c>
      <c r="BG36" s="63">
        <f t="shared" si="3"/>
        <v>417.72499999999997</v>
      </c>
      <c r="BH36" s="63">
        <f t="shared" si="3"/>
        <v>417.72499999999997</v>
      </c>
      <c r="BI36" s="90">
        <f t="shared" si="3"/>
        <v>5012.7</v>
      </c>
      <c r="BJ36" s="90">
        <f t="shared" si="3"/>
        <v>5012.7</v>
      </c>
      <c r="BK36" s="90">
        <f t="shared" si="3"/>
        <v>5012.7</v>
      </c>
      <c r="BL36" s="90">
        <f t="shared" si="3"/>
        <v>5012.7</v>
      </c>
      <c r="BM36" s="90">
        <f t="shared" si="3"/>
        <v>5012.7</v>
      </c>
      <c r="BN36" s="90">
        <f t="shared" si="3"/>
        <v>5012.7</v>
      </c>
      <c r="BO36" s="90">
        <f t="shared" si="3"/>
        <v>5012.7</v>
      </c>
    </row>
    <row r="37" spans="1:67">
      <c r="A37" s="11"/>
      <c r="B37" s="11"/>
      <c r="C37" s="11" t="s">
        <v>340</v>
      </c>
      <c r="D37" s="33"/>
      <c r="E37" s="10" t="s">
        <v>358</v>
      </c>
      <c r="F37" s="10"/>
      <c r="G37" s="90">
        <f>$D$12*G$30</f>
        <v>0</v>
      </c>
      <c r="H37" s="90">
        <f t="shared" ref="H37:BO37" si="4">$D$12*H$30</f>
        <v>0</v>
      </c>
      <c r="I37" s="90">
        <f t="shared" si="4"/>
        <v>0</v>
      </c>
      <c r="J37" s="90">
        <f t="shared" si="4"/>
        <v>0</v>
      </c>
      <c r="K37" s="90">
        <f t="shared" si="4"/>
        <v>0</v>
      </c>
      <c r="L37" s="90">
        <f t="shared" si="4"/>
        <v>0</v>
      </c>
      <c r="M37" s="90">
        <f t="shared" si="4"/>
        <v>0</v>
      </c>
      <c r="N37" s="90">
        <f t="shared" si="4"/>
        <v>0</v>
      </c>
      <c r="O37" s="90">
        <f t="shared" si="4"/>
        <v>0</v>
      </c>
      <c r="P37" s="90">
        <f t="shared" si="4"/>
        <v>0</v>
      </c>
      <c r="Q37" s="90">
        <f t="shared" si="4"/>
        <v>0</v>
      </c>
      <c r="R37" s="90">
        <f t="shared" si="4"/>
        <v>0</v>
      </c>
      <c r="S37" s="90">
        <f t="shared" si="4"/>
        <v>0</v>
      </c>
      <c r="T37" s="90">
        <f t="shared" si="4"/>
        <v>0</v>
      </c>
      <c r="U37" s="90">
        <f t="shared" si="4"/>
        <v>0</v>
      </c>
      <c r="V37" s="90">
        <f t="shared" si="4"/>
        <v>0</v>
      </c>
      <c r="W37" s="90">
        <f t="shared" si="4"/>
        <v>0</v>
      </c>
      <c r="X37" s="90">
        <f t="shared" si="4"/>
        <v>0</v>
      </c>
      <c r="Y37" s="63">
        <f t="shared" si="4"/>
        <v>0</v>
      </c>
      <c r="Z37" s="63">
        <f t="shared" si="4"/>
        <v>0</v>
      </c>
      <c r="AA37" s="63">
        <f t="shared" si="4"/>
        <v>0</v>
      </c>
      <c r="AB37" s="63">
        <f t="shared" si="4"/>
        <v>85.25</v>
      </c>
      <c r="AC37" s="63">
        <f t="shared" si="4"/>
        <v>112.95625000000001</v>
      </c>
      <c r="AD37" s="63">
        <f t="shared" si="4"/>
        <v>140.66250000000002</v>
      </c>
      <c r="AE37" s="63">
        <f t="shared" si="4"/>
        <v>168.36875000000003</v>
      </c>
      <c r="AF37" s="63">
        <f t="shared" si="4"/>
        <v>196.07500000000002</v>
      </c>
      <c r="AG37" s="63">
        <f t="shared" si="4"/>
        <v>223.78125000000003</v>
      </c>
      <c r="AH37" s="63">
        <f t="shared" si="4"/>
        <v>251.48750000000001</v>
      </c>
      <c r="AI37" s="63">
        <f t="shared" si="4"/>
        <v>279.19375000000002</v>
      </c>
      <c r="AJ37" s="63">
        <f t="shared" si="4"/>
        <v>306.90000000000003</v>
      </c>
      <c r="AK37" s="63">
        <f t="shared" si="4"/>
        <v>334.60625000000005</v>
      </c>
      <c r="AL37" s="63">
        <f t="shared" si="4"/>
        <v>362.3125</v>
      </c>
      <c r="AM37" s="63">
        <f t="shared" si="4"/>
        <v>390.01875000000001</v>
      </c>
      <c r="AN37" s="63">
        <f t="shared" si="4"/>
        <v>417.72499999999997</v>
      </c>
      <c r="AO37" s="63">
        <f t="shared" si="4"/>
        <v>417.72499999999997</v>
      </c>
      <c r="AP37" s="63">
        <f t="shared" si="4"/>
        <v>417.72499999999997</v>
      </c>
      <c r="AQ37" s="63">
        <f t="shared" si="4"/>
        <v>417.72499999999997</v>
      </c>
      <c r="AR37" s="63">
        <f t="shared" si="4"/>
        <v>417.72499999999997</v>
      </c>
      <c r="AS37" s="63">
        <f t="shared" si="4"/>
        <v>417.72499999999997</v>
      </c>
      <c r="AT37" s="63">
        <f t="shared" si="4"/>
        <v>417.72499999999997</v>
      </c>
      <c r="AU37" s="63">
        <f t="shared" si="4"/>
        <v>417.72499999999997</v>
      </c>
      <c r="AV37" s="63">
        <f t="shared" si="4"/>
        <v>417.72499999999997</v>
      </c>
      <c r="AW37" s="63">
        <f t="shared" si="4"/>
        <v>417.72499999999997</v>
      </c>
      <c r="AX37" s="63">
        <f t="shared" si="4"/>
        <v>417.72499999999997</v>
      </c>
      <c r="AY37" s="63">
        <f t="shared" si="4"/>
        <v>417.72499999999997</v>
      </c>
      <c r="AZ37" s="63">
        <f t="shared" si="4"/>
        <v>417.72499999999997</v>
      </c>
      <c r="BA37" s="63">
        <f t="shared" si="4"/>
        <v>417.72499999999997</v>
      </c>
      <c r="BB37" s="63">
        <f t="shared" si="4"/>
        <v>417.72499999999997</v>
      </c>
      <c r="BC37" s="63">
        <f t="shared" si="4"/>
        <v>417.72499999999997</v>
      </c>
      <c r="BD37" s="63">
        <f t="shared" si="4"/>
        <v>417.72499999999997</v>
      </c>
      <c r="BE37" s="63">
        <f t="shared" si="4"/>
        <v>417.72499999999997</v>
      </c>
      <c r="BF37" s="63">
        <f t="shared" si="4"/>
        <v>417.72499999999997</v>
      </c>
      <c r="BG37" s="63">
        <f t="shared" si="4"/>
        <v>417.72499999999997</v>
      </c>
      <c r="BH37" s="63">
        <f t="shared" si="4"/>
        <v>417.72499999999997</v>
      </c>
      <c r="BI37" s="90">
        <f t="shared" si="4"/>
        <v>5012.7</v>
      </c>
      <c r="BJ37" s="90">
        <f t="shared" si="4"/>
        <v>5012.7</v>
      </c>
      <c r="BK37" s="90">
        <f t="shared" si="4"/>
        <v>5012.7</v>
      </c>
      <c r="BL37" s="90">
        <f t="shared" si="4"/>
        <v>5012.7</v>
      </c>
      <c r="BM37" s="90">
        <f t="shared" si="4"/>
        <v>5012.7</v>
      </c>
      <c r="BN37" s="90">
        <f t="shared" si="4"/>
        <v>5012.7</v>
      </c>
      <c r="BO37" s="90">
        <f t="shared" si="4"/>
        <v>5012.7</v>
      </c>
    </row>
    <row r="38" spans="1:67">
      <c r="A38" s="11"/>
      <c r="B38" s="11"/>
      <c r="C38" s="11" t="s">
        <v>341</v>
      </c>
      <c r="D38" s="33"/>
      <c r="E38" s="10" t="s">
        <v>358</v>
      </c>
      <c r="F38" s="10"/>
      <c r="G38" s="90">
        <f>$D$13*G$30</f>
        <v>0</v>
      </c>
      <c r="H38" s="90">
        <f t="shared" ref="H38:BO38" si="5">$D$13*H$30</f>
        <v>0</v>
      </c>
      <c r="I38" s="90">
        <f t="shared" si="5"/>
        <v>0</v>
      </c>
      <c r="J38" s="90">
        <f t="shared" si="5"/>
        <v>0</v>
      </c>
      <c r="K38" s="90">
        <f t="shared" si="5"/>
        <v>0</v>
      </c>
      <c r="L38" s="90">
        <f t="shared" si="5"/>
        <v>0</v>
      </c>
      <c r="M38" s="90">
        <f t="shared" si="5"/>
        <v>0</v>
      </c>
      <c r="N38" s="90">
        <f t="shared" si="5"/>
        <v>0</v>
      </c>
      <c r="O38" s="90">
        <f t="shared" si="5"/>
        <v>0</v>
      </c>
      <c r="P38" s="90">
        <f t="shared" si="5"/>
        <v>0</v>
      </c>
      <c r="Q38" s="90">
        <f t="shared" si="5"/>
        <v>0</v>
      </c>
      <c r="R38" s="90">
        <f t="shared" si="5"/>
        <v>0</v>
      </c>
      <c r="S38" s="90">
        <f t="shared" si="5"/>
        <v>0</v>
      </c>
      <c r="T38" s="90">
        <f t="shared" si="5"/>
        <v>0</v>
      </c>
      <c r="U38" s="90">
        <f t="shared" si="5"/>
        <v>0</v>
      </c>
      <c r="V38" s="90">
        <f t="shared" si="5"/>
        <v>0</v>
      </c>
      <c r="W38" s="90">
        <f t="shared" si="5"/>
        <v>0</v>
      </c>
      <c r="X38" s="90">
        <f t="shared" si="5"/>
        <v>0</v>
      </c>
      <c r="Y38" s="63">
        <f t="shared" si="5"/>
        <v>0</v>
      </c>
      <c r="Z38" s="63">
        <f t="shared" si="5"/>
        <v>0</v>
      </c>
      <c r="AA38" s="63">
        <f t="shared" si="5"/>
        <v>0</v>
      </c>
      <c r="AB38" s="63">
        <f t="shared" si="5"/>
        <v>85.25</v>
      </c>
      <c r="AC38" s="63">
        <f t="shared" si="5"/>
        <v>112.95625000000001</v>
      </c>
      <c r="AD38" s="63">
        <f t="shared" si="5"/>
        <v>140.66250000000002</v>
      </c>
      <c r="AE38" s="63">
        <f t="shared" si="5"/>
        <v>168.36875000000003</v>
      </c>
      <c r="AF38" s="63">
        <f t="shared" si="5"/>
        <v>196.07500000000002</v>
      </c>
      <c r="AG38" s="63">
        <f t="shared" si="5"/>
        <v>223.78125000000003</v>
      </c>
      <c r="AH38" s="63">
        <f t="shared" si="5"/>
        <v>251.48750000000001</v>
      </c>
      <c r="AI38" s="63">
        <f t="shared" si="5"/>
        <v>279.19375000000002</v>
      </c>
      <c r="AJ38" s="63">
        <f t="shared" si="5"/>
        <v>306.90000000000003</v>
      </c>
      <c r="AK38" s="63">
        <f t="shared" si="5"/>
        <v>334.60625000000005</v>
      </c>
      <c r="AL38" s="63">
        <f t="shared" si="5"/>
        <v>362.3125</v>
      </c>
      <c r="AM38" s="63">
        <f t="shared" si="5"/>
        <v>390.01875000000001</v>
      </c>
      <c r="AN38" s="63">
        <f t="shared" si="5"/>
        <v>417.72499999999997</v>
      </c>
      <c r="AO38" s="63">
        <f t="shared" si="5"/>
        <v>417.72499999999997</v>
      </c>
      <c r="AP38" s="63">
        <f t="shared" si="5"/>
        <v>417.72499999999997</v>
      </c>
      <c r="AQ38" s="63">
        <f t="shared" si="5"/>
        <v>417.72499999999997</v>
      </c>
      <c r="AR38" s="63">
        <f t="shared" si="5"/>
        <v>417.72499999999997</v>
      </c>
      <c r="AS38" s="63">
        <f t="shared" si="5"/>
        <v>417.72499999999997</v>
      </c>
      <c r="AT38" s="63">
        <f t="shared" si="5"/>
        <v>417.72499999999997</v>
      </c>
      <c r="AU38" s="63">
        <f t="shared" si="5"/>
        <v>417.72499999999997</v>
      </c>
      <c r="AV38" s="63">
        <f t="shared" si="5"/>
        <v>417.72499999999997</v>
      </c>
      <c r="AW38" s="63">
        <f t="shared" si="5"/>
        <v>417.72499999999997</v>
      </c>
      <c r="AX38" s="63">
        <f t="shared" si="5"/>
        <v>417.72499999999997</v>
      </c>
      <c r="AY38" s="63">
        <f t="shared" si="5"/>
        <v>417.72499999999997</v>
      </c>
      <c r="AZ38" s="63">
        <f t="shared" si="5"/>
        <v>417.72499999999997</v>
      </c>
      <c r="BA38" s="63">
        <f t="shared" si="5"/>
        <v>417.72499999999997</v>
      </c>
      <c r="BB38" s="63">
        <f t="shared" si="5"/>
        <v>417.72499999999997</v>
      </c>
      <c r="BC38" s="63">
        <f t="shared" si="5"/>
        <v>417.72499999999997</v>
      </c>
      <c r="BD38" s="63">
        <f t="shared" si="5"/>
        <v>417.72499999999997</v>
      </c>
      <c r="BE38" s="63">
        <f t="shared" si="5"/>
        <v>417.72499999999997</v>
      </c>
      <c r="BF38" s="63">
        <f t="shared" si="5"/>
        <v>417.72499999999997</v>
      </c>
      <c r="BG38" s="63">
        <f t="shared" si="5"/>
        <v>417.72499999999997</v>
      </c>
      <c r="BH38" s="63">
        <f t="shared" si="5"/>
        <v>417.72499999999997</v>
      </c>
      <c r="BI38" s="90">
        <f t="shared" si="5"/>
        <v>5012.7</v>
      </c>
      <c r="BJ38" s="90">
        <f t="shared" si="5"/>
        <v>5012.7</v>
      </c>
      <c r="BK38" s="90">
        <f t="shared" si="5"/>
        <v>5012.7</v>
      </c>
      <c r="BL38" s="90">
        <f t="shared" si="5"/>
        <v>5012.7</v>
      </c>
      <c r="BM38" s="90">
        <f t="shared" si="5"/>
        <v>5012.7</v>
      </c>
      <c r="BN38" s="90">
        <f t="shared" si="5"/>
        <v>5012.7</v>
      </c>
      <c r="BO38" s="90">
        <f t="shared" si="5"/>
        <v>5012.7</v>
      </c>
    </row>
    <row r="39" spans="1:67">
      <c r="A39" s="11"/>
      <c r="B39" s="11"/>
      <c r="C39" s="11" t="s">
        <v>342</v>
      </c>
      <c r="D39" s="33"/>
      <c r="E39" s="10" t="s">
        <v>358</v>
      </c>
      <c r="F39" s="10"/>
      <c r="G39" s="90">
        <f>$D$14*G$30</f>
        <v>0</v>
      </c>
      <c r="H39" s="90">
        <f t="shared" ref="H39:BO39" si="6">$D$14*H$30</f>
        <v>0</v>
      </c>
      <c r="I39" s="90">
        <f t="shared" si="6"/>
        <v>0</v>
      </c>
      <c r="J39" s="90">
        <f t="shared" si="6"/>
        <v>0</v>
      </c>
      <c r="K39" s="90">
        <f t="shared" si="6"/>
        <v>0</v>
      </c>
      <c r="L39" s="90">
        <f t="shared" si="6"/>
        <v>0</v>
      </c>
      <c r="M39" s="90">
        <f t="shared" si="6"/>
        <v>0</v>
      </c>
      <c r="N39" s="90">
        <f t="shared" si="6"/>
        <v>0</v>
      </c>
      <c r="O39" s="90">
        <f t="shared" si="6"/>
        <v>0</v>
      </c>
      <c r="P39" s="90">
        <f t="shared" si="6"/>
        <v>0</v>
      </c>
      <c r="Q39" s="90">
        <f t="shared" si="6"/>
        <v>0</v>
      </c>
      <c r="R39" s="90">
        <f t="shared" si="6"/>
        <v>0</v>
      </c>
      <c r="S39" s="90">
        <f t="shared" si="6"/>
        <v>0</v>
      </c>
      <c r="T39" s="90">
        <f t="shared" si="6"/>
        <v>0</v>
      </c>
      <c r="U39" s="90">
        <f t="shared" si="6"/>
        <v>0</v>
      </c>
      <c r="V39" s="90">
        <f t="shared" si="6"/>
        <v>0</v>
      </c>
      <c r="W39" s="90">
        <f t="shared" si="6"/>
        <v>0</v>
      </c>
      <c r="X39" s="90">
        <f t="shared" si="6"/>
        <v>0</v>
      </c>
      <c r="Y39" s="63">
        <f t="shared" si="6"/>
        <v>0</v>
      </c>
      <c r="Z39" s="63">
        <f t="shared" si="6"/>
        <v>0</v>
      </c>
      <c r="AA39" s="63">
        <f t="shared" si="6"/>
        <v>0</v>
      </c>
      <c r="AB39" s="63">
        <f t="shared" si="6"/>
        <v>85.25</v>
      </c>
      <c r="AC39" s="63">
        <f t="shared" si="6"/>
        <v>112.95625000000001</v>
      </c>
      <c r="AD39" s="63">
        <f t="shared" si="6"/>
        <v>140.66250000000002</v>
      </c>
      <c r="AE39" s="63">
        <f t="shared" si="6"/>
        <v>168.36875000000003</v>
      </c>
      <c r="AF39" s="63">
        <f t="shared" si="6"/>
        <v>196.07500000000002</v>
      </c>
      <c r="AG39" s="63">
        <f t="shared" si="6"/>
        <v>223.78125000000003</v>
      </c>
      <c r="AH39" s="63">
        <f t="shared" si="6"/>
        <v>251.48750000000001</v>
      </c>
      <c r="AI39" s="63">
        <f t="shared" si="6"/>
        <v>279.19375000000002</v>
      </c>
      <c r="AJ39" s="63">
        <f t="shared" si="6"/>
        <v>306.90000000000003</v>
      </c>
      <c r="AK39" s="63">
        <f t="shared" si="6"/>
        <v>334.60625000000005</v>
      </c>
      <c r="AL39" s="63">
        <f t="shared" si="6"/>
        <v>362.3125</v>
      </c>
      <c r="AM39" s="63">
        <f t="shared" si="6"/>
        <v>390.01875000000001</v>
      </c>
      <c r="AN39" s="63">
        <f t="shared" si="6"/>
        <v>417.72499999999997</v>
      </c>
      <c r="AO39" s="63">
        <f t="shared" si="6"/>
        <v>417.72499999999997</v>
      </c>
      <c r="AP39" s="63">
        <f t="shared" si="6"/>
        <v>417.72499999999997</v>
      </c>
      <c r="AQ39" s="63">
        <f t="shared" si="6"/>
        <v>417.72499999999997</v>
      </c>
      <c r="AR39" s="63">
        <f t="shared" si="6"/>
        <v>417.72499999999997</v>
      </c>
      <c r="AS39" s="63">
        <f t="shared" si="6"/>
        <v>417.72499999999997</v>
      </c>
      <c r="AT39" s="63">
        <f t="shared" si="6"/>
        <v>417.72499999999997</v>
      </c>
      <c r="AU39" s="63">
        <f t="shared" si="6"/>
        <v>417.72499999999997</v>
      </c>
      <c r="AV39" s="63">
        <f t="shared" si="6"/>
        <v>417.72499999999997</v>
      </c>
      <c r="AW39" s="63">
        <f t="shared" si="6"/>
        <v>417.72499999999997</v>
      </c>
      <c r="AX39" s="63">
        <f t="shared" si="6"/>
        <v>417.72499999999997</v>
      </c>
      <c r="AY39" s="63">
        <f t="shared" si="6"/>
        <v>417.72499999999997</v>
      </c>
      <c r="AZ39" s="63">
        <f t="shared" si="6"/>
        <v>417.72499999999997</v>
      </c>
      <c r="BA39" s="63">
        <f t="shared" si="6"/>
        <v>417.72499999999997</v>
      </c>
      <c r="BB39" s="63">
        <f t="shared" si="6"/>
        <v>417.72499999999997</v>
      </c>
      <c r="BC39" s="63">
        <f t="shared" si="6"/>
        <v>417.72499999999997</v>
      </c>
      <c r="BD39" s="63">
        <f t="shared" si="6"/>
        <v>417.72499999999997</v>
      </c>
      <c r="BE39" s="63">
        <f t="shared" si="6"/>
        <v>417.72499999999997</v>
      </c>
      <c r="BF39" s="63">
        <f t="shared" si="6"/>
        <v>417.72499999999997</v>
      </c>
      <c r="BG39" s="63">
        <f t="shared" si="6"/>
        <v>417.72499999999997</v>
      </c>
      <c r="BH39" s="63">
        <f t="shared" si="6"/>
        <v>417.72499999999997</v>
      </c>
      <c r="BI39" s="90">
        <f t="shared" si="6"/>
        <v>5012.7</v>
      </c>
      <c r="BJ39" s="90">
        <f t="shared" si="6"/>
        <v>5012.7</v>
      </c>
      <c r="BK39" s="90">
        <f t="shared" si="6"/>
        <v>5012.7</v>
      </c>
      <c r="BL39" s="90">
        <f t="shared" si="6"/>
        <v>5012.7</v>
      </c>
      <c r="BM39" s="90">
        <f t="shared" si="6"/>
        <v>5012.7</v>
      </c>
      <c r="BN39" s="90">
        <f t="shared" si="6"/>
        <v>5012.7</v>
      </c>
      <c r="BO39" s="90">
        <f t="shared" si="6"/>
        <v>5012.7</v>
      </c>
    </row>
    <row r="40" spans="1:67">
      <c r="A40" s="11"/>
      <c r="B40" s="11"/>
      <c r="C40" s="11" t="s">
        <v>343</v>
      </c>
      <c r="D40" s="33"/>
      <c r="E40" s="10" t="s">
        <v>358</v>
      </c>
      <c r="F40" s="10"/>
      <c r="G40" s="90">
        <f>$D$15*G$30</f>
        <v>0</v>
      </c>
      <c r="H40" s="90">
        <f t="shared" ref="H40:BO40" si="7">$D$15*H$30</f>
        <v>0</v>
      </c>
      <c r="I40" s="90">
        <f t="shared" si="7"/>
        <v>0</v>
      </c>
      <c r="J40" s="90">
        <f t="shared" si="7"/>
        <v>0</v>
      </c>
      <c r="K40" s="90">
        <f t="shared" si="7"/>
        <v>0</v>
      </c>
      <c r="L40" s="90">
        <f t="shared" si="7"/>
        <v>0</v>
      </c>
      <c r="M40" s="90">
        <f t="shared" si="7"/>
        <v>0</v>
      </c>
      <c r="N40" s="90">
        <f t="shared" si="7"/>
        <v>0</v>
      </c>
      <c r="O40" s="90">
        <f t="shared" si="7"/>
        <v>0</v>
      </c>
      <c r="P40" s="90">
        <f t="shared" si="7"/>
        <v>0</v>
      </c>
      <c r="Q40" s="90">
        <f t="shared" si="7"/>
        <v>0</v>
      </c>
      <c r="R40" s="90">
        <f t="shared" si="7"/>
        <v>0</v>
      </c>
      <c r="S40" s="90">
        <f t="shared" si="7"/>
        <v>0</v>
      </c>
      <c r="T40" s="90">
        <f t="shared" si="7"/>
        <v>0</v>
      </c>
      <c r="U40" s="90">
        <f t="shared" si="7"/>
        <v>0</v>
      </c>
      <c r="V40" s="90">
        <f t="shared" si="7"/>
        <v>0</v>
      </c>
      <c r="W40" s="90">
        <f t="shared" si="7"/>
        <v>0</v>
      </c>
      <c r="X40" s="90">
        <f t="shared" si="7"/>
        <v>0</v>
      </c>
      <c r="Y40" s="63">
        <f t="shared" si="7"/>
        <v>0</v>
      </c>
      <c r="Z40" s="63">
        <f t="shared" si="7"/>
        <v>0</v>
      </c>
      <c r="AA40" s="63">
        <f t="shared" si="7"/>
        <v>0</v>
      </c>
      <c r="AB40" s="63">
        <f t="shared" si="7"/>
        <v>85.25</v>
      </c>
      <c r="AC40" s="63">
        <f t="shared" si="7"/>
        <v>112.95625000000001</v>
      </c>
      <c r="AD40" s="63">
        <f t="shared" si="7"/>
        <v>140.66250000000002</v>
      </c>
      <c r="AE40" s="63">
        <f t="shared" si="7"/>
        <v>168.36875000000003</v>
      </c>
      <c r="AF40" s="63">
        <f t="shared" si="7"/>
        <v>196.07500000000002</v>
      </c>
      <c r="AG40" s="63">
        <f t="shared" si="7"/>
        <v>223.78125000000003</v>
      </c>
      <c r="AH40" s="63">
        <f t="shared" si="7"/>
        <v>251.48750000000001</v>
      </c>
      <c r="AI40" s="63">
        <f t="shared" si="7"/>
        <v>279.19375000000002</v>
      </c>
      <c r="AJ40" s="63">
        <f t="shared" si="7"/>
        <v>306.90000000000003</v>
      </c>
      <c r="AK40" s="63">
        <f t="shared" si="7"/>
        <v>334.60625000000005</v>
      </c>
      <c r="AL40" s="63">
        <f t="shared" si="7"/>
        <v>362.3125</v>
      </c>
      <c r="AM40" s="63">
        <f t="shared" si="7"/>
        <v>390.01875000000001</v>
      </c>
      <c r="AN40" s="63">
        <f t="shared" si="7"/>
        <v>417.72499999999997</v>
      </c>
      <c r="AO40" s="63">
        <f t="shared" si="7"/>
        <v>417.72499999999997</v>
      </c>
      <c r="AP40" s="63">
        <f t="shared" si="7"/>
        <v>417.72499999999997</v>
      </c>
      <c r="AQ40" s="63">
        <f t="shared" si="7"/>
        <v>417.72499999999997</v>
      </c>
      <c r="AR40" s="63">
        <f t="shared" si="7"/>
        <v>417.72499999999997</v>
      </c>
      <c r="AS40" s="63">
        <f t="shared" si="7"/>
        <v>417.72499999999997</v>
      </c>
      <c r="AT40" s="63">
        <f t="shared" si="7"/>
        <v>417.72499999999997</v>
      </c>
      <c r="AU40" s="63">
        <f t="shared" si="7"/>
        <v>417.72499999999997</v>
      </c>
      <c r="AV40" s="63">
        <f t="shared" si="7"/>
        <v>417.72499999999997</v>
      </c>
      <c r="AW40" s="63">
        <f t="shared" si="7"/>
        <v>417.72499999999997</v>
      </c>
      <c r="AX40" s="63">
        <f t="shared" si="7"/>
        <v>417.72499999999997</v>
      </c>
      <c r="AY40" s="63">
        <f t="shared" si="7"/>
        <v>417.72499999999997</v>
      </c>
      <c r="AZ40" s="63">
        <f t="shared" si="7"/>
        <v>417.72499999999997</v>
      </c>
      <c r="BA40" s="63">
        <f t="shared" si="7"/>
        <v>417.72499999999997</v>
      </c>
      <c r="BB40" s="63">
        <f t="shared" si="7"/>
        <v>417.72499999999997</v>
      </c>
      <c r="BC40" s="63">
        <f t="shared" si="7"/>
        <v>417.72499999999997</v>
      </c>
      <c r="BD40" s="63">
        <f t="shared" si="7"/>
        <v>417.72499999999997</v>
      </c>
      <c r="BE40" s="63">
        <f t="shared" si="7"/>
        <v>417.72499999999997</v>
      </c>
      <c r="BF40" s="63">
        <f t="shared" si="7"/>
        <v>417.72499999999997</v>
      </c>
      <c r="BG40" s="63">
        <f t="shared" si="7"/>
        <v>417.72499999999997</v>
      </c>
      <c r="BH40" s="63">
        <f t="shared" si="7"/>
        <v>417.72499999999997</v>
      </c>
      <c r="BI40" s="90">
        <f t="shared" si="7"/>
        <v>5012.7</v>
      </c>
      <c r="BJ40" s="90">
        <f t="shared" si="7"/>
        <v>5012.7</v>
      </c>
      <c r="BK40" s="90">
        <f t="shared" si="7"/>
        <v>5012.7</v>
      </c>
      <c r="BL40" s="90">
        <f t="shared" si="7"/>
        <v>5012.7</v>
      </c>
      <c r="BM40" s="90">
        <f t="shared" si="7"/>
        <v>5012.7</v>
      </c>
      <c r="BN40" s="90">
        <f t="shared" si="7"/>
        <v>5012.7</v>
      </c>
      <c r="BO40" s="90">
        <f t="shared" si="7"/>
        <v>5012.7</v>
      </c>
    </row>
    <row r="41" spans="1:67">
      <c r="A41" s="11"/>
      <c r="B41" s="11"/>
      <c r="C41" s="11" t="s">
        <v>344</v>
      </c>
      <c r="D41" s="33"/>
      <c r="E41" s="10" t="s">
        <v>358</v>
      </c>
      <c r="F41" s="10"/>
      <c r="G41" s="90">
        <f>$D$16*G$30</f>
        <v>0</v>
      </c>
      <c r="H41" s="90">
        <f t="shared" ref="H41:BO41" si="8">$D$16*H$30</f>
        <v>0</v>
      </c>
      <c r="I41" s="90">
        <f t="shared" si="8"/>
        <v>0</v>
      </c>
      <c r="J41" s="90">
        <f t="shared" si="8"/>
        <v>0</v>
      </c>
      <c r="K41" s="90">
        <f t="shared" si="8"/>
        <v>0</v>
      </c>
      <c r="L41" s="90">
        <f t="shared" si="8"/>
        <v>0</v>
      </c>
      <c r="M41" s="90">
        <f t="shared" si="8"/>
        <v>0</v>
      </c>
      <c r="N41" s="90">
        <f t="shared" si="8"/>
        <v>0</v>
      </c>
      <c r="O41" s="90">
        <f t="shared" si="8"/>
        <v>0</v>
      </c>
      <c r="P41" s="90">
        <f t="shared" si="8"/>
        <v>0</v>
      </c>
      <c r="Q41" s="90">
        <f t="shared" si="8"/>
        <v>0</v>
      </c>
      <c r="R41" s="90">
        <f t="shared" si="8"/>
        <v>0</v>
      </c>
      <c r="S41" s="90">
        <f t="shared" si="8"/>
        <v>0</v>
      </c>
      <c r="T41" s="90">
        <f t="shared" si="8"/>
        <v>0</v>
      </c>
      <c r="U41" s="90">
        <f t="shared" si="8"/>
        <v>0</v>
      </c>
      <c r="V41" s="90">
        <f t="shared" si="8"/>
        <v>0</v>
      </c>
      <c r="W41" s="90">
        <f t="shared" si="8"/>
        <v>0</v>
      </c>
      <c r="X41" s="90">
        <f t="shared" si="8"/>
        <v>0</v>
      </c>
      <c r="Y41" s="90">
        <f t="shared" si="8"/>
        <v>0</v>
      </c>
      <c r="Z41" s="90">
        <f t="shared" si="8"/>
        <v>0</v>
      </c>
      <c r="AA41" s="90">
        <f t="shared" si="8"/>
        <v>0</v>
      </c>
      <c r="AB41" s="90">
        <f t="shared" si="8"/>
        <v>0</v>
      </c>
      <c r="AC41" s="90">
        <f t="shared" si="8"/>
        <v>0</v>
      </c>
      <c r="AD41" s="90">
        <f t="shared" si="8"/>
        <v>0</v>
      </c>
      <c r="AE41" s="90">
        <f t="shared" si="8"/>
        <v>0</v>
      </c>
      <c r="AF41" s="90">
        <f t="shared" si="8"/>
        <v>0</v>
      </c>
      <c r="AG41" s="90">
        <f t="shared" si="8"/>
        <v>0</v>
      </c>
      <c r="AH41" s="90">
        <f t="shared" si="8"/>
        <v>0</v>
      </c>
      <c r="AI41" s="90">
        <f t="shared" si="8"/>
        <v>0</v>
      </c>
      <c r="AJ41" s="90">
        <f t="shared" si="8"/>
        <v>0</v>
      </c>
      <c r="AK41" s="90">
        <f t="shared" si="8"/>
        <v>0</v>
      </c>
      <c r="AL41" s="90">
        <f t="shared" si="8"/>
        <v>0</v>
      </c>
      <c r="AM41" s="90">
        <f t="shared" si="8"/>
        <v>0</v>
      </c>
      <c r="AN41" s="90">
        <f t="shared" si="8"/>
        <v>0</v>
      </c>
      <c r="AO41" s="90">
        <f t="shared" si="8"/>
        <v>0</v>
      </c>
      <c r="AP41" s="90">
        <f t="shared" si="8"/>
        <v>0</v>
      </c>
      <c r="AQ41" s="90">
        <f t="shared" si="8"/>
        <v>0</v>
      </c>
      <c r="AR41" s="90">
        <f t="shared" si="8"/>
        <v>0</v>
      </c>
      <c r="AS41" s="90">
        <f t="shared" si="8"/>
        <v>0</v>
      </c>
      <c r="AT41" s="90">
        <f t="shared" si="8"/>
        <v>0</v>
      </c>
      <c r="AU41" s="90">
        <f t="shared" si="8"/>
        <v>0</v>
      </c>
      <c r="AV41" s="90">
        <f t="shared" si="8"/>
        <v>0</v>
      </c>
      <c r="AW41" s="90">
        <f t="shared" si="8"/>
        <v>0</v>
      </c>
      <c r="AX41" s="90">
        <f t="shared" si="8"/>
        <v>0</v>
      </c>
      <c r="AY41" s="90">
        <f t="shared" si="8"/>
        <v>0</v>
      </c>
      <c r="AZ41" s="90">
        <f t="shared" si="8"/>
        <v>0</v>
      </c>
      <c r="BA41" s="90">
        <f t="shared" si="8"/>
        <v>0</v>
      </c>
      <c r="BB41" s="90">
        <f t="shared" si="8"/>
        <v>0</v>
      </c>
      <c r="BC41" s="90">
        <f t="shared" si="8"/>
        <v>0</v>
      </c>
      <c r="BD41" s="90">
        <f t="shared" si="8"/>
        <v>0</v>
      </c>
      <c r="BE41" s="90">
        <f t="shared" si="8"/>
        <v>0</v>
      </c>
      <c r="BF41" s="90">
        <f t="shared" si="8"/>
        <v>0</v>
      </c>
      <c r="BG41" s="90">
        <f t="shared" si="8"/>
        <v>0</v>
      </c>
      <c r="BH41" s="90">
        <f t="shared" si="8"/>
        <v>0</v>
      </c>
      <c r="BI41" s="90">
        <f t="shared" si="8"/>
        <v>0</v>
      </c>
      <c r="BJ41" s="90">
        <f t="shared" si="8"/>
        <v>0</v>
      </c>
      <c r="BK41" s="90">
        <f t="shared" si="8"/>
        <v>0</v>
      </c>
      <c r="BL41" s="90">
        <f t="shared" si="8"/>
        <v>0</v>
      </c>
      <c r="BM41" s="90">
        <f t="shared" si="8"/>
        <v>0</v>
      </c>
      <c r="BN41" s="90">
        <f t="shared" si="8"/>
        <v>0</v>
      </c>
      <c r="BO41" s="90">
        <f t="shared" si="8"/>
        <v>0</v>
      </c>
    </row>
    <row r="42" spans="1:67">
      <c r="A42" s="11"/>
      <c r="B42" s="11"/>
      <c r="C42" s="11" t="s">
        <v>345</v>
      </c>
      <c r="D42" s="33"/>
      <c r="E42" s="10" t="s">
        <v>358</v>
      </c>
      <c r="F42" s="10"/>
      <c r="G42" s="90">
        <f>$D$17*G$30</f>
        <v>0</v>
      </c>
      <c r="H42" s="90">
        <f t="shared" ref="H42:BO42" si="9">$D$17*H$30</f>
        <v>0</v>
      </c>
      <c r="I42" s="90">
        <f t="shared" si="9"/>
        <v>0</v>
      </c>
      <c r="J42" s="90">
        <f t="shared" si="9"/>
        <v>0</v>
      </c>
      <c r="K42" s="90">
        <f t="shared" si="9"/>
        <v>0</v>
      </c>
      <c r="L42" s="90">
        <f t="shared" si="9"/>
        <v>0</v>
      </c>
      <c r="M42" s="90">
        <f t="shared" si="9"/>
        <v>0</v>
      </c>
      <c r="N42" s="90">
        <f t="shared" si="9"/>
        <v>0</v>
      </c>
      <c r="O42" s="90">
        <f t="shared" si="9"/>
        <v>0</v>
      </c>
      <c r="P42" s="90">
        <f t="shared" si="9"/>
        <v>0</v>
      </c>
      <c r="Q42" s="90">
        <f t="shared" si="9"/>
        <v>0</v>
      </c>
      <c r="R42" s="90">
        <f t="shared" si="9"/>
        <v>0</v>
      </c>
      <c r="S42" s="90">
        <f t="shared" si="9"/>
        <v>0</v>
      </c>
      <c r="T42" s="90">
        <f t="shared" si="9"/>
        <v>0</v>
      </c>
      <c r="U42" s="90">
        <f t="shared" si="9"/>
        <v>0</v>
      </c>
      <c r="V42" s="90">
        <f t="shared" si="9"/>
        <v>0</v>
      </c>
      <c r="W42" s="90">
        <f t="shared" si="9"/>
        <v>0</v>
      </c>
      <c r="X42" s="90">
        <f t="shared" si="9"/>
        <v>0</v>
      </c>
      <c r="Y42" s="90">
        <f t="shared" si="9"/>
        <v>0</v>
      </c>
      <c r="Z42" s="90">
        <f t="shared" si="9"/>
        <v>0</v>
      </c>
      <c r="AA42" s="90">
        <f t="shared" si="9"/>
        <v>0</v>
      </c>
      <c r="AB42" s="90">
        <f t="shared" si="9"/>
        <v>0</v>
      </c>
      <c r="AC42" s="90">
        <f t="shared" si="9"/>
        <v>0</v>
      </c>
      <c r="AD42" s="90">
        <f t="shared" si="9"/>
        <v>0</v>
      </c>
      <c r="AE42" s="90">
        <f t="shared" si="9"/>
        <v>0</v>
      </c>
      <c r="AF42" s="90">
        <f t="shared" si="9"/>
        <v>0</v>
      </c>
      <c r="AG42" s="90">
        <f t="shared" si="9"/>
        <v>0</v>
      </c>
      <c r="AH42" s="90">
        <f t="shared" si="9"/>
        <v>0</v>
      </c>
      <c r="AI42" s="90">
        <f t="shared" si="9"/>
        <v>0</v>
      </c>
      <c r="AJ42" s="90">
        <f t="shared" si="9"/>
        <v>0</v>
      </c>
      <c r="AK42" s="90">
        <f t="shared" si="9"/>
        <v>0</v>
      </c>
      <c r="AL42" s="90">
        <f t="shared" si="9"/>
        <v>0</v>
      </c>
      <c r="AM42" s="90">
        <f t="shared" si="9"/>
        <v>0</v>
      </c>
      <c r="AN42" s="90">
        <f t="shared" si="9"/>
        <v>0</v>
      </c>
      <c r="AO42" s="90">
        <f t="shared" si="9"/>
        <v>0</v>
      </c>
      <c r="AP42" s="90">
        <f t="shared" si="9"/>
        <v>0</v>
      </c>
      <c r="AQ42" s="90">
        <f t="shared" si="9"/>
        <v>0</v>
      </c>
      <c r="AR42" s="90">
        <f t="shared" si="9"/>
        <v>0</v>
      </c>
      <c r="AS42" s="90">
        <f t="shared" si="9"/>
        <v>0</v>
      </c>
      <c r="AT42" s="90">
        <f t="shared" si="9"/>
        <v>0</v>
      </c>
      <c r="AU42" s="90">
        <f t="shared" si="9"/>
        <v>0</v>
      </c>
      <c r="AV42" s="90">
        <f t="shared" si="9"/>
        <v>0</v>
      </c>
      <c r="AW42" s="90">
        <f t="shared" si="9"/>
        <v>0</v>
      </c>
      <c r="AX42" s="90">
        <f t="shared" si="9"/>
        <v>0</v>
      </c>
      <c r="AY42" s="90">
        <f t="shared" si="9"/>
        <v>0</v>
      </c>
      <c r="AZ42" s="90">
        <f t="shared" si="9"/>
        <v>0</v>
      </c>
      <c r="BA42" s="90">
        <f t="shared" si="9"/>
        <v>0</v>
      </c>
      <c r="BB42" s="90">
        <f t="shared" si="9"/>
        <v>0</v>
      </c>
      <c r="BC42" s="90">
        <f t="shared" si="9"/>
        <v>0</v>
      </c>
      <c r="BD42" s="90">
        <f t="shared" si="9"/>
        <v>0</v>
      </c>
      <c r="BE42" s="90">
        <f t="shared" si="9"/>
        <v>0</v>
      </c>
      <c r="BF42" s="90">
        <f t="shared" si="9"/>
        <v>0</v>
      </c>
      <c r="BG42" s="90">
        <f t="shared" si="9"/>
        <v>0</v>
      </c>
      <c r="BH42" s="90">
        <f t="shared" si="9"/>
        <v>0</v>
      </c>
      <c r="BI42" s="90">
        <f t="shared" si="9"/>
        <v>0</v>
      </c>
      <c r="BJ42" s="90">
        <f t="shared" si="9"/>
        <v>0</v>
      </c>
      <c r="BK42" s="90">
        <f t="shared" si="9"/>
        <v>0</v>
      </c>
      <c r="BL42" s="90">
        <f t="shared" si="9"/>
        <v>0</v>
      </c>
      <c r="BM42" s="90">
        <f t="shared" si="9"/>
        <v>0</v>
      </c>
      <c r="BN42" s="90">
        <f t="shared" si="9"/>
        <v>0</v>
      </c>
      <c r="BO42" s="90">
        <f t="shared" si="9"/>
        <v>0</v>
      </c>
    </row>
    <row r="43" spans="1:67">
      <c r="A43" s="11"/>
      <c r="B43" s="11"/>
      <c r="C43" s="11" t="s">
        <v>346</v>
      </c>
      <c r="D43" s="33"/>
      <c r="E43" s="10" t="s">
        <v>358</v>
      </c>
      <c r="F43" s="10"/>
      <c r="G43" s="90">
        <f>$D$18*G$30</f>
        <v>0</v>
      </c>
      <c r="H43" s="90">
        <f t="shared" ref="H43:BO43" si="10">$D$18*H$30</f>
        <v>0</v>
      </c>
      <c r="I43" s="90">
        <f t="shared" si="10"/>
        <v>0</v>
      </c>
      <c r="J43" s="90">
        <f t="shared" si="10"/>
        <v>0</v>
      </c>
      <c r="K43" s="90">
        <f t="shared" si="10"/>
        <v>0</v>
      </c>
      <c r="L43" s="90">
        <f t="shared" si="10"/>
        <v>0</v>
      </c>
      <c r="M43" s="90">
        <f t="shared" si="10"/>
        <v>0</v>
      </c>
      <c r="N43" s="90">
        <f t="shared" si="10"/>
        <v>0</v>
      </c>
      <c r="O43" s="90">
        <f t="shared" si="10"/>
        <v>0</v>
      </c>
      <c r="P43" s="90">
        <f t="shared" si="10"/>
        <v>0</v>
      </c>
      <c r="Q43" s="90">
        <f t="shared" si="10"/>
        <v>0</v>
      </c>
      <c r="R43" s="90">
        <f t="shared" si="10"/>
        <v>0</v>
      </c>
      <c r="S43" s="90">
        <f t="shared" si="10"/>
        <v>0</v>
      </c>
      <c r="T43" s="90">
        <f t="shared" si="10"/>
        <v>0</v>
      </c>
      <c r="U43" s="90">
        <f t="shared" si="10"/>
        <v>0</v>
      </c>
      <c r="V43" s="90">
        <f t="shared" si="10"/>
        <v>0</v>
      </c>
      <c r="W43" s="90">
        <f t="shared" si="10"/>
        <v>0</v>
      </c>
      <c r="X43" s="90">
        <f t="shared" si="10"/>
        <v>0</v>
      </c>
      <c r="Y43" s="90">
        <f t="shared" si="10"/>
        <v>0</v>
      </c>
      <c r="Z43" s="90">
        <f t="shared" si="10"/>
        <v>0</v>
      </c>
      <c r="AA43" s="90">
        <f t="shared" si="10"/>
        <v>0</v>
      </c>
      <c r="AB43" s="90">
        <f t="shared" si="10"/>
        <v>0</v>
      </c>
      <c r="AC43" s="90">
        <f t="shared" si="10"/>
        <v>0</v>
      </c>
      <c r="AD43" s="90">
        <f t="shared" si="10"/>
        <v>0</v>
      </c>
      <c r="AE43" s="90">
        <f t="shared" si="10"/>
        <v>0</v>
      </c>
      <c r="AF43" s="90">
        <f t="shared" si="10"/>
        <v>0</v>
      </c>
      <c r="AG43" s="90">
        <f t="shared" si="10"/>
        <v>0</v>
      </c>
      <c r="AH43" s="90">
        <f t="shared" si="10"/>
        <v>0</v>
      </c>
      <c r="AI43" s="90">
        <f t="shared" si="10"/>
        <v>0</v>
      </c>
      <c r="AJ43" s="90">
        <f t="shared" si="10"/>
        <v>0</v>
      </c>
      <c r="AK43" s="90">
        <f t="shared" si="10"/>
        <v>0</v>
      </c>
      <c r="AL43" s="90">
        <f t="shared" si="10"/>
        <v>0</v>
      </c>
      <c r="AM43" s="90">
        <f t="shared" si="10"/>
        <v>0</v>
      </c>
      <c r="AN43" s="90">
        <f t="shared" si="10"/>
        <v>0</v>
      </c>
      <c r="AO43" s="90">
        <f t="shared" si="10"/>
        <v>0</v>
      </c>
      <c r="AP43" s="90">
        <f t="shared" si="10"/>
        <v>0</v>
      </c>
      <c r="AQ43" s="90">
        <f t="shared" si="10"/>
        <v>0</v>
      </c>
      <c r="AR43" s="90">
        <f t="shared" si="10"/>
        <v>0</v>
      </c>
      <c r="AS43" s="90">
        <f t="shared" si="10"/>
        <v>0</v>
      </c>
      <c r="AT43" s="90">
        <f t="shared" si="10"/>
        <v>0</v>
      </c>
      <c r="AU43" s="90">
        <f t="shared" si="10"/>
        <v>0</v>
      </c>
      <c r="AV43" s="90">
        <f t="shared" si="10"/>
        <v>0</v>
      </c>
      <c r="AW43" s="90">
        <f t="shared" si="10"/>
        <v>0</v>
      </c>
      <c r="AX43" s="90">
        <f t="shared" si="10"/>
        <v>0</v>
      </c>
      <c r="AY43" s="90">
        <f t="shared" si="10"/>
        <v>0</v>
      </c>
      <c r="AZ43" s="90">
        <f t="shared" si="10"/>
        <v>0</v>
      </c>
      <c r="BA43" s="90">
        <f t="shared" si="10"/>
        <v>0</v>
      </c>
      <c r="BB43" s="90">
        <f t="shared" si="10"/>
        <v>0</v>
      </c>
      <c r="BC43" s="90">
        <f t="shared" si="10"/>
        <v>0</v>
      </c>
      <c r="BD43" s="90">
        <f t="shared" si="10"/>
        <v>0</v>
      </c>
      <c r="BE43" s="90">
        <f t="shared" si="10"/>
        <v>0</v>
      </c>
      <c r="BF43" s="90">
        <f t="shared" si="10"/>
        <v>0</v>
      </c>
      <c r="BG43" s="90">
        <f t="shared" si="10"/>
        <v>0</v>
      </c>
      <c r="BH43" s="90">
        <f t="shared" si="10"/>
        <v>0</v>
      </c>
      <c r="BI43" s="90">
        <f t="shared" si="10"/>
        <v>0</v>
      </c>
      <c r="BJ43" s="90">
        <f t="shared" si="10"/>
        <v>0</v>
      </c>
      <c r="BK43" s="90">
        <f t="shared" si="10"/>
        <v>0</v>
      </c>
      <c r="BL43" s="90">
        <f t="shared" si="10"/>
        <v>0</v>
      </c>
      <c r="BM43" s="90">
        <f t="shared" si="10"/>
        <v>0</v>
      </c>
      <c r="BN43" s="90">
        <f t="shared" si="10"/>
        <v>0</v>
      </c>
      <c r="BO43" s="90">
        <f t="shared" si="10"/>
        <v>0</v>
      </c>
    </row>
    <row r="44" spans="1:67">
      <c r="A44" s="11"/>
      <c r="B44" s="11"/>
      <c r="C44" s="11" t="s">
        <v>347</v>
      </c>
      <c r="D44" s="33"/>
      <c r="E44" s="10" t="s">
        <v>358</v>
      </c>
      <c r="F44" s="10"/>
      <c r="G44" s="90">
        <f>$D$19*G$30</f>
        <v>0</v>
      </c>
      <c r="H44" s="90">
        <f t="shared" ref="H44:BO44" si="11">$D$19*H$30</f>
        <v>0</v>
      </c>
      <c r="I44" s="90">
        <f t="shared" si="11"/>
        <v>0</v>
      </c>
      <c r="J44" s="90">
        <f t="shared" si="11"/>
        <v>0</v>
      </c>
      <c r="K44" s="90">
        <f t="shared" si="11"/>
        <v>0</v>
      </c>
      <c r="L44" s="90">
        <f t="shared" si="11"/>
        <v>0</v>
      </c>
      <c r="M44" s="90">
        <f t="shared" si="11"/>
        <v>0</v>
      </c>
      <c r="N44" s="90">
        <f t="shared" si="11"/>
        <v>0</v>
      </c>
      <c r="O44" s="90">
        <f t="shared" si="11"/>
        <v>0</v>
      </c>
      <c r="P44" s="90">
        <f t="shared" si="11"/>
        <v>0</v>
      </c>
      <c r="Q44" s="90">
        <f t="shared" si="11"/>
        <v>0</v>
      </c>
      <c r="R44" s="90">
        <f t="shared" si="11"/>
        <v>0</v>
      </c>
      <c r="S44" s="90">
        <f t="shared" si="11"/>
        <v>0</v>
      </c>
      <c r="T44" s="90">
        <f t="shared" si="11"/>
        <v>0</v>
      </c>
      <c r="U44" s="90">
        <f t="shared" si="11"/>
        <v>0</v>
      </c>
      <c r="V44" s="90">
        <f t="shared" si="11"/>
        <v>0</v>
      </c>
      <c r="W44" s="90">
        <f t="shared" si="11"/>
        <v>0</v>
      </c>
      <c r="X44" s="90">
        <f t="shared" si="11"/>
        <v>0</v>
      </c>
      <c r="Y44" s="90">
        <f t="shared" si="11"/>
        <v>0</v>
      </c>
      <c r="Z44" s="90">
        <f t="shared" si="11"/>
        <v>0</v>
      </c>
      <c r="AA44" s="90">
        <f t="shared" si="11"/>
        <v>0</v>
      </c>
      <c r="AB44" s="90">
        <f t="shared" si="11"/>
        <v>0</v>
      </c>
      <c r="AC44" s="90">
        <f t="shared" si="11"/>
        <v>0</v>
      </c>
      <c r="AD44" s="90">
        <f t="shared" si="11"/>
        <v>0</v>
      </c>
      <c r="AE44" s="90">
        <f t="shared" si="11"/>
        <v>0</v>
      </c>
      <c r="AF44" s="90">
        <f t="shared" si="11"/>
        <v>0</v>
      </c>
      <c r="AG44" s="90">
        <f t="shared" si="11"/>
        <v>0</v>
      </c>
      <c r="AH44" s="90">
        <f t="shared" si="11"/>
        <v>0</v>
      </c>
      <c r="AI44" s="90">
        <f t="shared" si="11"/>
        <v>0</v>
      </c>
      <c r="AJ44" s="90">
        <f t="shared" si="11"/>
        <v>0</v>
      </c>
      <c r="AK44" s="90">
        <f t="shared" si="11"/>
        <v>0</v>
      </c>
      <c r="AL44" s="90">
        <f t="shared" si="11"/>
        <v>0</v>
      </c>
      <c r="AM44" s="90">
        <f t="shared" si="11"/>
        <v>0</v>
      </c>
      <c r="AN44" s="90">
        <f t="shared" si="11"/>
        <v>0</v>
      </c>
      <c r="AO44" s="90">
        <f t="shared" si="11"/>
        <v>0</v>
      </c>
      <c r="AP44" s="90">
        <f t="shared" si="11"/>
        <v>0</v>
      </c>
      <c r="AQ44" s="90">
        <f t="shared" si="11"/>
        <v>0</v>
      </c>
      <c r="AR44" s="90">
        <f t="shared" si="11"/>
        <v>0</v>
      </c>
      <c r="AS44" s="90">
        <f t="shared" si="11"/>
        <v>0</v>
      </c>
      <c r="AT44" s="90">
        <f t="shared" si="11"/>
        <v>0</v>
      </c>
      <c r="AU44" s="90">
        <f t="shared" si="11"/>
        <v>0</v>
      </c>
      <c r="AV44" s="90">
        <f t="shared" si="11"/>
        <v>0</v>
      </c>
      <c r="AW44" s="90">
        <f t="shared" si="11"/>
        <v>0</v>
      </c>
      <c r="AX44" s="90">
        <f t="shared" si="11"/>
        <v>0</v>
      </c>
      <c r="AY44" s="90">
        <f t="shared" si="11"/>
        <v>0</v>
      </c>
      <c r="AZ44" s="90">
        <f t="shared" si="11"/>
        <v>0</v>
      </c>
      <c r="BA44" s="90">
        <f t="shared" si="11"/>
        <v>0</v>
      </c>
      <c r="BB44" s="90">
        <f t="shared" si="11"/>
        <v>0</v>
      </c>
      <c r="BC44" s="90">
        <f t="shared" si="11"/>
        <v>0</v>
      </c>
      <c r="BD44" s="90">
        <f t="shared" si="11"/>
        <v>0</v>
      </c>
      <c r="BE44" s="90">
        <f t="shared" si="11"/>
        <v>0</v>
      </c>
      <c r="BF44" s="90">
        <f t="shared" si="11"/>
        <v>0</v>
      </c>
      <c r="BG44" s="90">
        <f t="shared" si="11"/>
        <v>0</v>
      </c>
      <c r="BH44" s="90">
        <f t="shared" si="11"/>
        <v>0</v>
      </c>
      <c r="BI44" s="90">
        <f t="shared" si="11"/>
        <v>0</v>
      </c>
      <c r="BJ44" s="90">
        <f t="shared" si="11"/>
        <v>0</v>
      </c>
      <c r="BK44" s="90">
        <f t="shared" si="11"/>
        <v>0</v>
      </c>
      <c r="BL44" s="90">
        <f t="shared" si="11"/>
        <v>0</v>
      </c>
      <c r="BM44" s="90">
        <f t="shared" si="11"/>
        <v>0</v>
      </c>
      <c r="BN44" s="90">
        <f t="shared" si="11"/>
        <v>0</v>
      </c>
      <c r="BO44" s="90">
        <f t="shared" si="11"/>
        <v>0</v>
      </c>
    </row>
    <row r="45" spans="1:67">
      <c r="A45" s="11"/>
      <c r="B45" s="11"/>
      <c r="C45" s="11" t="s">
        <v>348</v>
      </c>
      <c r="D45" s="33"/>
      <c r="E45" s="10" t="s">
        <v>358</v>
      </c>
      <c r="F45" s="10"/>
      <c r="G45" s="90">
        <f>$D$20*G$30</f>
        <v>0</v>
      </c>
      <c r="H45" s="90">
        <f t="shared" ref="H45:BO45" si="12">$D$20*H$30</f>
        <v>0</v>
      </c>
      <c r="I45" s="90">
        <f t="shared" si="12"/>
        <v>0</v>
      </c>
      <c r="J45" s="90">
        <f t="shared" si="12"/>
        <v>0</v>
      </c>
      <c r="K45" s="90">
        <f t="shared" si="12"/>
        <v>0</v>
      </c>
      <c r="L45" s="90">
        <f t="shared" si="12"/>
        <v>0</v>
      </c>
      <c r="M45" s="90">
        <f t="shared" si="12"/>
        <v>0</v>
      </c>
      <c r="N45" s="90">
        <f t="shared" si="12"/>
        <v>0</v>
      </c>
      <c r="O45" s="90">
        <f t="shared" si="12"/>
        <v>0</v>
      </c>
      <c r="P45" s="90">
        <f t="shared" si="12"/>
        <v>0</v>
      </c>
      <c r="Q45" s="90">
        <f t="shared" si="12"/>
        <v>0</v>
      </c>
      <c r="R45" s="90">
        <f t="shared" si="12"/>
        <v>0</v>
      </c>
      <c r="S45" s="90">
        <f t="shared" si="12"/>
        <v>0</v>
      </c>
      <c r="T45" s="90">
        <f t="shared" si="12"/>
        <v>0</v>
      </c>
      <c r="U45" s="90">
        <f t="shared" si="12"/>
        <v>0</v>
      </c>
      <c r="V45" s="90">
        <f t="shared" si="12"/>
        <v>0</v>
      </c>
      <c r="W45" s="90">
        <f t="shared" si="12"/>
        <v>0</v>
      </c>
      <c r="X45" s="90">
        <f t="shared" si="12"/>
        <v>0</v>
      </c>
      <c r="Y45" s="90">
        <f t="shared" si="12"/>
        <v>0</v>
      </c>
      <c r="Z45" s="90">
        <f t="shared" si="12"/>
        <v>0</v>
      </c>
      <c r="AA45" s="90">
        <f t="shared" si="12"/>
        <v>0</v>
      </c>
      <c r="AB45" s="90">
        <f t="shared" si="12"/>
        <v>0</v>
      </c>
      <c r="AC45" s="90">
        <f t="shared" si="12"/>
        <v>0</v>
      </c>
      <c r="AD45" s="90">
        <f t="shared" si="12"/>
        <v>0</v>
      </c>
      <c r="AE45" s="90">
        <f t="shared" si="12"/>
        <v>0</v>
      </c>
      <c r="AF45" s="90">
        <f t="shared" si="12"/>
        <v>0</v>
      </c>
      <c r="AG45" s="90">
        <f t="shared" si="12"/>
        <v>0</v>
      </c>
      <c r="AH45" s="90">
        <f t="shared" si="12"/>
        <v>0</v>
      </c>
      <c r="AI45" s="90">
        <f t="shared" si="12"/>
        <v>0</v>
      </c>
      <c r="AJ45" s="90">
        <f t="shared" si="12"/>
        <v>0</v>
      </c>
      <c r="AK45" s="90">
        <f t="shared" si="12"/>
        <v>0</v>
      </c>
      <c r="AL45" s="90">
        <f t="shared" si="12"/>
        <v>0</v>
      </c>
      <c r="AM45" s="90">
        <f t="shared" si="12"/>
        <v>0</v>
      </c>
      <c r="AN45" s="90">
        <f t="shared" si="12"/>
        <v>0</v>
      </c>
      <c r="AO45" s="90">
        <f t="shared" si="12"/>
        <v>0</v>
      </c>
      <c r="AP45" s="90">
        <f t="shared" si="12"/>
        <v>0</v>
      </c>
      <c r="AQ45" s="90">
        <f t="shared" si="12"/>
        <v>0</v>
      </c>
      <c r="AR45" s="90">
        <f t="shared" si="12"/>
        <v>0</v>
      </c>
      <c r="AS45" s="90">
        <f t="shared" si="12"/>
        <v>0</v>
      </c>
      <c r="AT45" s="90">
        <f t="shared" si="12"/>
        <v>0</v>
      </c>
      <c r="AU45" s="90">
        <f t="shared" si="12"/>
        <v>0</v>
      </c>
      <c r="AV45" s="90">
        <f t="shared" si="12"/>
        <v>0</v>
      </c>
      <c r="AW45" s="90">
        <f t="shared" si="12"/>
        <v>0</v>
      </c>
      <c r="AX45" s="90">
        <f t="shared" si="12"/>
        <v>0</v>
      </c>
      <c r="AY45" s="90">
        <f t="shared" si="12"/>
        <v>0</v>
      </c>
      <c r="AZ45" s="90">
        <f t="shared" si="12"/>
        <v>0</v>
      </c>
      <c r="BA45" s="90">
        <f t="shared" si="12"/>
        <v>0</v>
      </c>
      <c r="BB45" s="90">
        <f t="shared" si="12"/>
        <v>0</v>
      </c>
      <c r="BC45" s="90">
        <f t="shared" si="12"/>
        <v>0</v>
      </c>
      <c r="BD45" s="90">
        <f t="shared" si="12"/>
        <v>0</v>
      </c>
      <c r="BE45" s="90">
        <f t="shared" si="12"/>
        <v>0</v>
      </c>
      <c r="BF45" s="90">
        <f t="shared" si="12"/>
        <v>0</v>
      </c>
      <c r="BG45" s="90">
        <f t="shared" si="12"/>
        <v>0</v>
      </c>
      <c r="BH45" s="90">
        <f t="shared" si="12"/>
        <v>0</v>
      </c>
      <c r="BI45" s="90">
        <f t="shared" si="12"/>
        <v>0</v>
      </c>
      <c r="BJ45" s="90">
        <f t="shared" si="12"/>
        <v>0</v>
      </c>
      <c r="BK45" s="90">
        <f t="shared" si="12"/>
        <v>0</v>
      </c>
      <c r="BL45" s="90">
        <f t="shared" si="12"/>
        <v>0</v>
      </c>
      <c r="BM45" s="90">
        <f t="shared" si="12"/>
        <v>0</v>
      </c>
      <c r="BN45" s="90">
        <f t="shared" si="12"/>
        <v>0</v>
      </c>
      <c r="BO45" s="90">
        <f t="shared" si="12"/>
        <v>0</v>
      </c>
    </row>
    <row r="46" spans="1:67">
      <c r="A46" s="11"/>
      <c r="B46" s="11"/>
      <c r="C46" s="11" t="s">
        <v>349</v>
      </c>
      <c r="D46" s="33"/>
      <c r="E46" s="10" t="s">
        <v>358</v>
      </c>
      <c r="F46" s="10"/>
      <c r="G46" s="90">
        <f>$D$21*G$30</f>
        <v>0</v>
      </c>
      <c r="H46" s="90">
        <f t="shared" ref="H46:BO46" si="13">$D$21*H$30</f>
        <v>0</v>
      </c>
      <c r="I46" s="90">
        <f t="shared" si="13"/>
        <v>0</v>
      </c>
      <c r="J46" s="90">
        <f t="shared" si="13"/>
        <v>0</v>
      </c>
      <c r="K46" s="90">
        <f t="shared" si="13"/>
        <v>0</v>
      </c>
      <c r="L46" s="90">
        <f t="shared" si="13"/>
        <v>0</v>
      </c>
      <c r="M46" s="90">
        <f t="shared" si="13"/>
        <v>0</v>
      </c>
      <c r="N46" s="90">
        <f t="shared" si="13"/>
        <v>0</v>
      </c>
      <c r="O46" s="90">
        <f t="shared" si="13"/>
        <v>0</v>
      </c>
      <c r="P46" s="90">
        <f t="shared" si="13"/>
        <v>0</v>
      </c>
      <c r="Q46" s="90">
        <f t="shared" si="13"/>
        <v>0</v>
      </c>
      <c r="R46" s="90">
        <f t="shared" si="13"/>
        <v>0</v>
      </c>
      <c r="S46" s="90">
        <f t="shared" si="13"/>
        <v>0</v>
      </c>
      <c r="T46" s="90">
        <f t="shared" si="13"/>
        <v>0</v>
      </c>
      <c r="U46" s="90">
        <f t="shared" si="13"/>
        <v>0</v>
      </c>
      <c r="V46" s="90">
        <f t="shared" si="13"/>
        <v>0</v>
      </c>
      <c r="W46" s="90">
        <f t="shared" si="13"/>
        <v>0</v>
      </c>
      <c r="X46" s="90">
        <f t="shared" si="13"/>
        <v>0</v>
      </c>
      <c r="Y46" s="90">
        <f t="shared" si="13"/>
        <v>0</v>
      </c>
      <c r="Z46" s="90">
        <f t="shared" si="13"/>
        <v>0</v>
      </c>
      <c r="AA46" s="90">
        <f t="shared" si="13"/>
        <v>0</v>
      </c>
      <c r="AB46" s="90">
        <f t="shared" si="13"/>
        <v>0</v>
      </c>
      <c r="AC46" s="90">
        <f t="shared" si="13"/>
        <v>0</v>
      </c>
      <c r="AD46" s="90">
        <f t="shared" si="13"/>
        <v>0</v>
      </c>
      <c r="AE46" s="90">
        <f t="shared" si="13"/>
        <v>0</v>
      </c>
      <c r="AF46" s="90">
        <f t="shared" si="13"/>
        <v>0</v>
      </c>
      <c r="AG46" s="90">
        <f t="shared" si="13"/>
        <v>0</v>
      </c>
      <c r="AH46" s="90">
        <f t="shared" si="13"/>
        <v>0</v>
      </c>
      <c r="AI46" s="90">
        <f t="shared" si="13"/>
        <v>0</v>
      </c>
      <c r="AJ46" s="90">
        <f t="shared" si="13"/>
        <v>0</v>
      </c>
      <c r="AK46" s="90">
        <f t="shared" si="13"/>
        <v>0</v>
      </c>
      <c r="AL46" s="90">
        <f t="shared" si="13"/>
        <v>0</v>
      </c>
      <c r="AM46" s="90">
        <f t="shared" si="13"/>
        <v>0</v>
      </c>
      <c r="AN46" s="90">
        <f t="shared" si="13"/>
        <v>0</v>
      </c>
      <c r="AO46" s="90">
        <f t="shared" si="13"/>
        <v>0</v>
      </c>
      <c r="AP46" s="90">
        <f t="shared" si="13"/>
        <v>0</v>
      </c>
      <c r="AQ46" s="90">
        <f t="shared" si="13"/>
        <v>0</v>
      </c>
      <c r="AR46" s="90">
        <f t="shared" si="13"/>
        <v>0</v>
      </c>
      <c r="AS46" s="90">
        <f t="shared" si="13"/>
        <v>0</v>
      </c>
      <c r="AT46" s="90">
        <f t="shared" si="13"/>
        <v>0</v>
      </c>
      <c r="AU46" s="90">
        <f t="shared" si="13"/>
        <v>0</v>
      </c>
      <c r="AV46" s="90">
        <f t="shared" si="13"/>
        <v>0</v>
      </c>
      <c r="AW46" s="90">
        <f t="shared" si="13"/>
        <v>0</v>
      </c>
      <c r="AX46" s="90">
        <f t="shared" si="13"/>
        <v>0</v>
      </c>
      <c r="AY46" s="90">
        <f t="shared" si="13"/>
        <v>0</v>
      </c>
      <c r="AZ46" s="90">
        <f t="shared" si="13"/>
        <v>0</v>
      </c>
      <c r="BA46" s="90">
        <f t="shared" si="13"/>
        <v>0</v>
      </c>
      <c r="BB46" s="90">
        <f t="shared" si="13"/>
        <v>0</v>
      </c>
      <c r="BC46" s="90">
        <f t="shared" si="13"/>
        <v>0</v>
      </c>
      <c r="BD46" s="90">
        <f t="shared" si="13"/>
        <v>0</v>
      </c>
      <c r="BE46" s="90">
        <f t="shared" si="13"/>
        <v>0</v>
      </c>
      <c r="BF46" s="90">
        <f t="shared" si="13"/>
        <v>0</v>
      </c>
      <c r="BG46" s="90">
        <f t="shared" si="13"/>
        <v>0</v>
      </c>
      <c r="BH46" s="90">
        <f t="shared" si="13"/>
        <v>0</v>
      </c>
      <c r="BI46" s="90">
        <f t="shared" si="13"/>
        <v>0</v>
      </c>
      <c r="BJ46" s="90">
        <f t="shared" si="13"/>
        <v>0</v>
      </c>
      <c r="BK46" s="90">
        <f t="shared" si="13"/>
        <v>0</v>
      </c>
      <c r="BL46" s="90">
        <f t="shared" si="13"/>
        <v>0</v>
      </c>
      <c r="BM46" s="90">
        <f t="shared" si="13"/>
        <v>0</v>
      </c>
      <c r="BN46" s="90">
        <f t="shared" si="13"/>
        <v>0</v>
      </c>
      <c r="BO46" s="90">
        <f t="shared" si="13"/>
        <v>0</v>
      </c>
    </row>
    <row r="47" spans="1:67">
      <c r="A47" s="11"/>
      <c r="B47" s="11"/>
      <c r="C47" s="11" t="s">
        <v>350</v>
      </c>
      <c r="D47" s="33"/>
      <c r="E47" s="10" t="s">
        <v>358</v>
      </c>
      <c r="F47" s="10"/>
      <c r="G47" s="90">
        <f>$D$22*G$30</f>
        <v>0</v>
      </c>
      <c r="H47" s="90">
        <f t="shared" ref="H47:BO47" si="14">$D$22*H$30</f>
        <v>0</v>
      </c>
      <c r="I47" s="90">
        <f t="shared" si="14"/>
        <v>0</v>
      </c>
      <c r="J47" s="90">
        <f t="shared" si="14"/>
        <v>0</v>
      </c>
      <c r="K47" s="90">
        <f t="shared" si="14"/>
        <v>0</v>
      </c>
      <c r="L47" s="90">
        <f t="shared" si="14"/>
        <v>0</v>
      </c>
      <c r="M47" s="90">
        <f t="shared" si="14"/>
        <v>0</v>
      </c>
      <c r="N47" s="90">
        <f t="shared" si="14"/>
        <v>0</v>
      </c>
      <c r="O47" s="90">
        <f t="shared" si="14"/>
        <v>0</v>
      </c>
      <c r="P47" s="90">
        <f t="shared" si="14"/>
        <v>0</v>
      </c>
      <c r="Q47" s="90">
        <f t="shared" si="14"/>
        <v>0</v>
      </c>
      <c r="R47" s="90">
        <f t="shared" si="14"/>
        <v>0</v>
      </c>
      <c r="S47" s="90">
        <f t="shared" si="14"/>
        <v>0</v>
      </c>
      <c r="T47" s="90">
        <f t="shared" si="14"/>
        <v>0</v>
      </c>
      <c r="U47" s="90">
        <f t="shared" si="14"/>
        <v>0</v>
      </c>
      <c r="V47" s="90">
        <f t="shared" si="14"/>
        <v>0</v>
      </c>
      <c r="W47" s="90">
        <f t="shared" si="14"/>
        <v>0</v>
      </c>
      <c r="X47" s="90">
        <f t="shared" si="14"/>
        <v>0</v>
      </c>
      <c r="Y47" s="90">
        <f t="shared" si="14"/>
        <v>0</v>
      </c>
      <c r="Z47" s="90">
        <f t="shared" si="14"/>
        <v>0</v>
      </c>
      <c r="AA47" s="90">
        <f t="shared" si="14"/>
        <v>0</v>
      </c>
      <c r="AB47" s="90">
        <f t="shared" si="14"/>
        <v>0</v>
      </c>
      <c r="AC47" s="90">
        <f t="shared" si="14"/>
        <v>0</v>
      </c>
      <c r="AD47" s="90">
        <f t="shared" si="14"/>
        <v>0</v>
      </c>
      <c r="AE47" s="90">
        <f t="shared" si="14"/>
        <v>0</v>
      </c>
      <c r="AF47" s="90">
        <f t="shared" si="14"/>
        <v>0</v>
      </c>
      <c r="AG47" s="90">
        <f t="shared" si="14"/>
        <v>0</v>
      </c>
      <c r="AH47" s="90">
        <f t="shared" si="14"/>
        <v>0</v>
      </c>
      <c r="AI47" s="90">
        <f t="shared" si="14"/>
        <v>0</v>
      </c>
      <c r="AJ47" s="90">
        <f t="shared" si="14"/>
        <v>0</v>
      </c>
      <c r="AK47" s="90">
        <f t="shared" si="14"/>
        <v>0</v>
      </c>
      <c r="AL47" s="90">
        <f t="shared" si="14"/>
        <v>0</v>
      </c>
      <c r="AM47" s="90">
        <f t="shared" si="14"/>
        <v>0</v>
      </c>
      <c r="AN47" s="90">
        <f t="shared" si="14"/>
        <v>0</v>
      </c>
      <c r="AO47" s="90">
        <f t="shared" si="14"/>
        <v>0</v>
      </c>
      <c r="AP47" s="90">
        <f t="shared" si="14"/>
        <v>0</v>
      </c>
      <c r="AQ47" s="90">
        <f t="shared" si="14"/>
        <v>0</v>
      </c>
      <c r="AR47" s="90">
        <f t="shared" si="14"/>
        <v>0</v>
      </c>
      <c r="AS47" s="90">
        <f t="shared" si="14"/>
        <v>0</v>
      </c>
      <c r="AT47" s="90">
        <f t="shared" si="14"/>
        <v>0</v>
      </c>
      <c r="AU47" s="90">
        <f t="shared" si="14"/>
        <v>0</v>
      </c>
      <c r="AV47" s="90">
        <f t="shared" si="14"/>
        <v>0</v>
      </c>
      <c r="AW47" s="90">
        <f t="shared" si="14"/>
        <v>0</v>
      </c>
      <c r="AX47" s="90">
        <f t="shared" si="14"/>
        <v>0</v>
      </c>
      <c r="AY47" s="90">
        <f t="shared" si="14"/>
        <v>0</v>
      </c>
      <c r="AZ47" s="90">
        <f t="shared" si="14"/>
        <v>0</v>
      </c>
      <c r="BA47" s="90">
        <f t="shared" si="14"/>
        <v>0</v>
      </c>
      <c r="BB47" s="90">
        <f t="shared" si="14"/>
        <v>0</v>
      </c>
      <c r="BC47" s="90">
        <f t="shared" si="14"/>
        <v>0</v>
      </c>
      <c r="BD47" s="90">
        <f t="shared" si="14"/>
        <v>0</v>
      </c>
      <c r="BE47" s="90">
        <f t="shared" si="14"/>
        <v>0</v>
      </c>
      <c r="BF47" s="90">
        <f t="shared" si="14"/>
        <v>0</v>
      </c>
      <c r="BG47" s="90">
        <f t="shared" si="14"/>
        <v>0</v>
      </c>
      <c r="BH47" s="90">
        <f t="shared" si="14"/>
        <v>0</v>
      </c>
      <c r="BI47" s="90">
        <f t="shared" si="14"/>
        <v>0</v>
      </c>
      <c r="BJ47" s="90">
        <f t="shared" si="14"/>
        <v>0</v>
      </c>
      <c r="BK47" s="90">
        <f t="shared" si="14"/>
        <v>0</v>
      </c>
      <c r="BL47" s="90">
        <f t="shared" si="14"/>
        <v>0</v>
      </c>
      <c r="BM47" s="90">
        <f t="shared" si="14"/>
        <v>0</v>
      </c>
      <c r="BN47" s="90">
        <f t="shared" si="14"/>
        <v>0</v>
      </c>
      <c r="BO47" s="90">
        <f t="shared" si="14"/>
        <v>0</v>
      </c>
    </row>
    <row r="48" spans="1:67">
      <c r="A48" s="11"/>
      <c r="B48" s="11"/>
      <c r="C48" s="11" t="s">
        <v>351</v>
      </c>
      <c r="D48" s="33"/>
      <c r="E48" s="10" t="s">
        <v>358</v>
      </c>
      <c r="F48" s="10"/>
      <c r="G48" s="90">
        <f>$D$23*G$30</f>
        <v>0</v>
      </c>
      <c r="H48" s="90">
        <f t="shared" ref="H48:BO48" si="15">$D$23*H$30</f>
        <v>0</v>
      </c>
      <c r="I48" s="90">
        <f t="shared" si="15"/>
        <v>0</v>
      </c>
      <c r="J48" s="90">
        <f t="shared" si="15"/>
        <v>0</v>
      </c>
      <c r="K48" s="90">
        <f t="shared" si="15"/>
        <v>0</v>
      </c>
      <c r="L48" s="90">
        <f t="shared" si="15"/>
        <v>0</v>
      </c>
      <c r="M48" s="90">
        <f t="shared" si="15"/>
        <v>0</v>
      </c>
      <c r="N48" s="90">
        <f t="shared" si="15"/>
        <v>0</v>
      </c>
      <c r="O48" s="90">
        <f t="shared" si="15"/>
        <v>0</v>
      </c>
      <c r="P48" s="90">
        <f t="shared" si="15"/>
        <v>0</v>
      </c>
      <c r="Q48" s="90">
        <f t="shared" si="15"/>
        <v>0</v>
      </c>
      <c r="R48" s="90">
        <f t="shared" si="15"/>
        <v>0</v>
      </c>
      <c r="S48" s="90">
        <f t="shared" si="15"/>
        <v>0</v>
      </c>
      <c r="T48" s="90">
        <f t="shared" si="15"/>
        <v>0</v>
      </c>
      <c r="U48" s="90">
        <f t="shared" si="15"/>
        <v>0</v>
      </c>
      <c r="V48" s="90">
        <f t="shared" si="15"/>
        <v>0</v>
      </c>
      <c r="W48" s="90">
        <f t="shared" si="15"/>
        <v>0</v>
      </c>
      <c r="X48" s="90">
        <f t="shared" si="15"/>
        <v>0</v>
      </c>
      <c r="Y48" s="90">
        <f t="shared" si="15"/>
        <v>0</v>
      </c>
      <c r="Z48" s="90">
        <f t="shared" si="15"/>
        <v>0</v>
      </c>
      <c r="AA48" s="90">
        <f t="shared" si="15"/>
        <v>0</v>
      </c>
      <c r="AB48" s="90">
        <f t="shared" si="15"/>
        <v>0</v>
      </c>
      <c r="AC48" s="90">
        <f t="shared" si="15"/>
        <v>0</v>
      </c>
      <c r="AD48" s="90">
        <f t="shared" si="15"/>
        <v>0</v>
      </c>
      <c r="AE48" s="90">
        <f t="shared" si="15"/>
        <v>0</v>
      </c>
      <c r="AF48" s="90">
        <f t="shared" si="15"/>
        <v>0</v>
      </c>
      <c r="AG48" s="90">
        <f t="shared" si="15"/>
        <v>0</v>
      </c>
      <c r="AH48" s="90">
        <f t="shared" si="15"/>
        <v>0</v>
      </c>
      <c r="AI48" s="90">
        <f t="shared" si="15"/>
        <v>0</v>
      </c>
      <c r="AJ48" s="90">
        <f t="shared" si="15"/>
        <v>0</v>
      </c>
      <c r="AK48" s="90">
        <f t="shared" si="15"/>
        <v>0</v>
      </c>
      <c r="AL48" s="90">
        <f t="shared" si="15"/>
        <v>0</v>
      </c>
      <c r="AM48" s="90">
        <f t="shared" si="15"/>
        <v>0</v>
      </c>
      <c r="AN48" s="90">
        <f t="shared" si="15"/>
        <v>0</v>
      </c>
      <c r="AO48" s="90">
        <f t="shared" si="15"/>
        <v>0</v>
      </c>
      <c r="AP48" s="90">
        <f t="shared" si="15"/>
        <v>0</v>
      </c>
      <c r="AQ48" s="90">
        <f t="shared" si="15"/>
        <v>0</v>
      </c>
      <c r="AR48" s="90">
        <f t="shared" si="15"/>
        <v>0</v>
      </c>
      <c r="AS48" s="90">
        <f t="shared" si="15"/>
        <v>0</v>
      </c>
      <c r="AT48" s="90">
        <f t="shared" si="15"/>
        <v>0</v>
      </c>
      <c r="AU48" s="90">
        <f t="shared" si="15"/>
        <v>0</v>
      </c>
      <c r="AV48" s="90">
        <f t="shared" si="15"/>
        <v>0</v>
      </c>
      <c r="AW48" s="90">
        <f t="shared" si="15"/>
        <v>0</v>
      </c>
      <c r="AX48" s="90">
        <f t="shared" si="15"/>
        <v>0</v>
      </c>
      <c r="AY48" s="90">
        <f t="shared" si="15"/>
        <v>0</v>
      </c>
      <c r="AZ48" s="90">
        <f t="shared" si="15"/>
        <v>0</v>
      </c>
      <c r="BA48" s="90">
        <f t="shared" si="15"/>
        <v>0</v>
      </c>
      <c r="BB48" s="90">
        <f t="shared" si="15"/>
        <v>0</v>
      </c>
      <c r="BC48" s="90">
        <f t="shared" si="15"/>
        <v>0</v>
      </c>
      <c r="BD48" s="90">
        <f t="shared" si="15"/>
        <v>0</v>
      </c>
      <c r="BE48" s="90">
        <f t="shared" si="15"/>
        <v>0</v>
      </c>
      <c r="BF48" s="90">
        <f t="shared" si="15"/>
        <v>0</v>
      </c>
      <c r="BG48" s="90">
        <f t="shared" si="15"/>
        <v>0</v>
      </c>
      <c r="BH48" s="90">
        <f t="shared" si="15"/>
        <v>0</v>
      </c>
      <c r="BI48" s="90">
        <f t="shared" si="15"/>
        <v>0</v>
      </c>
      <c r="BJ48" s="90">
        <f t="shared" si="15"/>
        <v>0</v>
      </c>
      <c r="BK48" s="90">
        <f t="shared" si="15"/>
        <v>0</v>
      </c>
      <c r="BL48" s="90">
        <f t="shared" si="15"/>
        <v>0</v>
      </c>
      <c r="BM48" s="90">
        <f t="shared" si="15"/>
        <v>0</v>
      </c>
      <c r="BN48" s="90">
        <f t="shared" si="15"/>
        <v>0</v>
      </c>
      <c r="BO48" s="90">
        <f t="shared" si="15"/>
        <v>0</v>
      </c>
    </row>
    <row r="49" spans="1:67">
      <c r="A49" s="11"/>
      <c r="B49" s="22" t="s">
        <v>359</v>
      </c>
      <c r="C49" s="11"/>
      <c r="D49" s="33"/>
      <c r="E49" s="10" t="s">
        <v>358</v>
      </c>
      <c r="F49" s="10"/>
      <c r="G49" s="89">
        <f>SUM(G33:G48)</f>
        <v>0</v>
      </c>
      <c r="H49" s="89">
        <f t="shared" ref="H49:BI49" si="16">SUM(H33:H48)</f>
        <v>0</v>
      </c>
      <c r="I49" s="89">
        <f t="shared" si="16"/>
        <v>0</v>
      </c>
      <c r="J49" s="89">
        <f t="shared" si="16"/>
        <v>0</v>
      </c>
      <c r="K49" s="89">
        <f t="shared" si="16"/>
        <v>0</v>
      </c>
      <c r="L49" s="89">
        <f t="shared" si="16"/>
        <v>0</v>
      </c>
      <c r="M49" s="89">
        <f t="shared" si="16"/>
        <v>0</v>
      </c>
      <c r="N49" s="89">
        <f t="shared" si="16"/>
        <v>0</v>
      </c>
      <c r="O49" s="89">
        <f t="shared" si="16"/>
        <v>0</v>
      </c>
      <c r="P49" s="89">
        <f t="shared" si="16"/>
        <v>0</v>
      </c>
      <c r="Q49" s="89">
        <f t="shared" si="16"/>
        <v>0</v>
      </c>
      <c r="R49" s="89">
        <f t="shared" si="16"/>
        <v>0</v>
      </c>
      <c r="S49" s="89">
        <f t="shared" si="16"/>
        <v>0</v>
      </c>
      <c r="T49" s="89">
        <f t="shared" si="16"/>
        <v>0</v>
      </c>
      <c r="U49" s="89">
        <f t="shared" si="16"/>
        <v>0</v>
      </c>
      <c r="V49" s="89">
        <f t="shared" si="16"/>
        <v>0</v>
      </c>
      <c r="W49" s="89">
        <f t="shared" si="16"/>
        <v>0</v>
      </c>
      <c r="X49" s="89">
        <f t="shared" si="16"/>
        <v>0</v>
      </c>
      <c r="Y49" s="89">
        <f t="shared" si="16"/>
        <v>0</v>
      </c>
      <c r="Z49" s="89">
        <f t="shared" si="16"/>
        <v>0</v>
      </c>
      <c r="AA49" s="89">
        <f t="shared" si="16"/>
        <v>0</v>
      </c>
      <c r="AB49" s="62">
        <f t="shared" si="16"/>
        <v>682</v>
      </c>
      <c r="AC49" s="89">
        <f t="shared" si="16"/>
        <v>903.64999999999986</v>
      </c>
      <c r="AD49" s="89">
        <f t="shared" si="16"/>
        <v>1125.3000000000002</v>
      </c>
      <c r="AE49" s="89">
        <f t="shared" si="16"/>
        <v>1346.9500000000005</v>
      </c>
      <c r="AF49" s="89">
        <f t="shared" si="16"/>
        <v>1568.6000000000001</v>
      </c>
      <c r="AG49" s="89">
        <f t="shared" si="16"/>
        <v>1790.2500000000002</v>
      </c>
      <c r="AH49" s="89">
        <f t="shared" si="16"/>
        <v>2011.8999999999999</v>
      </c>
      <c r="AI49" s="89">
        <f t="shared" si="16"/>
        <v>2233.5499999999997</v>
      </c>
      <c r="AJ49" s="89">
        <f t="shared" si="16"/>
        <v>2455.2000000000003</v>
      </c>
      <c r="AK49" s="89">
        <f t="shared" si="16"/>
        <v>2676.8500000000004</v>
      </c>
      <c r="AL49" s="89">
        <f t="shared" si="16"/>
        <v>2898.5</v>
      </c>
      <c r="AM49" s="89">
        <f t="shared" si="16"/>
        <v>3120.1500000000005</v>
      </c>
      <c r="AN49" s="89">
        <f t="shared" si="16"/>
        <v>3341.7999999999997</v>
      </c>
      <c r="AO49" s="89">
        <f t="shared" si="16"/>
        <v>3341.7999999999997</v>
      </c>
      <c r="AP49" s="89">
        <f t="shared" si="16"/>
        <v>3341.7999999999997</v>
      </c>
      <c r="AQ49" s="89">
        <f t="shared" si="16"/>
        <v>3341.7999999999997</v>
      </c>
      <c r="AR49" s="89">
        <f t="shared" si="16"/>
        <v>3341.7999999999997</v>
      </c>
      <c r="AS49" s="89">
        <f t="shared" si="16"/>
        <v>3341.7999999999997</v>
      </c>
      <c r="AT49" s="89">
        <f t="shared" si="16"/>
        <v>3341.7999999999997</v>
      </c>
      <c r="AU49" s="89">
        <f t="shared" si="16"/>
        <v>3341.7999999999997</v>
      </c>
      <c r="AV49" s="89">
        <f t="shared" si="16"/>
        <v>3341.7999999999997</v>
      </c>
      <c r="AW49" s="89">
        <f t="shared" si="16"/>
        <v>3341.7999999999997</v>
      </c>
      <c r="AX49" s="89">
        <f t="shared" si="16"/>
        <v>3341.7999999999997</v>
      </c>
      <c r="AY49" s="89">
        <f t="shared" si="16"/>
        <v>3341.7999999999997</v>
      </c>
      <c r="AZ49" s="89">
        <f t="shared" si="16"/>
        <v>3341.7999999999997</v>
      </c>
      <c r="BA49" s="89">
        <f t="shared" si="16"/>
        <v>3341.7999999999997</v>
      </c>
      <c r="BB49" s="89">
        <f t="shared" si="16"/>
        <v>3341.7999999999997</v>
      </c>
      <c r="BC49" s="89">
        <f t="shared" si="16"/>
        <v>3341.7999999999997</v>
      </c>
      <c r="BD49" s="89">
        <f t="shared" si="16"/>
        <v>3341.7999999999997</v>
      </c>
      <c r="BE49" s="89">
        <f t="shared" si="16"/>
        <v>3341.7999999999997</v>
      </c>
      <c r="BF49" s="89">
        <f t="shared" si="16"/>
        <v>3341.7999999999997</v>
      </c>
      <c r="BG49" s="89">
        <f t="shared" si="16"/>
        <v>3341.7999999999997</v>
      </c>
      <c r="BH49" s="89">
        <f t="shared" si="16"/>
        <v>3341.7999999999997</v>
      </c>
      <c r="BI49" s="89">
        <f t="shared" si="16"/>
        <v>40101.599999999999</v>
      </c>
      <c r="BJ49" s="89">
        <f t="shared" ref="BJ49" si="17">SUM(BJ33:BJ48)</f>
        <v>40101.599999999999</v>
      </c>
      <c r="BK49" s="89">
        <f t="shared" ref="BK49" si="18">SUM(BK33:BK48)</f>
        <v>40101.599999999999</v>
      </c>
      <c r="BL49" s="89">
        <f t="shared" ref="BL49" si="19">SUM(BL33:BL48)</f>
        <v>40101.599999999999</v>
      </c>
      <c r="BM49" s="89">
        <f t="shared" ref="BM49" si="20">SUM(BM33:BM48)</f>
        <v>40101.599999999999</v>
      </c>
      <c r="BN49" s="89">
        <f t="shared" ref="BN49" si="21">SUM(BN33:BN48)</f>
        <v>40101.599999999999</v>
      </c>
      <c r="BO49" s="89">
        <f t="shared" ref="BO49" si="22">SUM(BO33:BO48)</f>
        <v>40101.599999999999</v>
      </c>
    </row>
    <row r="50" spans="1:67">
      <c r="A50" s="11"/>
      <c r="B50" s="11"/>
      <c r="C50" s="11"/>
      <c r="D50" s="33"/>
      <c r="E50" s="43"/>
      <c r="F50" s="43"/>
      <c r="G50" s="33"/>
      <c r="H50" s="33"/>
      <c r="I50" s="33"/>
      <c r="J50" s="33"/>
      <c r="K50" s="33"/>
      <c r="L50" s="33"/>
      <c r="M50" s="33"/>
      <c r="N50" s="33"/>
      <c r="O50" s="33"/>
      <c r="P50" s="33"/>
      <c r="Q50" s="33"/>
      <c r="R50" s="33"/>
      <c r="S50" s="33"/>
      <c r="T50" s="33"/>
      <c r="U50" s="33"/>
      <c r="V50" s="33"/>
      <c r="W50" s="33"/>
      <c r="X50" s="33"/>
      <c r="Y50" s="33"/>
      <c r="Z50" s="33"/>
      <c r="AA50" s="33"/>
      <c r="AB50" s="33"/>
      <c r="AC50" s="33"/>
      <c r="AD50" s="33"/>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3"/>
      <c r="BN50" s="33"/>
      <c r="BO50" s="33"/>
    </row>
    <row r="51" spans="1:67">
      <c r="A51" s="18" t="s">
        <v>360</v>
      </c>
      <c r="B51" s="18"/>
      <c r="C51" s="18"/>
      <c r="D51" s="39"/>
      <c r="E51" s="39"/>
      <c r="F51" s="39"/>
      <c r="G51" s="39"/>
      <c r="H51" s="39"/>
      <c r="I51" s="39"/>
      <c r="J51" s="39"/>
      <c r="K51" s="39"/>
      <c r="L51" s="39"/>
      <c r="M51" s="39"/>
      <c r="N51" s="39"/>
      <c r="O51" s="39"/>
      <c r="P51" s="39"/>
      <c r="Q51" s="39"/>
      <c r="R51" s="39"/>
      <c r="S51" s="39"/>
      <c r="T51" s="39"/>
      <c r="U51" s="39"/>
      <c r="V51" s="39"/>
      <c r="W51" s="39"/>
      <c r="X51" s="39"/>
      <c r="Y51" s="39"/>
      <c r="Z51" s="39"/>
      <c r="AA51" s="39"/>
      <c r="AB51" s="39"/>
      <c r="AC51" s="39"/>
      <c r="AD51" s="39"/>
      <c r="AE51" s="39"/>
      <c r="AF51" s="39"/>
      <c r="AG51" s="39"/>
      <c r="AH51" s="39"/>
      <c r="AI51" s="39"/>
      <c r="AJ51" s="39"/>
      <c r="AK51" s="39"/>
      <c r="AL51" s="39"/>
      <c r="AM51" s="39"/>
      <c r="AN51" s="39"/>
      <c r="AO51" s="39"/>
      <c r="AP51" s="39"/>
      <c r="AQ51" s="39"/>
      <c r="AR51" s="39"/>
      <c r="AS51" s="39"/>
      <c r="AT51" s="39"/>
      <c r="AU51" s="39"/>
      <c r="AV51" s="39"/>
      <c r="AW51" s="39"/>
      <c r="AX51" s="39"/>
      <c r="AY51" s="39"/>
      <c r="AZ51" s="39"/>
      <c r="BA51" s="39"/>
      <c r="BB51" s="39"/>
      <c r="BC51" s="39"/>
      <c r="BD51" s="39"/>
      <c r="BE51" s="39"/>
      <c r="BF51" s="39"/>
      <c r="BG51" s="39"/>
      <c r="BH51" s="39"/>
      <c r="BI51" s="39"/>
      <c r="BJ51" s="39"/>
      <c r="BK51" s="39"/>
      <c r="BL51" s="39"/>
      <c r="BM51" s="39"/>
      <c r="BN51" s="39"/>
      <c r="BO51" s="39"/>
    </row>
    <row r="52" spans="1:67">
      <c r="A52" s="11"/>
      <c r="B52" s="11" t="s">
        <v>361</v>
      </c>
      <c r="C52" s="11"/>
      <c r="D52" s="33"/>
      <c r="E52" s="10" t="s">
        <v>358</v>
      </c>
      <c r="F52" s="10"/>
      <c r="G52" s="90">
        <f>0</f>
        <v>0</v>
      </c>
      <c r="H52" s="90">
        <f>G55</f>
        <v>0</v>
      </c>
      <c r="I52" s="90">
        <f t="shared" ref="I52:BI52" si="23">H55</f>
        <v>0</v>
      </c>
      <c r="J52" s="90">
        <f t="shared" si="23"/>
        <v>0</v>
      </c>
      <c r="K52" s="90">
        <f t="shared" si="23"/>
        <v>0</v>
      </c>
      <c r="L52" s="90">
        <f t="shared" si="23"/>
        <v>0</v>
      </c>
      <c r="M52" s="90">
        <f t="shared" si="23"/>
        <v>0</v>
      </c>
      <c r="N52" s="90">
        <f t="shared" si="23"/>
        <v>0</v>
      </c>
      <c r="O52" s="90">
        <f t="shared" si="23"/>
        <v>0</v>
      </c>
      <c r="P52" s="90">
        <f t="shared" si="23"/>
        <v>0</v>
      </c>
      <c r="Q52" s="90">
        <f t="shared" si="23"/>
        <v>0</v>
      </c>
      <c r="R52" s="90">
        <f t="shared" si="23"/>
        <v>0</v>
      </c>
      <c r="S52" s="90">
        <f t="shared" si="23"/>
        <v>0</v>
      </c>
      <c r="T52" s="90">
        <f t="shared" si="23"/>
        <v>0</v>
      </c>
      <c r="U52" s="90">
        <f t="shared" si="23"/>
        <v>0</v>
      </c>
      <c r="V52" s="90">
        <f t="shared" si="23"/>
        <v>0</v>
      </c>
      <c r="W52" s="90">
        <f t="shared" si="23"/>
        <v>0</v>
      </c>
      <c r="X52" s="90">
        <f t="shared" si="23"/>
        <v>0</v>
      </c>
      <c r="Y52" s="90">
        <f t="shared" si="23"/>
        <v>0</v>
      </c>
      <c r="Z52" s="90">
        <f t="shared" si="23"/>
        <v>0</v>
      </c>
      <c r="AA52" s="90">
        <f t="shared" si="23"/>
        <v>0</v>
      </c>
      <c r="AB52" s="90">
        <f t="shared" si="23"/>
        <v>0</v>
      </c>
      <c r="AC52" s="90">
        <f t="shared" si="23"/>
        <v>3600</v>
      </c>
      <c r="AD52" s="90">
        <f t="shared" si="23"/>
        <v>3599.9999999999991</v>
      </c>
      <c r="AE52" s="90">
        <f t="shared" si="23"/>
        <v>3600</v>
      </c>
      <c r="AF52" s="90">
        <f t="shared" si="23"/>
        <v>3600.0000000000009</v>
      </c>
      <c r="AG52" s="90">
        <f t="shared" si="23"/>
        <v>3600</v>
      </c>
      <c r="AH52" s="90">
        <f t="shared" si="23"/>
        <v>3600</v>
      </c>
      <c r="AI52" s="90">
        <f t="shared" si="23"/>
        <v>3600</v>
      </c>
      <c r="AJ52" s="90">
        <f t="shared" si="23"/>
        <v>3599.9999999999995</v>
      </c>
      <c r="AK52" s="90">
        <f t="shared" si="23"/>
        <v>3600.0000000000005</v>
      </c>
      <c r="AL52" s="90">
        <f t="shared" si="23"/>
        <v>3600</v>
      </c>
      <c r="AM52" s="90">
        <f t="shared" si="23"/>
        <v>3600</v>
      </c>
      <c r="AN52" s="90">
        <f t="shared" si="23"/>
        <v>3600.0000000000009</v>
      </c>
      <c r="AO52" s="90">
        <f t="shared" si="23"/>
        <v>3599.9999999999995</v>
      </c>
      <c r="AP52" s="90">
        <f t="shared" si="23"/>
        <v>3599.9999999999995</v>
      </c>
      <c r="AQ52" s="90">
        <f t="shared" si="23"/>
        <v>3599.9999999999995</v>
      </c>
      <c r="AR52" s="90">
        <f t="shared" si="23"/>
        <v>3599.9999999999995</v>
      </c>
      <c r="AS52" s="90">
        <f t="shared" si="23"/>
        <v>3599.9999999999995</v>
      </c>
      <c r="AT52" s="90">
        <f t="shared" si="23"/>
        <v>3599.9999999999995</v>
      </c>
      <c r="AU52" s="90">
        <f t="shared" si="23"/>
        <v>3599.9999999999995</v>
      </c>
      <c r="AV52" s="90">
        <f t="shared" si="23"/>
        <v>3599.9999999999995</v>
      </c>
      <c r="AW52" s="90">
        <f t="shared" si="23"/>
        <v>3599.9999999999995</v>
      </c>
      <c r="AX52" s="90">
        <f t="shared" si="23"/>
        <v>3599.9999999999995</v>
      </c>
      <c r="AY52" s="90">
        <f t="shared" si="23"/>
        <v>3599.9999999999995</v>
      </c>
      <c r="AZ52" s="90">
        <f t="shared" si="23"/>
        <v>3599.9999999999995</v>
      </c>
      <c r="BA52" s="90">
        <f t="shared" si="23"/>
        <v>3599.9999999999995</v>
      </c>
      <c r="BB52" s="90">
        <f t="shared" si="23"/>
        <v>3599.9999999999995</v>
      </c>
      <c r="BC52" s="90">
        <f t="shared" si="23"/>
        <v>3599.9999999999995</v>
      </c>
      <c r="BD52" s="90">
        <f t="shared" si="23"/>
        <v>3599.9999999999995</v>
      </c>
      <c r="BE52" s="90">
        <f t="shared" si="23"/>
        <v>3599.9999999999995</v>
      </c>
      <c r="BF52" s="90">
        <f t="shared" si="23"/>
        <v>3599.9999999999995</v>
      </c>
      <c r="BG52" s="90">
        <f t="shared" si="23"/>
        <v>3599.9999999999995</v>
      </c>
      <c r="BH52" s="90">
        <f t="shared" si="23"/>
        <v>3599.9999999999995</v>
      </c>
      <c r="BI52" s="90">
        <f t="shared" si="23"/>
        <v>3599.9999999999995</v>
      </c>
      <c r="BJ52" s="90">
        <f t="shared" ref="BJ52:BO52" si="24">BI55</f>
        <v>3600</v>
      </c>
      <c r="BK52" s="90">
        <f t="shared" si="24"/>
        <v>3600</v>
      </c>
      <c r="BL52" s="90">
        <f t="shared" si="24"/>
        <v>3600</v>
      </c>
      <c r="BM52" s="90">
        <f t="shared" si="24"/>
        <v>3600</v>
      </c>
      <c r="BN52" s="90">
        <f t="shared" si="24"/>
        <v>3600</v>
      </c>
      <c r="BO52" s="90">
        <f t="shared" si="24"/>
        <v>3600</v>
      </c>
    </row>
    <row r="53" spans="1:67">
      <c r="A53" s="11"/>
      <c r="B53" s="11" t="s">
        <v>362</v>
      </c>
      <c r="C53" s="11"/>
      <c r="D53" s="33"/>
      <c r="E53" s="10" t="s">
        <v>358</v>
      </c>
      <c r="F53" s="10"/>
      <c r="G53" s="90">
        <f>MAX(0,G54+G56-G52)</f>
        <v>0</v>
      </c>
      <c r="H53" s="90">
        <f t="shared" ref="H53:BI53" si="25">MAX(0,H54+H56-H52)</f>
        <v>0</v>
      </c>
      <c r="I53" s="90">
        <f t="shared" si="25"/>
        <v>0</v>
      </c>
      <c r="J53" s="90">
        <f t="shared" si="25"/>
        <v>0</v>
      </c>
      <c r="K53" s="90">
        <f t="shared" si="25"/>
        <v>0</v>
      </c>
      <c r="L53" s="90">
        <f t="shared" si="25"/>
        <v>0</v>
      </c>
      <c r="M53" s="90">
        <f t="shared" si="25"/>
        <v>0</v>
      </c>
      <c r="N53" s="90">
        <f t="shared" si="25"/>
        <v>0</v>
      </c>
      <c r="O53" s="90">
        <f t="shared" si="25"/>
        <v>0</v>
      </c>
      <c r="P53" s="90">
        <f t="shared" si="25"/>
        <v>0</v>
      </c>
      <c r="Q53" s="90">
        <f t="shared" si="25"/>
        <v>0</v>
      </c>
      <c r="R53" s="90">
        <f t="shared" si="25"/>
        <v>0</v>
      </c>
      <c r="S53" s="90">
        <f t="shared" si="25"/>
        <v>0</v>
      </c>
      <c r="T53" s="90">
        <f t="shared" si="25"/>
        <v>0</v>
      </c>
      <c r="U53" s="90">
        <f t="shared" si="25"/>
        <v>0</v>
      </c>
      <c r="V53" s="90">
        <f t="shared" si="25"/>
        <v>0</v>
      </c>
      <c r="W53" s="90">
        <f t="shared" si="25"/>
        <v>0</v>
      </c>
      <c r="X53" s="90">
        <f t="shared" si="25"/>
        <v>0</v>
      </c>
      <c r="Y53" s="90">
        <f t="shared" si="25"/>
        <v>0</v>
      </c>
      <c r="Z53" s="90">
        <f t="shared" si="25"/>
        <v>0</v>
      </c>
      <c r="AA53" s="90">
        <f t="shared" si="25"/>
        <v>0</v>
      </c>
      <c r="AB53" s="63">
        <f t="shared" si="25"/>
        <v>4282</v>
      </c>
      <c r="AC53" s="90">
        <f t="shared" si="25"/>
        <v>903.64999999999873</v>
      </c>
      <c r="AD53" s="90">
        <f t="shared" si="25"/>
        <v>1125.3000000000011</v>
      </c>
      <c r="AE53" s="90">
        <f t="shared" si="25"/>
        <v>1346.9500000000016</v>
      </c>
      <c r="AF53" s="90">
        <f t="shared" si="25"/>
        <v>1568.5999999999995</v>
      </c>
      <c r="AG53" s="90">
        <f t="shared" si="25"/>
        <v>1790.25</v>
      </c>
      <c r="AH53" s="90">
        <f t="shared" si="25"/>
        <v>2011.8999999999996</v>
      </c>
      <c r="AI53" s="90">
        <f t="shared" si="25"/>
        <v>2233.5499999999993</v>
      </c>
      <c r="AJ53" s="90">
        <f t="shared" si="25"/>
        <v>2455.2000000000012</v>
      </c>
      <c r="AK53" s="90">
        <f t="shared" si="25"/>
        <v>2676.85</v>
      </c>
      <c r="AL53" s="90">
        <f t="shared" si="25"/>
        <v>2898.5</v>
      </c>
      <c r="AM53" s="90">
        <f t="shared" si="25"/>
        <v>3120.1500000000015</v>
      </c>
      <c r="AN53" s="90">
        <f t="shared" si="25"/>
        <v>3341.7999999999984</v>
      </c>
      <c r="AO53" s="90">
        <f t="shared" si="25"/>
        <v>3341.7999999999997</v>
      </c>
      <c r="AP53" s="90">
        <f t="shared" si="25"/>
        <v>3341.7999999999997</v>
      </c>
      <c r="AQ53" s="90">
        <f t="shared" si="25"/>
        <v>3341.7999999999997</v>
      </c>
      <c r="AR53" s="90">
        <f t="shared" si="25"/>
        <v>3341.7999999999997</v>
      </c>
      <c r="AS53" s="90">
        <f t="shared" si="25"/>
        <v>3341.7999999999997</v>
      </c>
      <c r="AT53" s="90">
        <f t="shared" si="25"/>
        <v>3341.7999999999997</v>
      </c>
      <c r="AU53" s="90">
        <f t="shared" si="25"/>
        <v>3341.7999999999997</v>
      </c>
      <c r="AV53" s="90">
        <f t="shared" si="25"/>
        <v>3341.7999999999997</v>
      </c>
      <c r="AW53" s="90">
        <f t="shared" si="25"/>
        <v>3341.7999999999997</v>
      </c>
      <c r="AX53" s="90">
        <f t="shared" si="25"/>
        <v>3341.7999999999997</v>
      </c>
      <c r="AY53" s="90">
        <f t="shared" si="25"/>
        <v>3341.7999999999997</v>
      </c>
      <c r="AZ53" s="90">
        <f t="shared" si="25"/>
        <v>3341.7999999999997</v>
      </c>
      <c r="BA53" s="90">
        <f t="shared" si="25"/>
        <v>3341.7999999999997</v>
      </c>
      <c r="BB53" s="90">
        <f t="shared" si="25"/>
        <v>3341.7999999999997</v>
      </c>
      <c r="BC53" s="90">
        <f t="shared" si="25"/>
        <v>3341.7999999999997</v>
      </c>
      <c r="BD53" s="90">
        <f t="shared" si="25"/>
        <v>3341.7999999999997</v>
      </c>
      <c r="BE53" s="90">
        <f t="shared" si="25"/>
        <v>3341.7999999999997</v>
      </c>
      <c r="BF53" s="90">
        <f t="shared" si="25"/>
        <v>3341.7999999999997</v>
      </c>
      <c r="BG53" s="90">
        <f t="shared" si="25"/>
        <v>3341.7999999999997</v>
      </c>
      <c r="BH53" s="90">
        <f t="shared" si="25"/>
        <v>3341.7999999999997</v>
      </c>
      <c r="BI53" s="90">
        <f t="shared" si="25"/>
        <v>40101.599999999999</v>
      </c>
      <c r="BJ53" s="90">
        <f t="shared" ref="BJ53" si="26">MAX(0,BJ54+BJ56-BJ52)</f>
        <v>40101.599999999999</v>
      </c>
      <c r="BK53" s="90">
        <f t="shared" ref="BK53" si="27">MAX(0,BK54+BK56-BK52)</f>
        <v>40101.599999999999</v>
      </c>
      <c r="BL53" s="90">
        <f t="shared" ref="BL53" si="28">MAX(0,BL54+BL56-BL52)</f>
        <v>40101.599999999999</v>
      </c>
      <c r="BM53" s="90">
        <f t="shared" ref="BM53" si="29">MAX(0,BM54+BM56-BM52)</f>
        <v>40101.599999999999</v>
      </c>
      <c r="BN53" s="90">
        <f t="shared" ref="BN53" si="30">MAX(0,BN54+BN56-BN52)</f>
        <v>40101.599999999999</v>
      </c>
      <c r="BO53" s="90">
        <f t="shared" ref="BO53" si="31">MAX(0,BO54+BO56-BO52)</f>
        <v>40101.599999999999</v>
      </c>
    </row>
    <row r="54" spans="1:67">
      <c r="A54" s="11"/>
      <c r="B54" s="11" t="s">
        <v>363</v>
      </c>
      <c r="C54" s="11"/>
      <c r="D54" s="33"/>
      <c r="E54" s="10" t="s">
        <v>358</v>
      </c>
      <c r="F54" s="10"/>
      <c r="G54" s="90">
        <f>G49</f>
        <v>0</v>
      </c>
      <c r="H54" s="90">
        <f t="shared" ref="H54:BI54" si="32">H49</f>
        <v>0</v>
      </c>
      <c r="I54" s="90">
        <f t="shared" si="32"/>
        <v>0</v>
      </c>
      <c r="J54" s="90">
        <f t="shared" si="32"/>
        <v>0</v>
      </c>
      <c r="K54" s="90">
        <f t="shared" si="32"/>
        <v>0</v>
      </c>
      <c r="L54" s="90">
        <f t="shared" si="32"/>
        <v>0</v>
      </c>
      <c r="M54" s="90">
        <f t="shared" si="32"/>
        <v>0</v>
      </c>
      <c r="N54" s="90">
        <f t="shared" si="32"/>
        <v>0</v>
      </c>
      <c r="O54" s="90">
        <f t="shared" si="32"/>
        <v>0</v>
      </c>
      <c r="P54" s="90">
        <f t="shared" si="32"/>
        <v>0</v>
      </c>
      <c r="Q54" s="90">
        <f t="shared" si="32"/>
        <v>0</v>
      </c>
      <c r="R54" s="90">
        <f t="shared" si="32"/>
        <v>0</v>
      </c>
      <c r="S54" s="90">
        <f t="shared" si="32"/>
        <v>0</v>
      </c>
      <c r="T54" s="90">
        <f t="shared" si="32"/>
        <v>0</v>
      </c>
      <c r="U54" s="90">
        <f t="shared" si="32"/>
        <v>0</v>
      </c>
      <c r="V54" s="90">
        <f t="shared" si="32"/>
        <v>0</v>
      </c>
      <c r="W54" s="90">
        <f t="shared" si="32"/>
        <v>0</v>
      </c>
      <c r="X54" s="90">
        <f t="shared" si="32"/>
        <v>0</v>
      </c>
      <c r="Y54" s="90">
        <f t="shared" si="32"/>
        <v>0</v>
      </c>
      <c r="Z54" s="90">
        <f t="shared" si="32"/>
        <v>0</v>
      </c>
      <c r="AA54" s="90">
        <f t="shared" si="32"/>
        <v>0</v>
      </c>
      <c r="AB54" s="63">
        <f t="shared" si="32"/>
        <v>682</v>
      </c>
      <c r="AC54" s="90">
        <f t="shared" si="32"/>
        <v>903.64999999999986</v>
      </c>
      <c r="AD54" s="90">
        <f t="shared" si="32"/>
        <v>1125.3000000000002</v>
      </c>
      <c r="AE54" s="90">
        <f t="shared" si="32"/>
        <v>1346.9500000000005</v>
      </c>
      <c r="AF54" s="90">
        <f t="shared" si="32"/>
        <v>1568.6000000000001</v>
      </c>
      <c r="AG54" s="90">
        <f t="shared" si="32"/>
        <v>1790.2500000000002</v>
      </c>
      <c r="AH54" s="90">
        <f t="shared" si="32"/>
        <v>2011.8999999999999</v>
      </c>
      <c r="AI54" s="90">
        <f t="shared" si="32"/>
        <v>2233.5499999999997</v>
      </c>
      <c r="AJ54" s="90">
        <f t="shared" si="32"/>
        <v>2455.2000000000003</v>
      </c>
      <c r="AK54" s="90">
        <f t="shared" si="32"/>
        <v>2676.8500000000004</v>
      </c>
      <c r="AL54" s="90">
        <f t="shared" si="32"/>
        <v>2898.5</v>
      </c>
      <c r="AM54" s="90">
        <f t="shared" si="32"/>
        <v>3120.1500000000005</v>
      </c>
      <c r="AN54" s="90">
        <f t="shared" si="32"/>
        <v>3341.7999999999997</v>
      </c>
      <c r="AO54" s="90">
        <f t="shared" si="32"/>
        <v>3341.7999999999997</v>
      </c>
      <c r="AP54" s="90">
        <f t="shared" si="32"/>
        <v>3341.7999999999997</v>
      </c>
      <c r="AQ54" s="90">
        <f t="shared" si="32"/>
        <v>3341.7999999999997</v>
      </c>
      <c r="AR54" s="90">
        <f t="shared" si="32"/>
        <v>3341.7999999999997</v>
      </c>
      <c r="AS54" s="90">
        <f t="shared" si="32"/>
        <v>3341.7999999999997</v>
      </c>
      <c r="AT54" s="90">
        <f t="shared" si="32"/>
        <v>3341.7999999999997</v>
      </c>
      <c r="AU54" s="90">
        <f t="shared" si="32"/>
        <v>3341.7999999999997</v>
      </c>
      <c r="AV54" s="90">
        <f t="shared" si="32"/>
        <v>3341.7999999999997</v>
      </c>
      <c r="AW54" s="90">
        <f t="shared" si="32"/>
        <v>3341.7999999999997</v>
      </c>
      <c r="AX54" s="90">
        <f t="shared" si="32"/>
        <v>3341.7999999999997</v>
      </c>
      <c r="AY54" s="90">
        <f t="shared" si="32"/>
        <v>3341.7999999999997</v>
      </c>
      <c r="AZ54" s="90">
        <f t="shared" si="32"/>
        <v>3341.7999999999997</v>
      </c>
      <c r="BA54" s="90">
        <f t="shared" si="32"/>
        <v>3341.7999999999997</v>
      </c>
      <c r="BB54" s="90">
        <f t="shared" si="32"/>
        <v>3341.7999999999997</v>
      </c>
      <c r="BC54" s="90">
        <f t="shared" si="32"/>
        <v>3341.7999999999997</v>
      </c>
      <c r="BD54" s="90">
        <f t="shared" si="32"/>
        <v>3341.7999999999997</v>
      </c>
      <c r="BE54" s="90">
        <f t="shared" si="32"/>
        <v>3341.7999999999997</v>
      </c>
      <c r="BF54" s="90">
        <f t="shared" si="32"/>
        <v>3341.7999999999997</v>
      </c>
      <c r="BG54" s="90">
        <f t="shared" si="32"/>
        <v>3341.7999999999997</v>
      </c>
      <c r="BH54" s="90">
        <f t="shared" si="32"/>
        <v>3341.7999999999997</v>
      </c>
      <c r="BI54" s="90">
        <f t="shared" si="32"/>
        <v>40101.599999999999</v>
      </c>
      <c r="BJ54" s="90">
        <f t="shared" ref="BJ54:BO54" si="33">BJ49</f>
        <v>40101.599999999999</v>
      </c>
      <c r="BK54" s="90">
        <f t="shared" si="33"/>
        <v>40101.599999999999</v>
      </c>
      <c r="BL54" s="90">
        <f t="shared" si="33"/>
        <v>40101.599999999999</v>
      </c>
      <c r="BM54" s="90">
        <f t="shared" si="33"/>
        <v>40101.599999999999</v>
      </c>
      <c r="BN54" s="90">
        <f t="shared" si="33"/>
        <v>40101.599999999999</v>
      </c>
      <c r="BO54" s="90">
        <f t="shared" si="33"/>
        <v>40101.599999999999</v>
      </c>
    </row>
    <row r="55" spans="1:67">
      <c r="A55" s="11"/>
      <c r="B55" s="11" t="s">
        <v>364</v>
      </c>
      <c r="C55" s="11"/>
      <c r="D55" s="33"/>
      <c r="E55" s="10" t="s">
        <v>358</v>
      </c>
      <c r="F55" s="10"/>
      <c r="G55" s="90">
        <f>G52+G53-G54</f>
        <v>0</v>
      </c>
      <c r="H55" s="90">
        <f t="shared" ref="H55:BI55" si="34">H52+H53-H54</f>
        <v>0</v>
      </c>
      <c r="I55" s="90">
        <f t="shared" si="34"/>
        <v>0</v>
      </c>
      <c r="J55" s="90">
        <f t="shared" si="34"/>
        <v>0</v>
      </c>
      <c r="K55" s="90">
        <f t="shared" si="34"/>
        <v>0</v>
      </c>
      <c r="L55" s="90">
        <f t="shared" si="34"/>
        <v>0</v>
      </c>
      <c r="M55" s="90">
        <f t="shared" si="34"/>
        <v>0</v>
      </c>
      <c r="N55" s="90">
        <f t="shared" si="34"/>
        <v>0</v>
      </c>
      <c r="O55" s="90">
        <f t="shared" si="34"/>
        <v>0</v>
      </c>
      <c r="P55" s="90">
        <f t="shared" si="34"/>
        <v>0</v>
      </c>
      <c r="Q55" s="90">
        <f t="shared" si="34"/>
        <v>0</v>
      </c>
      <c r="R55" s="90">
        <f t="shared" si="34"/>
        <v>0</v>
      </c>
      <c r="S55" s="90">
        <f t="shared" si="34"/>
        <v>0</v>
      </c>
      <c r="T55" s="90">
        <f t="shared" si="34"/>
        <v>0</v>
      </c>
      <c r="U55" s="90">
        <f t="shared" si="34"/>
        <v>0</v>
      </c>
      <c r="V55" s="90">
        <f t="shared" si="34"/>
        <v>0</v>
      </c>
      <c r="W55" s="90">
        <f t="shared" si="34"/>
        <v>0</v>
      </c>
      <c r="X55" s="90">
        <f t="shared" si="34"/>
        <v>0</v>
      </c>
      <c r="Y55" s="90">
        <f t="shared" si="34"/>
        <v>0</v>
      </c>
      <c r="Z55" s="90">
        <f t="shared" si="34"/>
        <v>0</v>
      </c>
      <c r="AA55" s="90">
        <f t="shared" si="34"/>
        <v>0</v>
      </c>
      <c r="AB55" s="90">
        <f t="shared" si="34"/>
        <v>3600</v>
      </c>
      <c r="AC55" s="90">
        <f t="shared" si="34"/>
        <v>3599.9999999999991</v>
      </c>
      <c r="AD55" s="90">
        <f t="shared" si="34"/>
        <v>3600</v>
      </c>
      <c r="AE55" s="90">
        <f t="shared" si="34"/>
        <v>3600.0000000000009</v>
      </c>
      <c r="AF55" s="90">
        <f t="shared" si="34"/>
        <v>3600</v>
      </c>
      <c r="AG55" s="90">
        <f t="shared" si="34"/>
        <v>3600</v>
      </c>
      <c r="AH55" s="90">
        <f t="shared" si="34"/>
        <v>3600</v>
      </c>
      <c r="AI55" s="90">
        <f t="shared" si="34"/>
        <v>3599.9999999999995</v>
      </c>
      <c r="AJ55" s="90">
        <f t="shared" si="34"/>
        <v>3600.0000000000005</v>
      </c>
      <c r="AK55" s="90">
        <f t="shared" si="34"/>
        <v>3600</v>
      </c>
      <c r="AL55" s="90">
        <f t="shared" si="34"/>
        <v>3600</v>
      </c>
      <c r="AM55" s="90">
        <f t="shared" si="34"/>
        <v>3600.0000000000009</v>
      </c>
      <c r="AN55" s="90">
        <f t="shared" si="34"/>
        <v>3599.9999999999995</v>
      </c>
      <c r="AO55" s="90">
        <f t="shared" si="34"/>
        <v>3599.9999999999995</v>
      </c>
      <c r="AP55" s="90">
        <f t="shared" si="34"/>
        <v>3599.9999999999995</v>
      </c>
      <c r="AQ55" s="90">
        <f t="shared" si="34"/>
        <v>3599.9999999999995</v>
      </c>
      <c r="AR55" s="90">
        <f t="shared" si="34"/>
        <v>3599.9999999999995</v>
      </c>
      <c r="AS55" s="90">
        <f t="shared" si="34"/>
        <v>3599.9999999999995</v>
      </c>
      <c r="AT55" s="90">
        <f t="shared" si="34"/>
        <v>3599.9999999999995</v>
      </c>
      <c r="AU55" s="90">
        <f t="shared" si="34"/>
        <v>3599.9999999999995</v>
      </c>
      <c r="AV55" s="90">
        <f t="shared" si="34"/>
        <v>3599.9999999999995</v>
      </c>
      <c r="AW55" s="90">
        <f t="shared" si="34"/>
        <v>3599.9999999999995</v>
      </c>
      <c r="AX55" s="90">
        <f t="shared" si="34"/>
        <v>3599.9999999999995</v>
      </c>
      <c r="AY55" s="90">
        <f t="shared" si="34"/>
        <v>3599.9999999999995</v>
      </c>
      <c r="AZ55" s="90">
        <f t="shared" si="34"/>
        <v>3599.9999999999995</v>
      </c>
      <c r="BA55" s="90">
        <f t="shared" si="34"/>
        <v>3599.9999999999995</v>
      </c>
      <c r="BB55" s="90">
        <f t="shared" si="34"/>
        <v>3599.9999999999995</v>
      </c>
      <c r="BC55" s="90">
        <f t="shared" si="34"/>
        <v>3599.9999999999995</v>
      </c>
      <c r="BD55" s="90">
        <f t="shared" si="34"/>
        <v>3599.9999999999995</v>
      </c>
      <c r="BE55" s="90">
        <f t="shared" si="34"/>
        <v>3599.9999999999995</v>
      </c>
      <c r="BF55" s="90">
        <f t="shared" si="34"/>
        <v>3599.9999999999995</v>
      </c>
      <c r="BG55" s="90">
        <f t="shared" si="34"/>
        <v>3599.9999999999995</v>
      </c>
      <c r="BH55" s="90">
        <f t="shared" si="34"/>
        <v>3599.9999999999995</v>
      </c>
      <c r="BI55" s="90">
        <f t="shared" si="34"/>
        <v>3600</v>
      </c>
      <c r="BJ55" s="90">
        <f t="shared" ref="BJ55" si="35">BJ52+BJ53-BJ54</f>
        <v>3600</v>
      </c>
      <c r="BK55" s="90">
        <f t="shared" ref="BK55" si="36">BK52+BK53-BK54</f>
        <v>3600</v>
      </c>
      <c r="BL55" s="90">
        <f t="shared" ref="BL55" si="37">BL52+BL53-BL54</f>
        <v>3600</v>
      </c>
      <c r="BM55" s="90">
        <f t="shared" ref="BM55" si="38">BM52+BM53-BM54</f>
        <v>3600</v>
      </c>
      <c r="BN55" s="90">
        <f t="shared" ref="BN55" si="39">BN52+BN53-BN54</f>
        <v>3600</v>
      </c>
      <c r="BO55" s="90">
        <f t="shared" ref="BO55" si="40">BO52+BO53-BO54</f>
        <v>3600</v>
      </c>
    </row>
    <row r="56" spans="1:67">
      <c r="A56" s="11"/>
      <c r="B56" s="11" t="s">
        <v>365</v>
      </c>
      <c r="C56" s="11"/>
      <c r="D56" s="33"/>
      <c r="E56" s="10" t="s">
        <v>358</v>
      </c>
      <c r="F56" s="10"/>
      <c r="G56" s="90">
        <f>IF(G30=0,0,G54/G30*'01 Major Assumptions'!$D$37)</f>
        <v>0</v>
      </c>
      <c r="H56" s="90">
        <f>IF(H30=0,0,H54/H30*'01 Major Assumptions'!$D$37)</f>
        <v>0</v>
      </c>
      <c r="I56" s="90">
        <f>IF(I30=0,0,I54/I30*'01 Major Assumptions'!$D$37)</f>
        <v>0</v>
      </c>
      <c r="J56" s="90">
        <f>IF(J30=0,0,J54/J30*'01 Major Assumptions'!$D$37)</f>
        <v>0</v>
      </c>
      <c r="K56" s="90">
        <f>IF(K30=0,0,K54/K30*'01 Major Assumptions'!$D$37)</f>
        <v>0</v>
      </c>
      <c r="L56" s="90">
        <f>IF(L30=0,0,L54/L30*'01 Major Assumptions'!$D$37)</f>
        <v>0</v>
      </c>
      <c r="M56" s="90">
        <f>IF(M30=0,0,M54/M30*'01 Major Assumptions'!$D$37)</f>
        <v>0</v>
      </c>
      <c r="N56" s="90">
        <f>IF(N30=0,0,N54/N30*'01 Major Assumptions'!$D$37)</f>
        <v>0</v>
      </c>
      <c r="O56" s="90">
        <f>IF(O30=0,0,O54/O30*'01 Major Assumptions'!$D$37)</f>
        <v>0</v>
      </c>
      <c r="P56" s="90">
        <f>IF(P30=0,0,P54/P30*'01 Major Assumptions'!$D$37)</f>
        <v>0</v>
      </c>
      <c r="Q56" s="90">
        <f>IF(Q30=0,0,Q54/Q30*'01 Major Assumptions'!$D$37)</f>
        <v>0</v>
      </c>
      <c r="R56" s="90">
        <f>IF(R30=0,0,R54/R30*'01 Major Assumptions'!$D$37)</f>
        <v>0</v>
      </c>
      <c r="S56" s="90">
        <f>IF(S30=0,0,S54/S30*'01 Major Assumptions'!$D$37)</f>
        <v>0</v>
      </c>
      <c r="T56" s="90">
        <f>IF(T30=0,0,T54/T30*'01 Major Assumptions'!$D$37)</f>
        <v>0</v>
      </c>
      <c r="U56" s="90">
        <f>IF(U30=0,0,U54/U30*'01 Major Assumptions'!$D$37)</f>
        <v>0</v>
      </c>
      <c r="V56" s="90">
        <f>IF(V30=0,0,V54/V30*'01 Major Assumptions'!$D$37)</f>
        <v>0</v>
      </c>
      <c r="W56" s="90">
        <f>IF(W30=0,0,W54/W30*'01 Major Assumptions'!$D$37)</f>
        <v>0</v>
      </c>
      <c r="X56" s="90">
        <f>IF(X30=0,0,X54/X30*'01 Major Assumptions'!$D$37)</f>
        <v>0</v>
      </c>
      <c r="Y56" s="90">
        <f>IF(Y30=0,0,Y54/Y30*'01 Major Assumptions'!$D$37)</f>
        <v>0</v>
      </c>
      <c r="Z56" s="90">
        <f>IF(Z30=0,0,Z54/Z30*'01 Major Assumptions'!$D$37)</f>
        <v>0</v>
      </c>
      <c r="AA56" s="90">
        <f>IF(AA30=0,0,AA54/AA30*'01 Major Assumptions'!$D$37)</f>
        <v>0</v>
      </c>
      <c r="AB56" s="90">
        <f>IF(AB30=0,0,AB54/AB30*'01 Major Assumptions'!$D$37)</f>
        <v>3600</v>
      </c>
      <c r="AC56" s="90">
        <f>IF(AC30=0,0,AC54/AC30*'01 Major Assumptions'!$D$37)</f>
        <v>3599.9999999999991</v>
      </c>
      <c r="AD56" s="90">
        <f>IF(AD30=0,0,AD54/AD30*'01 Major Assumptions'!$D$37)</f>
        <v>3600</v>
      </c>
      <c r="AE56" s="90">
        <f>IF(AE30=0,0,AE54/AE30*'01 Major Assumptions'!$D$37)</f>
        <v>3600.0000000000009</v>
      </c>
      <c r="AF56" s="90">
        <f>IF(AF30=0,0,AF54/AF30*'01 Major Assumptions'!$D$37)</f>
        <v>3600</v>
      </c>
      <c r="AG56" s="90">
        <f>IF(AG30=0,0,AG54/AG30*'01 Major Assumptions'!$D$37)</f>
        <v>3600</v>
      </c>
      <c r="AH56" s="90">
        <f>IF(AH30=0,0,AH54/AH30*'01 Major Assumptions'!$D$37)</f>
        <v>3600</v>
      </c>
      <c r="AI56" s="90">
        <f>IF(AI30=0,0,AI54/AI30*'01 Major Assumptions'!$D$37)</f>
        <v>3599.9999999999995</v>
      </c>
      <c r="AJ56" s="90">
        <f>IF(AJ30=0,0,AJ54/AJ30*'01 Major Assumptions'!$D$37)</f>
        <v>3600.0000000000005</v>
      </c>
      <c r="AK56" s="90">
        <f>IF(AK30=0,0,AK54/AK30*'01 Major Assumptions'!$D$37)</f>
        <v>3599.9999999999995</v>
      </c>
      <c r="AL56" s="90">
        <f>IF(AL30=0,0,AL54/AL30*'01 Major Assumptions'!$D$37)</f>
        <v>3599.9999999999995</v>
      </c>
      <c r="AM56" s="90">
        <f>IF(AM30=0,0,AM54/AM30*'01 Major Assumptions'!$D$37)</f>
        <v>3600.0000000000005</v>
      </c>
      <c r="AN56" s="90">
        <f>IF(AN30=0,0,AN54/AN30*'01 Major Assumptions'!$D$37)</f>
        <v>3599.9999999999995</v>
      </c>
      <c r="AO56" s="90">
        <f>IF(AO30=0,0,AO54/AO30*'01 Major Assumptions'!$D$37)</f>
        <v>3599.9999999999995</v>
      </c>
      <c r="AP56" s="90">
        <f>IF(AP30=0,0,AP54/AP30*'01 Major Assumptions'!$D$37)</f>
        <v>3599.9999999999995</v>
      </c>
      <c r="AQ56" s="90">
        <f>IF(AQ30=0,0,AQ54/AQ30*'01 Major Assumptions'!$D$37)</f>
        <v>3599.9999999999995</v>
      </c>
      <c r="AR56" s="90">
        <f>IF(AR30=0,0,AR54/AR30*'01 Major Assumptions'!$D$37)</f>
        <v>3599.9999999999995</v>
      </c>
      <c r="AS56" s="90">
        <f>IF(AS30=0,0,AS54/AS30*'01 Major Assumptions'!$D$37)</f>
        <v>3599.9999999999995</v>
      </c>
      <c r="AT56" s="90">
        <f>IF(AT30=0,0,AT54/AT30*'01 Major Assumptions'!$D$37)</f>
        <v>3599.9999999999995</v>
      </c>
      <c r="AU56" s="90">
        <f>IF(AU30=0,0,AU54/AU30*'01 Major Assumptions'!$D$37)</f>
        <v>3599.9999999999995</v>
      </c>
      <c r="AV56" s="90">
        <f>IF(AV30=0,0,AV54/AV30*'01 Major Assumptions'!$D$37)</f>
        <v>3599.9999999999995</v>
      </c>
      <c r="AW56" s="90">
        <f>IF(AW30=0,0,AW54/AW30*'01 Major Assumptions'!$D$37)</f>
        <v>3599.9999999999995</v>
      </c>
      <c r="AX56" s="90">
        <f>IF(AX30=0,0,AX54/AX30*'01 Major Assumptions'!$D$37)</f>
        <v>3599.9999999999995</v>
      </c>
      <c r="AY56" s="90">
        <f>IF(AY30=0,0,AY54/AY30*'01 Major Assumptions'!$D$37)</f>
        <v>3599.9999999999995</v>
      </c>
      <c r="AZ56" s="90">
        <f>IF(AZ30=0,0,AZ54/AZ30*'01 Major Assumptions'!$D$37)</f>
        <v>3599.9999999999995</v>
      </c>
      <c r="BA56" s="90">
        <f>IF(BA30=0,0,BA54/BA30*'01 Major Assumptions'!$D$37)</f>
        <v>3599.9999999999995</v>
      </c>
      <c r="BB56" s="90">
        <f>IF(BB30=0,0,BB54/BB30*'01 Major Assumptions'!$D$37)</f>
        <v>3599.9999999999995</v>
      </c>
      <c r="BC56" s="90">
        <f>IF(BC30=0,0,BC54/BC30*'01 Major Assumptions'!$D$37)</f>
        <v>3599.9999999999995</v>
      </c>
      <c r="BD56" s="90">
        <f>IF(BD30=0,0,BD54/BD30*'01 Major Assumptions'!$D$37)</f>
        <v>3599.9999999999995</v>
      </c>
      <c r="BE56" s="90">
        <f>IF(BE30=0,0,BE54/BE30*'01 Major Assumptions'!$D$37)</f>
        <v>3599.9999999999995</v>
      </c>
      <c r="BF56" s="90">
        <f>IF(BF30=0,0,BF54/BF30*'01 Major Assumptions'!$D$37)</f>
        <v>3599.9999999999995</v>
      </c>
      <c r="BG56" s="90">
        <f>IF(BG30=0,0,BG54/BG30*'01 Major Assumptions'!$D$37)</f>
        <v>3599.9999999999995</v>
      </c>
      <c r="BH56" s="90">
        <f>IF(BH30=0,0,BH54/BH30*'01 Major Assumptions'!$D$37)</f>
        <v>3599.9999999999995</v>
      </c>
      <c r="BI56" s="90">
        <f>IF(BI30=0,0,BI54/BI30*'01 Major Assumptions'!$D$37)</f>
        <v>3600</v>
      </c>
      <c r="BJ56" s="90">
        <f>IF(BJ30=0,0,BJ54/BJ30*'01 Major Assumptions'!$D$37)</f>
        <v>3600</v>
      </c>
      <c r="BK56" s="90">
        <f>IF(BK30=0,0,BK54/BK30*'01 Major Assumptions'!$D$37)</f>
        <v>3600</v>
      </c>
      <c r="BL56" s="90">
        <f>IF(BL30=0,0,BL54/BL30*'01 Major Assumptions'!$D$37)</f>
        <v>3600</v>
      </c>
      <c r="BM56" s="90">
        <f>IF(BM30=0,0,BM54/BM30*'01 Major Assumptions'!$D$37)</f>
        <v>3600</v>
      </c>
      <c r="BN56" s="90">
        <f>IF(BN30=0,0,BN54/BN30*'01 Major Assumptions'!$D$37)</f>
        <v>3600</v>
      </c>
      <c r="BO56" s="90">
        <f>IF(BO30=0,0,BO54/BO30*'01 Major Assumptions'!$D$37)</f>
        <v>3600</v>
      </c>
    </row>
    <row r="57" spans="1:67">
      <c r="A57" s="11"/>
      <c r="B57" s="11" t="s">
        <v>763</v>
      </c>
      <c r="C57" s="11"/>
      <c r="D57" s="33"/>
      <c r="E57" s="10" t="s">
        <v>70</v>
      </c>
      <c r="F57" s="10"/>
      <c r="G57" s="90">
        <f>('10 RM Sourcing &amp; Landed Cost'!$D$37*(1+'01 Major Assumptions'!$D$23)^'02 Oil Price Analysis'!G$57+'10 RM Sourcing &amp; Landed Cost'!$D$38*'02 Oil Price Analysis'!G$75)*'01 Major Assumptions'!$D$218</f>
        <v>4577.1744238223055</v>
      </c>
      <c r="H57" s="90">
        <f>('10 RM Sourcing &amp; Landed Cost'!$D$37*(1+'01 Major Assumptions'!$D$23)^'02 Oil Price Analysis'!H$57+'10 RM Sourcing &amp; Landed Cost'!$D$38*'02 Oil Price Analysis'!H$75)*'01 Major Assumptions'!$D$218</f>
        <v>4577.1744238223055</v>
      </c>
      <c r="I57" s="90">
        <f>('10 RM Sourcing &amp; Landed Cost'!$D$37*(1+'01 Major Assumptions'!$D$23)^'02 Oil Price Analysis'!I$57+'10 RM Sourcing &amp; Landed Cost'!$D$38*'02 Oil Price Analysis'!I$75)*'01 Major Assumptions'!$D$218</f>
        <v>4577.1744238223055</v>
      </c>
      <c r="J57" s="90">
        <f>('10 RM Sourcing &amp; Landed Cost'!$D$37*(1+'01 Major Assumptions'!$D$23)^'02 Oil Price Analysis'!J$57+'10 RM Sourcing &amp; Landed Cost'!$D$38*'02 Oil Price Analysis'!J$75)*'01 Major Assumptions'!$D$218</f>
        <v>4577.1744238223055</v>
      </c>
      <c r="K57" s="90">
        <f>('10 RM Sourcing &amp; Landed Cost'!$D$37*(1+'01 Major Assumptions'!$D$23)^'02 Oil Price Analysis'!K$57+'10 RM Sourcing &amp; Landed Cost'!$D$38*'02 Oil Price Analysis'!K$75)*'01 Major Assumptions'!$D$218</f>
        <v>4577.1744238223055</v>
      </c>
      <c r="L57" s="90">
        <f>('10 RM Sourcing &amp; Landed Cost'!$D$37*(1+'01 Major Assumptions'!$D$23)^'02 Oil Price Analysis'!L$57+'10 RM Sourcing &amp; Landed Cost'!$D$38*'02 Oil Price Analysis'!L$75)*'01 Major Assumptions'!$D$218</f>
        <v>4577.1744238223055</v>
      </c>
      <c r="M57" s="90">
        <f>('10 RM Sourcing &amp; Landed Cost'!$D$37*(1+'01 Major Assumptions'!$D$23)^'02 Oil Price Analysis'!M$57+'10 RM Sourcing &amp; Landed Cost'!$D$38*'02 Oil Price Analysis'!M$75)*'01 Major Assumptions'!$D$218</f>
        <v>4577.1744238223055</v>
      </c>
      <c r="N57" s="90">
        <f>('10 RM Sourcing &amp; Landed Cost'!$D$37*(1+'01 Major Assumptions'!$D$23)^'02 Oil Price Analysis'!N$57+'10 RM Sourcing &amp; Landed Cost'!$D$38*'02 Oil Price Analysis'!N$75)*'01 Major Assumptions'!$D$218</f>
        <v>4577.1744238223055</v>
      </c>
      <c r="O57" s="90">
        <f>('10 RM Sourcing &amp; Landed Cost'!$D$37*(1+'01 Major Assumptions'!$D$23)^'02 Oil Price Analysis'!O$57+'10 RM Sourcing &amp; Landed Cost'!$D$38*'02 Oil Price Analysis'!O$75)*'01 Major Assumptions'!$D$218</f>
        <v>4577.1744238223055</v>
      </c>
      <c r="P57" s="90">
        <f>('10 RM Sourcing &amp; Landed Cost'!$D$37*(1+'01 Major Assumptions'!$D$23)^'02 Oil Price Analysis'!P$57+'10 RM Sourcing &amp; Landed Cost'!$D$38*'02 Oil Price Analysis'!P$75)*'01 Major Assumptions'!$D$218</f>
        <v>4577.1744238223055</v>
      </c>
      <c r="Q57" s="90">
        <f>('10 RM Sourcing &amp; Landed Cost'!$D$37*(1+'01 Major Assumptions'!$D$23)^'02 Oil Price Analysis'!Q$57+'10 RM Sourcing &amp; Landed Cost'!$D$38*'02 Oil Price Analysis'!Q$75)*'01 Major Assumptions'!$D$218</f>
        <v>4577.1744238223055</v>
      </c>
      <c r="R57" s="90">
        <f>('10 RM Sourcing &amp; Landed Cost'!$D$37*(1+'01 Major Assumptions'!$D$23)^'02 Oil Price Analysis'!R$57+'10 RM Sourcing &amp; Landed Cost'!$D$38*'02 Oil Price Analysis'!R$75)*'01 Major Assumptions'!$D$218</f>
        <v>4577.1744238223055</v>
      </c>
      <c r="S57" s="90">
        <f>('10 RM Sourcing &amp; Landed Cost'!$D$37*(1+'01 Major Assumptions'!$D$23)^'02 Oil Price Analysis'!S$57+'10 RM Sourcing &amp; Landed Cost'!$D$38*'02 Oil Price Analysis'!S$75)*'01 Major Assumptions'!$D$218</f>
        <v>4681.6587232930306</v>
      </c>
      <c r="T57" s="90">
        <f>('10 RM Sourcing &amp; Landed Cost'!$D$37*(1+'01 Major Assumptions'!$D$23)^'02 Oil Price Analysis'!T$57+'10 RM Sourcing &amp; Landed Cost'!$D$38*'02 Oil Price Analysis'!T$75)*'01 Major Assumptions'!$D$218</f>
        <v>4681.6587232930306</v>
      </c>
      <c r="U57" s="90">
        <f>('10 RM Sourcing &amp; Landed Cost'!$D$37*(1+'01 Major Assumptions'!$D$23)^'02 Oil Price Analysis'!U$57+'10 RM Sourcing &amp; Landed Cost'!$D$38*'02 Oil Price Analysis'!U$75)*'01 Major Assumptions'!$D$218</f>
        <v>4681.6587232930306</v>
      </c>
      <c r="V57" s="90">
        <f>('10 RM Sourcing &amp; Landed Cost'!$D$37*(1+'01 Major Assumptions'!$D$23)^'02 Oil Price Analysis'!V$57+'10 RM Sourcing &amp; Landed Cost'!$D$38*'02 Oil Price Analysis'!V$75)*'01 Major Assumptions'!$D$218</f>
        <v>4681.6587232930306</v>
      </c>
      <c r="W57" s="90">
        <f>('10 RM Sourcing &amp; Landed Cost'!$D$37*(1+'01 Major Assumptions'!$D$23)^'02 Oil Price Analysis'!W$57+'10 RM Sourcing &amp; Landed Cost'!$D$38*'02 Oil Price Analysis'!W$75)*'01 Major Assumptions'!$D$218</f>
        <v>4681.6587232930306</v>
      </c>
      <c r="X57" s="90">
        <f>('10 RM Sourcing &amp; Landed Cost'!$D$37*(1+'01 Major Assumptions'!$D$23)^'02 Oil Price Analysis'!X$57+'10 RM Sourcing &amp; Landed Cost'!$D$38*'02 Oil Price Analysis'!X$75)*'01 Major Assumptions'!$D$218</f>
        <v>4681.6587232930306</v>
      </c>
      <c r="Y57" s="90">
        <f>('10 RM Sourcing &amp; Landed Cost'!$D$37*(1+'01 Major Assumptions'!$D$23)^'02 Oil Price Analysis'!Y$57+'10 RM Sourcing &amp; Landed Cost'!$D$38*'02 Oil Price Analysis'!Y$75)*'01 Major Assumptions'!$D$218</f>
        <v>4681.6587232930306</v>
      </c>
      <c r="Z57" s="90">
        <f>('10 RM Sourcing &amp; Landed Cost'!$D$37*(1+'01 Major Assumptions'!$D$23)^'02 Oil Price Analysis'!Z$57+'10 RM Sourcing &amp; Landed Cost'!$D$38*'02 Oil Price Analysis'!Z$75)*'01 Major Assumptions'!$D$218</f>
        <v>4681.6587232930306</v>
      </c>
      <c r="AA57" s="90">
        <f>('10 RM Sourcing &amp; Landed Cost'!$D$37*(1+'01 Major Assumptions'!$D$23)^'02 Oil Price Analysis'!AA$57+'10 RM Sourcing &amp; Landed Cost'!$D$38*'02 Oil Price Analysis'!AA$75)*'01 Major Assumptions'!$D$218</f>
        <v>4681.6587232930306</v>
      </c>
      <c r="AB57" s="90">
        <f>('10 RM Sourcing &amp; Landed Cost'!$D$37*(1+'01 Major Assumptions'!$D$23)^'02 Oil Price Analysis'!AB$57+'10 RM Sourcing &amp; Landed Cost'!$D$38*'02 Oil Price Analysis'!AB$75)*'01 Major Assumptions'!$D$218</f>
        <v>4681.6587232930306</v>
      </c>
      <c r="AC57" s="90">
        <f>('10 RM Sourcing &amp; Landed Cost'!$D$37*(1+'01 Major Assumptions'!$D$23)^'02 Oil Price Analysis'!AC$57+'10 RM Sourcing &amp; Landed Cost'!$D$38*'02 Oil Price Analysis'!AC$75)*'01 Major Assumptions'!$D$218</f>
        <v>4681.6587232930306</v>
      </c>
      <c r="AD57" s="90">
        <f>('10 RM Sourcing &amp; Landed Cost'!$D$37*(1+'01 Major Assumptions'!$D$23)^'02 Oil Price Analysis'!AD$57+'10 RM Sourcing &amp; Landed Cost'!$D$38*'02 Oil Price Analysis'!AD$75)*'01 Major Assumptions'!$D$218</f>
        <v>4681.6587232930306</v>
      </c>
      <c r="AE57" s="90">
        <f>('10 RM Sourcing &amp; Landed Cost'!$D$37*(1+'01 Major Assumptions'!$D$23)^'02 Oil Price Analysis'!AE$57+'10 RM Sourcing &amp; Landed Cost'!$D$38*'02 Oil Price Analysis'!AE$75)*'01 Major Assumptions'!$D$218</f>
        <v>4788.5303474060393</v>
      </c>
      <c r="AF57" s="90">
        <f>('10 RM Sourcing &amp; Landed Cost'!$D$37*(1+'01 Major Assumptions'!$D$23)^'02 Oil Price Analysis'!AF$57+'10 RM Sourcing &amp; Landed Cost'!$D$38*'02 Oil Price Analysis'!AF$75)*'01 Major Assumptions'!$D$218</f>
        <v>4788.5303474060393</v>
      </c>
      <c r="AG57" s="90">
        <f>('10 RM Sourcing &amp; Landed Cost'!$D$37*(1+'01 Major Assumptions'!$D$23)^'02 Oil Price Analysis'!AG$57+'10 RM Sourcing &amp; Landed Cost'!$D$38*'02 Oil Price Analysis'!AG$75)*'01 Major Assumptions'!$D$218</f>
        <v>4788.5303474060393</v>
      </c>
      <c r="AH57" s="90">
        <f>('10 RM Sourcing &amp; Landed Cost'!$D$37*(1+'01 Major Assumptions'!$D$23)^'02 Oil Price Analysis'!AH$57+'10 RM Sourcing &amp; Landed Cost'!$D$38*'02 Oil Price Analysis'!AH$75)*'01 Major Assumptions'!$D$218</f>
        <v>4788.5303474060393</v>
      </c>
      <c r="AI57" s="90">
        <f>('10 RM Sourcing &amp; Landed Cost'!$D$37*(1+'01 Major Assumptions'!$D$23)^'02 Oil Price Analysis'!AI$57+'10 RM Sourcing &amp; Landed Cost'!$D$38*'02 Oil Price Analysis'!AI$75)*'01 Major Assumptions'!$D$218</f>
        <v>4788.5303474060393</v>
      </c>
      <c r="AJ57" s="90">
        <f>('10 RM Sourcing &amp; Landed Cost'!$D$37*(1+'01 Major Assumptions'!$D$23)^'02 Oil Price Analysis'!AJ$57+'10 RM Sourcing &amp; Landed Cost'!$D$38*'02 Oil Price Analysis'!AJ$75)*'01 Major Assumptions'!$D$218</f>
        <v>4788.5303474060393</v>
      </c>
      <c r="AK57" s="90">
        <f>('10 RM Sourcing &amp; Landed Cost'!$D$37*(1+'01 Major Assumptions'!$D$23)^'02 Oil Price Analysis'!AK$57+'10 RM Sourcing &amp; Landed Cost'!$D$38*'02 Oil Price Analysis'!AK$75)*'01 Major Assumptions'!$D$218</f>
        <v>4788.5303474060393</v>
      </c>
      <c r="AL57" s="90">
        <f>('10 RM Sourcing &amp; Landed Cost'!$D$37*(1+'01 Major Assumptions'!$D$23)^'02 Oil Price Analysis'!AL$57+'10 RM Sourcing &amp; Landed Cost'!$D$38*'02 Oil Price Analysis'!AL$75)*'01 Major Assumptions'!$D$218</f>
        <v>4788.5303474060393</v>
      </c>
      <c r="AM57" s="90">
        <f>('10 RM Sourcing &amp; Landed Cost'!$D$37*(1+'01 Major Assumptions'!$D$23)^'02 Oil Price Analysis'!AM$57+'10 RM Sourcing &amp; Landed Cost'!$D$38*'02 Oil Price Analysis'!AM$75)*'01 Major Assumptions'!$D$218</f>
        <v>4788.5303474060393</v>
      </c>
      <c r="AN57" s="90">
        <f>('10 RM Sourcing &amp; Landed Cost'!$D$37*(1+'01 Major Assumptions'!$D$23)^'02 Oil Price Analysis'!AN$57+'10 RM Sourcing &amp; Landed Cost'!$D$38*'02 Oil Price Analysis'!AN$75)*'01 Major Assumptions'!$D$218</f>
        <v>4788.5303474060393</v>
      </c>
      <c r="AO57" s="90">
        <f>('10 RM Sourcing &amp; Landed Cost'!$D$37*(1+'01 Major Assumptions'!$D$23)^'02 Oil Price Analysis'!AO$57+'10 RM Sourcing &amp; Landed Cost'!$D$38*'02 Oil Price Analysis'!AO$75)*'01 Major Assumptions'!$D$218</f>
        <v>4788.5303474060393</v>
      </c>
      <c r="AP57" s="90">
        <f>('10 RM Sourcing &amp; Landed Cost'!$D$37*(1+'01 Major Assumptions'!$D$23)^'02 Oil Price Analysis'!AP$57+'10 RM Sourcing &amp; Landed Cost'!$D$38*'02 Oil Price Analysis'!AP$75)*'01 Major Assumptions'!$D$218</f>
        <v>4788.5303474060393</v>
      </c>
      <c r="AQ57" s="90">
        <f>('10 RM Sourcing &amp; Landed Cost'!$D$37*(1+'01 Major Assumptions'!$D$23)^'02 Oil Price Analysis'!AQ$57+'10 RM Sourcing &amp; Landed Cost'!$D$38*'02 Oil Price Analysis'!AQ$75)*'01 Major Assumptions'!$D$218</f>
        <v>4897.8438883431918</v>
      </c>
      <c r="AR57" s="90">
        <f>('10 RM Sourcing &amp; Landed Cost'!$D$37*(1+'01 Major Assumptions'!$D$23)^'02 Oil Price Analysis'!AR$57+'10 RM Sourcing &amp; Landed Cost'!$D$38*'02 Oil Price Analysis'!AR$75)*'01 Major Assumptions'!$D$218</f>
        <v>4897.8438883431918</v>
      </c>
      <c r="AS57" s="90">
        <f>('10 RM Sourcing &amp; Landed Cost'!$D$37*(1+'01 Major Assumptions'!$D$23)^'02 Oil Price Analysis'!AS$57+'10 RM Sourcing &amp; Landed Cost'!$D$38*'02 Oil Price Analysis'!AS$75)*'01 Major Assumptions'!$D$218</f>
        <v>4897.8438883431918</v>
      </c>
      <c r="AT57" s="90">
        <f>('10 RM Sourcing &amp; Landed Cost'!$D$37*(1+'01 Major Assumptions'!$D$23)^'02 Oil Price Analysis'!AT$57+'10 RM Sourcing &amp; Landed Cost'!$D$38*'02 Oil Price Analysis'!AT$75)*'01 Major Assumptions'!$D$218</f>
        <v>4897.8438883431918</v>
      </c>
      <c r="AU57" s="90">
        <f>('10 RM Sourcing &amp; Landed Cost'!$D$37*(1+'01 Major Assumptions'!$D$23)^'02 Oil Price Analysis'!AU$57+'10 RM Sourcing &amp; Landed Cost'!$D$38*'02 Oil Price Analysis'!AU$75)*'01 Major Assumptions'!$D$218</f>
        <v>4897.8438883431918</v>
      </c>
      <c r="AV57" s="90">
        <f>('10 RM Sourcing &amp; Landed Cost'!$D$37*(1+'01 Major Assumptions'!$D$23)^'02 Oil Price Analysis'!AV$57+'10 RM Sourcing &amp; Landed Cost'!$D$38*'02 Oil Price Analysis'!AV$75)*'01 Major Assumptions'!$D$218</f>
        <v>4897.8438883431918</v>
      </c>
      <c r="AW57" s="90">
        <f>('10 RM Sourcing &amp; Landed Cost'!$D$37*(1+'01 Major Assumptions'!$D$23)^'02 Oil Price Analysis'!AW$57+'10 RM Sourcing &amp; Landed Cost'!$D$38*'02 Oil Price Analysis'!AW$75)*'01 Major Assumptions'!$D$218</f>
        <v>4897.8438883431918</v>
      </c>
      <c r="AX57" s="90">
        <f>('10 RM Sourcing &amp; Landed Cost'!$D$37*(1+'01 Major Assumptions'!$D$23)^'02 Oil Price Analysis'!AX$57+'10 RM Sourcing &amp; Landed Cost'!$D$38*'02 Oil Price Analysis'!AX$75)*'01 Major Assumptions'!$D$218</f>
        <v>4897.8438883431918</v>
      </c>
      <c r="AY57" s="90">
        <f>('10 RM Sourcing &amp; Landed Cost'!$D$37*(1+'01 Major Assumptions'!$D$23)^'02 Oil Price Analysis'!AY$57+'10 RM Sourcing &amp; Landed Cost'!$D$38*'02 Oil Price Analysis'!AY$75)*'01 Major Assumptions'!$D$218</f>
        <v>4897.8438883431918</v>
      </c>
      <c r="AZ57" s="90">
        <f>('10 RM Sourcing &amp; Landed Cost'!$D$37*(1+'01 Major Assumptions'!$D$23)^'02 Oil Price Analysis'!AZ$57+'10 RM Sourcing &amp; Landed Cost'!$D$38*'02 Oil Price Analysis'!AZ$75)*'01 Major Assumptions'!$D$218</f>
        <v>4897.8438883431918</v>
      </c>
      <c r="BA57" s="90">
        <f>('10 RM Sourcing &amp; Landed Cost'!$D$37*(1+'01 Major Assumptions'!$D$23)^'02 Oil Price Analysis'!BA$57+'10 RM Sourcing &amp; Landed Cost'!$D$38*'02 Oil Price Analysis'!BA$75)*'01 Major Assumptions'!$D$218</f>
        <v>4897.8438883431918</v>
      </c>
      <c r="BB57" s="90">
        <f>('10 RM Sourcing &amp; Landed Cost'!$D$37*(1+'01 Major Assumptions'!$D$23)^'02 Oil Price Analysis'!BB$57+'10 RM Sourcing &amp; Landed Cost'!$D$38*'02 Oil Price Analysis'!BB$75)*'01 Major Assumptions'!$D$218</f>
        <v>4897.8438883431918</v>
      </c>
      <c r="BC57" s="90">
        <f>('10 RM Sourcing &amp; Landed Cost'!$D$37*(1+'01 Major Assumptions'!$D$23)^'02 Oil Price Analysis'!BC$57+'10 RM Sourcing &amp; Landed Cost'!$D$38*'02 Oil Price Analysis'!BC$75)*'01 Major Assumptions'!$D$218</f>
        <v>5009.6551875808354</v>
      </c>
      <c r="BD57" s="90">
        <f>('10 RM Sourcing &amp; Landed Cost'!$D$37*(1+'01 Major Assumptions'!$D$23)^'02 Oil Price Analysis'!BD$57+'10 RM Sourcing &amp; Landed Cost'!$D$38*'02 Oil Price Analysis'!BD$75)*'01 Major Assumptions'!$D$218</f>
        <v>5009.6551875808354</v>
      </c>
      <c r="BE57" s="90">
        <f>('10 RM Sourcing &amp; Landed Cost'!$D$37*(1+'01 Major Assumptions'!$D$23)^'02 Oil Price Analysis'!BE$57+'10 RM Sourcing &amp; Landed Cost'!$D$38*'02 Oil Price Analysis'!BE$75)*'01 Major Assumptions'!$D$218</f>
        <v>5009.6551875808354</v>
      </c>
      <c r="BF57" s="90">
        <f>('10 RM Sourcing &amp; Landed Cost'!$D$37*(1+'01 Major Assumptions'!$D$23)^'02 Oil Price Analysis'!BF$57+'10 RM Sourcing &amp; Landed Cost'!$D$38*'02 Oil Price Analysis'!BF$75)*'01 Major Assumptions'!$D$218</f>
        <v>5009.6551875808354</v>
      </c>
      <c r="BG57" s="90">
        <f>('10 RM Sourcing &amp; Landed Cost'!$D$37*(1+'01 Major Assumptions'!$D$23)^'02 Oil Price Analysis'!BG$57+'10 RM Sourcing &amp; Landed Cost'!$D$38*'02 Oil Price Analysis'!BG$75)*'01 Major Assumptions'!$D$218</f>
        <v>5009.6551875808354</v>
      </c>
      <c r="BH57" s="90">
        <f>('10 RM Sourcing &amp; Landed Cost'!$D$37*(1+'01 Major Assumptions'!$D$23)^'02 Oil Price Analysis'!BH$57+'10 RM Sourcing &amp; Landed Cost'!$D$38*'02 Oil Price Analysis'!BH$75)*'01 Major Assumptions'!$D$218</f>
        <v>5009.6551875808354</v>
      </c>
      <c r="BI57" s="90">
        <f>('10 RM Sourcing &amp; Landed Cost'!$D$37*(1+'01 Major Assumptions'!$D$23)^'02 Oil Price Analysis'!BI$57+'10 RM Sourcing &amp; Landed Cost'!$D$38*'02 Oil Price Analysis'!BI$75)*'01 Major Assumptions'!$D$218</f>
        <v>5124.021364497059</v>
      </c>
      <c r="BJ57" s="90">
        <f>('10 RM Sourcing &amp; Landed Cost'!$D$37*(1+'01 Major Assumptions'!$D$23)^'02 Oil Price Analysis'!BJ$57+'10 RM Sourcing &amp; Landed Cost'!$D$38*'02 Oil Price Analysis'!BJ$75)*'01 Major Assumptions'!$D$218</f>
        <v>5241.0008456343949</v>
      </c>
      <c r="BK57" s="90">
        <f>('10 RM Sourcing &amp; Landed Cost'!$D$37*(1+'01 Major Assumptions'!$D$23)^'02 Oil Price Analysis'!BK$57+'10 RM Sourcing &amp; Landed Cost'!$D$38*'02 Oil Price Analysis'!BK$75)*'01 Major Assumptions'!$D$218</f>
        <v>5360.6533946329655</v>
      </c>
      <c r="BL57" s="90">
        <f>('10 RM Sourcing &amp; Landed Cost'!$D$37*(1+'01 Major Assumptions'!$D$23)^'02 Oil Price Analysis'!BL$57+'10 RM Sourcing &amp; Landed Cost'!$D$38*'02 Oil Price Analysis'!BL$75)*'01 Major Assumptions'!$D$218</f>
        <v>5483.0401428494843</v>
      </c>
      <c r="BM57" s="90">
        <f>('10 RM Sourcing &amp; Landed Cost'!$D$37*(1+'01 Major Assumptions'!$D$23)^'02 Oil Price Analysis'!BM$57+'10 RM Sourcing &amp; Landed Cost'!$D$38*'02 Oil Price Analysis'!BM$75)*'01 Major Assumptions'!$D$218</f>
        <v>5608.2236206777816</v>
      </c>
      <c r="BN57" s="90">
        <f>('10 RM Sourcing &amp; Landed Cost'!$D$37*(1+'01 Major Assumptions'!$D$23)^'02 Oil Price Analysis'!BN$57+'10 RM Sourcing &amp; Landed Cost'!$D$38*'02 Oil Price Analysis'!BN$75)*'01 Major Assumptions'!$D$218</f>
        <v>5736.2677895869856</v>
      </c>
      <c r="BO57" s="90">
        <f>('10 RM Sourcing &amp; Landed Cost'!$D$37*(1+'01 Major Assumptions'!$D$23)^'02 Oil Price Analysis'!BO$57+'10 RM Sourcing &amp; Landed Cost'!$D$38*'02 Oil Price Analysis'!BO$75)*'01 Major Assumptions'!$D$218</f>
        <v>5860.8122492023549</v>
      </c>
    </row>
    <row r="58" spans="1:67">
      <c r="A58" s="11"/>
      <c r="B58" s="11" t="s">
        <v>764</v>
      </c>
      <c r="C58" s="11"/>
      <c r="D58" s="33"/>
      <c r="E58" s="10" t="s">
        <v>70</v>
      </c>
      <c r="F58" s="10"/>
      <c r="G58" s="90">
        <f>0</f>
        <v>0</v>
      </c>
      <c r="H58" s="90">
        <f>0</f>
        <v>0</v>
      </c>
      <c r="I58" s="90">
        <f>0</f>
        <v>0</v>
      </c>
      <c r="J58" s="90">
        <f>0</f>
        <v>0</v>
      </c>
      <c r="K58" s="90">
        <f>0</f>
        <v>0</v>
      </c>
      <c r="L58" s="90">
        <f>0</f>
        <v>0</v>
      </c>
      <c r="M58" s="90">
        <f>0</f>
        <v>0</v>
      </c>
      <c r="N58" s="90">
        <f>0</f>
        <v>0</v>
      </c>
      <c r="O58" s="90">
        <f>0</f>
        <v>0</v>
      </c>
      <c r="P58" s="90">
        <f>0</f>
        <v>0</v>
      </c>
      <c r="Q58" s="90">
        <f>0</f>
        <v>0</v>
      </c>
      <c r="R58" s="90">
        <f>0</f>
        <v>0</v>
      </c>
      <c r="S58" s="90">
        <f>0</f>
        <v>0</v>
      </c>
      <c r="T58" s="90">
        <f>0</f>
        <v>0</v>
      </c>
      <c r="U58" s="90">
        <f>0</f>
        <v>0</v>
      </c>
      <c r="V58" s="90">
        <f>0</f>
        <v>0</v>
      </c>
      <c r="W58" s="90">
        <f>0</f>
        <v>0</v>
      </c>
      <c r="X58" s="90">
        <f>0</f>
        <v>0</v>
      </c>
      <c r="Y58" s="90">
        <f>0</f>
        <v>0</v>
      </c>
      <c r="Z58" s="90">
        <f>0</f>
        <v>0</v>
      </c>
      <c r="AA58" s="90">
        <f>0</f>
        <v>0</v>
      </c>
      <c r="AB58" s="90">
        <f>0</f>
        <v>0</v>
      </c>
      <c r="AC58" s="90">
        <f>0</f>
        <v>0</v>
      </c>
      <c r="AD58" s="90">
        <f>0</f>
        <v>0</v>
      </c>
      <c r="AE58" s="90">
        <f>0</f>
        <v>0</v>
      </c>
      <c r="AF58" s="90">
        <f>0</f>
        <v>0</v>
      </c>
      <c r="AG58" s="90">
        <f>0</f>
        <v>0</v>
      </c>
      <c r="AH58" s="90">
        <f>0</f>
        <v>0</v>
      </c>
      <c r="AI58" s="90">
        <f>0</f>
        <v>0</v>
      </c>
      <c r="AJ58" s="90">
        <f>0</f>
        <v>0</v>
      </c>
      <c r="AK58" s="90">
        <f>0</f>
        <v>0</v>
      </c>
      <c r="AL58" s="90">
        <f>0</f>
        <v>0</v>
      </c>
      <c r="AM58" s="90">
        <f>0</f>
        <v>0</v>
      </c>
      <c r="AN58" s="90">
        <f>0</f>
        <v>0</v>
      </c>
      <c r="AO58" s="90">
        <f>0</f>
        <v>0</v>
      </c>
      <c r="AP58" s="90">
        <f>0</f>
        <v>0</v>
      </c>
      <c r="AQ58" s="90">
        <f>0</f>
        <v>0</v>
      </c>
      <c r="AR58" s="90">
        <f>0</f>
        <v>0</v>
      </c>
      <c r="AS58" s="90">
        <f>0</f>
        <v>0</v>
      </c>
      <c r="AT58" s="90">
        <f>0</f>
        <v>0</v>
      </c>
      <c r="AU58" s="90">
        <f>0</f>
        <v>0</v>
      </c>
      <c r="AV58" s="90">
        <f>0</f>
        <v>0</v>
      </c>
      <c r="AW58" s="90">
        <f>0</f>
        <v>0</v>
      </c>
      <c r="AX58" s="90">
        <f>0</f>
        <v>0</v>
      </c>
      <c r="AY58" s="90">
        <f>0</f>
        <v>0</v>
      </c>
      <c r="AZ58" s="90">
        <f>0</f>
        <v>0</v>
      </c>
      <c r="BA58" s="90">
        <f>0</f>
        <v>0</v>
      </c>
      <c r="BB58" s="90">
        <f>0</f>
        <v>0</v>
      </c>
      <c r="BC58" s="90">
        <f>0</f>
        <v>0</v>
      </c>
      <c r="BD58" s="90">
        <f>0</f>
        <v>0</v>
      </c>
      <c r="BE58" s="90">
        <f>0</f>
        <v>0</v>
      </c>
      <c r="BF58" s="90">
        <f>0</f>
        <v>0</v>
      </c>
      <c r="BG58" s="90">
        <f>0</f>
        <v>0</v>
      </c>
      <c r="BH58" s="90">
        <f>0</f>
        <v>0</v>
      </c>
      <c r="BI58" s="90">
        <f>0</f>
        <v>0</v>
      </c>
      <c r="BJ58" s="90">
        <f>0</f>
        <v>0</v>
      </c>
      <c r="BK58" s="90">
        <f>0</f>
        <v>0</v>
      </c>
      <c r="BL58" s="90">
        <f>0</f>
        <v>0</v>
      </c>
      <c r="BM58" s="90">
        <f>0</f>
        <v>0</v>
      </c>
      <c r="BN58" s="90">
        <f>0</f>
        <v>0</v>
      </c>
      <c r="BO58" s="90">
        <f>0</f>
        <v>0</v>
      </c>
    </row>
    <row r="59" spans="1:67">
      <c r="A59" s="11"/>
      <c r="B59" s="11" t="s">
        <v>366</v>
      </c>
      <c r="C59" s="11"/>
      <c r="D59" s="33"/>
      <c r="E59" s="10" t="s">
        <v>13</v>
      </c>
      <c r="F59" s="10"/>
      <c r="G59" s="90">
        <f>G53*(G57+G58)</f>
        <v>0</v>
      </c>
      <c r="H59" s="90">
        <f t="shared" ref="H59:BI59" si="41">H53*(H57+H58)</f>
        <v>0</v>
      </c>
      <c r="I59" s="90">
        <f t="shared" si="41"/>
        <v>0</v>
      </c>
      <c r="J59" s="90">
        <f t="shared" si="41"/>
        <v>0</v>
      </c>
      <c r="K59" s="90">
        <f t="shared" si="41"/>
        <v>0</v>
      </c>
      <c r="L59" s="90">
        <f t="shared" si="41"/>
        <v>0</v>
      </c>
      <c r="M59" s="90">
        <f t="shared" si="41"/>
        <v>0</v>
      </c>
      <c r="N59" s="90">
        <f t="shared" si="41"/>
        <v>0</v>
      </c>
      <c r="O59" s="90">
        <f t="shared" si="41"/>
        <v>0</v>
      </c>
      <c r="P59" s="90">
        <f t="shared" si="41"/>
        <v>0</v>
      </c>
      <c r="Q59" s="90">
        <f t="shared" si="41"/>
        <v>0</v>
      </c>
      <c r="R59" s="90">
        <f t="shared" si="41"/>
        <v>0</v>
      </c>
      <c r="S59" s="90">
        <f t="shared" si="41"/>
        <v>0</v>
      </c>
      <c r="T59" s="90">
        <f t="shared" si="41"/>
        <v>0</v>
      </c>
      <c r="U59" s="90">
        <f t="shared" si="41"/>
        <v>0</v>
      </c>
      <c r="V59" s="90">
        <f t="shared" si="41"/>
        <v>0</v>
      </c>
      <c r="W59" s="90">
        <f t="shared" si="41"/>
        <v>0</v>
      </c>
      <c r="X59" s="90">
        <f t="shared" si="41"/>
        <v>0</v>
      </c>
      <c r="Y59" s="90">
        <f t="shared" si="41"/>
        <v>0</v>
      </c>
      <c r="Z59" s="90">
        <f t="shared" si="41"/>
        <v>0</v>
      </c>
      <c r="AA59" s="90">
        <f t="shared" si="41"/>
        <v>0</v>
      </c>
      <c r="AB59" s="90">
        <f t="shared" si="41"/>
        <v>20046862.653140757</v>
      </c>
      <c r="AC59" s="90">
        <f t="shared" si="41"/>
        <v>4230580.9053037409</v>
      </c>
      <c r="AD59" s="90">
        <f t="shared" si="41"/>
        <v>5268270.5613216525</v>
      </c>
      <c r="AE59" s="90">
        <f t="shared" si="41"/>
        <v>6449910.9514385723</v>
      </c>
      <c r="AF59" s="90">
        <f t="shared" si="41"/>
        <v>7511288.7029411104</v>
      </c>
      <c r="AG59" s="90">
        <f t="shared" si="41"/>
        <v>8572666.4544436615</v>
      </c>
      <c r="AH59" s="90">
        <f t="shared" si="41"/>
        <v>9634044.2059462089</v>
      </c>
      <c r="AI59" s="90">
        <f t="shared" si="41"/>
        <v>10695421.957448756</v>
      </c>
      <c r="AJ59" s="90">
        <f t="shared" si="41"/>
        <v>11756799.708951313</v>
      </c>
      <c r="AK59" s="90">
        <f t="shared" si="41"/>
        <v>12818177.460453855</v>
      </c>
      <c r="AL59" s="90">
        <f t="shared" si="41"/>
        <v>13879555.211956404</v>
      </c>
      <c r="AM59" s="90">
        <f t="shared" si="41"/>
        <v>14940932.963458961</v>
      </c>
      <c r="AN59" s="90">
        <f t="shared" si="41"/>
        <v>16002310.714961493</v>
      </c>
      <c r="AO59" s="90">
        <f t="shared" si="41"/>
        <v>16002310.714961501</v>
      </c>
      <c r="AP59" s="90">
        <f t="shared" si="41"/>
        <v>16002310.714961501</v>
      </c>
      <c r="AQ59" s="90">
        <f t="shared" si="41"/>
        <v>16367614.706065277</v>
      </c>
      <c r="AR59" s="90">
        <f t="shared" si="41"/>
        <v>16367614.706065277</v>
      </c>
      <c r="AS59" s="90">
        <f t="shared" si="41"/>
        <v>16367614.706065277</v>
      </c>
      <c r="AT59" s="90">
        <f t="shared" si="41"/>
        <v>16367614.706065277</v>
      </c>
      <c r="AU59" s="90">
        <f t="shared" si="41"/>
        <v>16367614.706065277</v>
      </c>
      <c r="AV59" s="90">
        <f t="shared" si="41"/>
        <v>16367614.706065277</v>
      </c>
      <c r="AW59" s="90">
        <f t="shared" si="41"/>
        <v>16367614.706065277</v>
      </c>
      <c r="AX59" s="90">
        <f t="shared" si="41"/>
        <v>16367614.706065277</v>
      </c>
      <c r="AY59" s="90">
        <f t="shared" si="41"/>
        <v>16367614.706065277</v>
      </c>
      <c r="AZ59" s="90">
        <f t="shared" si="41"/>
        <v>16367614.706065277</v>
      </c>
      <c r="BA59" s="90">
        <f t="shared" si="41"/>
        <v>16367614.706065277</v>
      </c>
      <c r="BB59" s="90">
        <f t="shared" si="41"/>
        <v>16367614.706065277</v>
      </c>
      <c r="BC59" s="90">
        <f t="shared" si="41"/>
        <v>16741265.705857635</v>
      </c>
      <c r="BD59" s="90">
        <f t="shared" si="41"/>
        <v>16741265.705857635</v>
      </c>
      <c r="BE59" s="90">
        <f t="shared" si="41"/>
        <v>16741265.705857635</v>
      </c>
      <c r="BF59" s="90">
        <f t="shared" si="41"/>
        <v>16741265.705857635</v>
      </c>
      <c r="BG59" s="90">
        <f t="shared" si="41"/>
        <v>16741265.705857635</v>
      </c>
      <c r="BH59" s="90">
        <f t="shared" si="41"/>
        <v>16741265.705857635</v>
      </c>
      <c r="BI59" s="90">
        <f t="shared" si="41"/>
        <v>205481455.15051526</v>
      </c>
      <c r="BJ59" s="90">
        <f t="shared" ref="BJ59" si="42">BJ53*(BJ57+BJ58)</f>
        <v>210172519.51129225</v>
      </c>
      <c r="BK59" s="90">
        <f t="shared" ref="BK59" si="43">BK53*(BK57+BK58)</f>
        <v>214970778.17021331</v>
      </c>
      <c r="BL59" s="90">
        <f t="shared" ref="BL59" si="44">BL53*(BL57+BL58)</f>
        <v>219878682.59249288</v>
      </c>
      <c r="BM59" s="90">
        <f t="shared" ref="BM59" si="45">BM53*(BM57+BM58)</f>
        <v>224898740.34697211</v>
      </c>
      <c r="BN59" s="90">
        <f t="shared" ref="BN59" si="46">BN53*(BN57+BN58)</f>
        <v>230033516.39090145</v>
      </c>
      <c r="BO59" s="90">
        <f t="shared" ref="BO59" si="47">BO53*(BO57+BO58)</f>
        <v>235027948.49261314</v>
      </c>
    </row>
    <row r="60" spans="1:67">
      <c r="A60" s="11"/>
      <c r="B60" s="11"/>
      <c r="C60" s="11"/>
      <c r="D60" s="33"/>
      <c r="E60" s="43"/>
      <c r="F60" s="43"/>
      <c r="G60" s="33"/>
      <c r="H60" s="33"/>
      <c r="I60" s="33"/>
      <c r="J60" s="33"/>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3"/>
      <c r="AP60" s="33"/>
      <c r="AQ60" s="33"/>
      <c r="AR60" s="33"/>
      <c r="AS60" s="33"/>
      <c r="AT60" s="33"/>
      <c r="AU60" s="33"/>
      <c r="AV60" s="33"/>
      <c r="AW60" s="33"/>
      <c r="AX60" s="33"/>
      <c r="AY60" s="33"/>
      <c r="AZ60" s="33"/>
      <c r="BA60" s="33"/>
      <c r="BB60" s="33"/>
      <c r="BC60" s="33"/>
      <c r="BD60" s="33"/>
      <c r="BE60" s="33"/>
      <c r="BF60" s="33"/>
      <c r="BG60" s="33"/>
      <c r="BH60" s="33"/>
      <c r="BI60" s="33"/>
      <c r="BJ60" s="33"/>
      <c r="BK60" s="33"/>
      <c r="BL60" s="33"/>
      <c r="BM60" s="33"/>
      <c r="BN60" s="33"/>
      <c r="BO60" s="33"/>
    </row>
    <row r="61" spans="1:67">
      <c r="A61" s="18" t="s">
        <v>367</v>
      </c>
      <c r="B61" s="18"/>
      <c r="C61" s="18"/>
      <c r="D61" s="39"/>
      <c r="E61" s="39"/>
      <c r="F61" s="39"/>
      <c r="G61" s="39"/>
      <c r="H61" s="39"/>
      <c r="I61" s="39"/>
      <c r="J61" s="39"/>
      <c r="K61" s="39"/>
      <c r="L61" s="39"/>
      <c r="M61" s="39"/>
      <c r="N61" s="39"/>
      <c r="O61" s="39"/>
      <c r="P61" s="39"/>
      <c r="Q61" s="39"/>
      <c r="R61" s="39"/>
      <c r="S61" s="39"/>
      <c r="T61" s="39"/>
      <c r="U61" s="39"/>
      <c r="V61" s="39"/>
      <c r="W61" s="39"/>
      <c r="X61" s="39"/>
      <c r="Y61" s="39"/>
      <c r="Z61" s="39"/>
      <c r="AA61" s="39"/>
      <c r="AB61" s="39"/>
      <c r="AC61" s="39"/>
      <c r="AD61" s="39"/>
      <c r="AE61" s="39"/>
      <c r="AF61" s="39"/>
      <c r="AG61" s="39"/>
      <c r="AH61" s="39"/>
      <c r="AI61" s="39"/>
      <c r="AJ61" s="39"/>
      <c r="AK61" s="39"/>
      <c r="AL61" s="39"/>
      <c r="AM61" s="39"/>
      <c r="AN61" s="39"/>
      <c r="AO61" s="39"/>
      <c r="AP61" s="39"/>
      <c r="AQ61" s="39"/>
      <c r="AR61" s="39"/>
      <c r="AS61" s="39"/>
      <c r="AT61" s="39"/>
      <c r="AU61" s="39"/>
      <c r="AV61" s="39"/>
      <c r="AW61" s="39"/>
      <c r="AX61" s="39"/>
      <c r="AY61" s="39"/>
      <c r="AZ61" s="39"/>
      <c r="BA61" s="39"/>
      <c r="BB61" s="39"/>
      <c r="BC61" s="39"/>
      <c r="BD61" s="39"/>
      <c r="BE61" s="39"/>
      <c r="BF61" s="39"/>
      <c r="BG61" s="39"/>
      <c r="BH61" s="39"/>
      <c r="BI61" s="39"/>
      <c r="BJ61" s="39"/>
      <c r="BK61" s="39"/>
      <c r="BL61" s="39"/>
      <c r="BM61" s="39"/>
      <c r="BN61" s="39"/>
      <c r="BO61" s="39"/>
    </row>
    <row r="62" spans="1:67">
      <c r="A62" s="11"/>
      <c r="B62" s="11"/>
      <c r="C62" s="11" t="s">
        <v>72</v>
      </c>
      <c r="D62" s="33"/>
      <c r="E62" s="10" t="s">
        <v>358</v>
      </c>
      <c r="F62" s="10"/>
      <c r="G62" s="90">
        <f>G$49*'01 Major Assumptions'!$D$40</f>
        <v>0</v>
      </c>
      <c r="H62" s="90">
        <f>H$49*'01 Major Assumptions'!$D$40</f>
        <v>0</v>
      </c>
      <c r="I62" s="90">
        <f>I$49*'01 Major Assumptions'!$D$40</f>
        <v>0</v>
      </c>
      <c r="J62" s="90">
        <f>J$49*'01 Major Assumptions'!$D$40</f>
        <v>0</v>
      </c>
      <c r="K62" s="90">
        <f>K$49*'01 Major Assumptions'!$D$40</f>
        <v>0</v>
      </c>
      <c r="L62" s="90">
        <f>L$49*'01 Major Assumptions'!$D$40</f>
        <v>0</v>
      </c>
      <c r="M62" s="90">
        <f>M$49*'01 Major Assumptions'!$D$40</f>
        <v>0</v>
      </c>
      <c r="N62" s="90">
        <f>N$49*'01 Major Assumptions'!$D$40</f>
        <v>0</v>
      </c>
      <c r="O62" s="90">
        <f>O$49*'01 Major Assumptions'!$D$40</f>
        <v>0</v>
      </c>
      <c r="P62" s="90">
        <f>P$49*'01 Major Assumptions'!$D$40</f>
        <v>0</v>
      </c>
      <c r="Q62" s="90">
        <f>Q$49*'01 Major Assumptions'!$D$40</f>
        <v>0</v>
      </c>
      <c r="R62" s="90">
        <f>R$49*'01 Major Assumptions'!$D$40</f>
        <v>0</v>
      </c>
      <c r="S62" s="90">
        <f>S$49*'01 Major Assumptions'!$D$40</f>
        <v>0</v>
      </c>
      <c r="T62" s="90">
        <f>T$49*'01 Major Assumptions'!$D$40</f>
        <v>0</v>
      </c>
      <c r="U62" s="90">
        <f>U$49*'01 Major Assumptions'!$D$40</f>
        <v>0</v>
      </c>
      <c r="V62" s="90">
        <f>V$49*'01 Major Assumptions'!$D$40</f>
        <v>0</v>
      </c>
      <c r="W62" s="90">
        <f>W$49*'01 Major Assumptions'!$D$40</f>
        <v>0</v>
      </c>
      <c r="X62" s="90">
        <f>X$49*'01 Major Assumptions'!$D$40</f>
        <v>0</v>
      </c>
      <c r="Y62" s="63">
        <f>Y$49*'01 Major Assumptions'!$D$40</f>
        <v>0</v>
      </c>
      <c r="Z62" s="63">
        <f>Z$49*'01 Major Assumptions'!$D$40</f>
        <v>0</v>
      </c>
      <c r="AA62" s="63">
        <f>AA$49*'01 Major Assumptions'!$D$40</f>
        <v>0</v>
      </c>
      <c r="AB62" s="63">
        <f>AB$49*'01 Major Assumptions'!$D$40</f>
        <v>259.16000000000003</v>
      </c>
      <c r="AC62" s="63">
        <f>AC$49*'01 Major Assumptions'!$D$40</f>
        <v>343.38699999999994</v>
      </c>
      <c r="AD62" s="63">
        <f>AD$49*'01 Major Assumptions'!$D$40</f>
        <v>427.61400000000009</v>
      </c>
      <c r="AE62" s="63">
        <f>AE$49*'01 Major Assumptions'!$D$40</f>
        <v>511.84100000000018</v>
      </c>
      <c r="AF62" s="63">
        <f>AF$49*'01 Major Assumptions'!$D$40</f>
        <v>596.0680000000001</v>
      </c>
      <c r="AG62" s="63">
        <f>AG$49*'01 Major Assumptions'!$D$40</f>
        <v>680.29500000000007</v>
      </c>
      <c r="AH62" s="63">
        <f>AH$49*'01 Major Assumptions'!$D$40</f>
        <v>764.52199999999993</v>
      </c>
      <c r="AI62" s="63">
        <f>AI$49*'01 Major Assumptions'!$D$40</f>
        <v>848.74899999999991</v>
      </c>
      <c r="AJ62" s="90">
        <f>AJ$49*'01 Major Assumptions'!$D$40</f>
        <v>932.97600000000011</v>
      </c>
      <c r="AK62" s="90">
        <f>AK$49*'01 Major Assumptions'!$D$40</f>
        <v>1017.2030000000002</v>
      </c>
      <c r="AL62" s="90">
        <f>AL$49*'01 Major Assumptions'!$D$40</f>
        <v>1101.43</v>
      </c>
      <c r="AM62" s="90">
        <f>AM$49*'01 Major Assumptions'!$D$40</f>
        <v>1185.6570000000002</v>
      </c>
      <c r="AN62" s="90">
        <f>AN$49*'01 Major Assumptions'!$D$40</f>
        <v>1269.884</v>
      </c>
      <c r="AO62" s="90">
        <f>AO$49*'01 Major Assumptions'!$D$40</f>
        <v>1269.884</v>
      </c>
      <c r="AP62" s="90">
        <f>AP$49*'01 Major Assumptions'!$D$40</f>
        <v>1269.884</v>
      </c>
      <c r="AQ62" s="90">
        <f>AQ$49*'01 Major Assumptions'!$D$40</f>
        <v>1269.884</v>
      </c>
      <c r="AR62" s="90">
        <f>AR$49*'01 Major Assumptions'!$D$40</f>
        <v>1269.884</v>
      </c>
      <c r="AS62" s="90">
        <f>AS$49*'01 Major Assumptions'!$D$40</f>
        <v>1269.884</v>
      </c>
      <c r="AT62" s="90">
        <f>AT$49*'01 Major Assumptions'!$D$40</f>
        <v>1269.884</v>
      </c>
      <c r="AU62" s="90">
        <f>AU$49*'01 Major Assumptions'!$D$40</f>
        <v>1269.884</v>
      </c>
      <c r="AV62" s="90">
        <f>AV$49*'01 Major Assumptions'!$D$40</f>
        <v>1269.884</v>
      </c>
      <c r="AW62" s="90">
        <f>AW$49*'01 Major Assumptions'!$D$40</f>
        <v>1269.884</v>
      </c>
      <c r="AX62" s="90">
        <f>AX$49*'01 Major Assumptions'!$D$40</f>
        <v>1269.884</v>
      </c>
      <c r="AY62" s="90">
        <f>AY$49*'01 Major Assumptions'!$D$40</f>
        <v>1269.884</v>
      </c>
      <c r="AZ62" s="90">
        <f>AZ$49*'01 Major Assumptions'!$D$40</f>
        <v>1269.884</v>
      </c>
      <c r="BA62" s="90">
        <f>BA$49*'01 Major Assumptions'!$D$40</f>
        <v>1269.884</v>
      </c>
      <c r="BB62" s="90">
        <f>BB$49*'01 Major Assumptions'!$D$40</f>
        <v>1269.884</v>
      </c>
      <c r="BC62" s="90">
        <f>BC$49*'01 Major Assumptions'!$D$40</f>
        <v>1269.884</v>
      </c>
      <c r="BD62" s="90">
        <f>BD$49*'01 Major Assumptions'!$D$40</f>
        <v>1269.884</v>
      </c>
      <c r="BE62" s="90">
        <f>BE$49*'01 Major Assumptions'!$D$40</f>
        <v>1269.884</v>
      </c>
      <c r="BF62" s="90">
        <f>BF$49*'01 Major Assumptions'!$D$40</f>
        <v>1269.884</v>
      </c>
      <c r="BG62" s="90">
        <f>BG$49*'01 Major Assumptions'!$D$40</f>
        <v>1269.884</v>
      </c>
      <c r="BH62" s="90">
        <f>BH$49*'01 Major Assumptions'!$D$40</f>
        <v>1269.884</v>
      </c>
      <c r="BI62" s="90">
        <f>BI$49*'01 Major Assumptions'!$D$40</f>
        <v>15238.608</v>
      </c>
      <c r="BJ62" s="90">
        <f>BJ$49*'01 Major Assumptions'!$D$40</f>
        <v>15238.608</v>
      </c>
      <c r="BK62" s="90">
        <f>BK$49*'01 Major Assumptions'!$D$40</f>
        <v>15238.608</v>
      </c>
      <c r="BL62" s="90">
        <f>BL$49*'01 Major Assumptions'!$D$40</f>
        <v>15238.608</v>
      </c>
      <c r="BM62" s="90">
        <f>BM$49*'01 Major Assumptions'!$D$40</f>
        <v>15238.608</v>
      </c>
      <c r="BN62" s="90">
        <f>BN$49*'01 Major Assumptions'!$D$40</f>
        <v>15238.608</v>
      </c>
      <c r="BO62" s="90">
        <f>BO$49*'01 Major Assumptions'!$D$40</f>
        <v>15238.608</v>
      </c>
    </row>
    <row r="63" spans="1:67">
      <c r="A63" s="11"/>
      <c r="B63" s="11"/>
      <c r="C63" s="11" t="s">
        <v>74</v>
      </c>
      <c r="D63" s="33"/>
      <c r="E63" s="10" t="s">
        <v>358</v>
      </c>
      <c r="F63" s="10"/>
      <c r="G63" s="90">
        <f>G$49*'01 Major Assumptions'!$D$41</f>
        <v>0</v>
      </c>
      <c r="H63" s="90">
        <f>H$49*'01 Major Assumptions'!$D$41</f>
        <v>0</v>
      </c>
      <c r="I63" s="90">
        <f>I$49*'01 Major Assumptions'!$D$41</f>
        <v>0</v>
      </c>
      <c r="J63" s="90">
        <f>J$49*'01 Major Assumptions'!$D$41</f>
        <v>0</v>
      </c>
      <c r="K63" s="90">
        <f>K$49*'01 Major Assumptions'!$D$41</f>
        <v>0</v>
      </c>
      <c r="L63" s="90">
        <f>L$49*'01 Major Assumptions'!$D$41</f>
        <v>0</v>
      </c>
      <c r="M63" s="90">
        <f>M$49*'01 Major Assumptions'!$D$41</f>
        <v>0</v>
      </c>
      <c r="N63" s="90">
        <f>N$49*'01 Major Assumptions'!$D$41</f>
        <v>0</v>
      </c>
      <c r="O63" s="90">
        <f>O$49*'01 Major Assumptions'!$D$41</f>
        <v>0</v>
      </c>
      <c r="P63" s="90">
        <f>P$49*'01 Major Assumptions'!$D$41</f>
        <v>0</v>
      </c>
      <c r="Q63" s="90">
        <f>Q$49*'01 Major Assumptions'!$D$41</f>
        <v>0</v>
      </c>
      <c r="R63" s="90">
        <f>R$49*'01 Major Assumptions'!$D$41</f>
        <v>0</v>
      </c>
      <c r="S63" s="90">
        <f>S$49*'01 Major Assumptions'!$D$41</f>
        <v>0</v>
      </c>
      <c r="T63" s="90">
        <f>T$49*'01 Major Assumptions'!$D$41</f>
        <v>0</v>
      </c>
      <c r="U63" s="90">
        <f>U$49*'01 Major Assumptions'!$D$41</f>
        <v>0</v>
      </c>
      <c r="V63" s="90">
        <f>V$49*'01 Major Assumptions'!$D$41</f>
        <v>0</v>
      </c>
      <c r="W63" s="90">
        <f>W$49*'01 Major Assumptions'!$D$41</f>
        <v>0</v>
      </c>
      <c r="X63" s="90">
        <f>X$49*'01 Major Assumptions'!$D$41</f>
        <v>0</v>
      </c>
      <c r="Y63" s="63">
        <f>Y$49*'01 Major Assumptions'!$D$41</f>
        <v>0</v>
      </c>
      <c r="Z63" s="63">
        <f>Z$49*'01 Major Assumptions'!$D$41</f>
        <v>0</v>
      </c>
      <c r="AA63" s="63">
        <f>AA$49*'01 Major Assumptions'!$D$41</f>
        <v>0</v>
      </c>
      <c r="AB63" s="63">
        <f>AB$49*'01 Major Assumptions'!$D$41</f>
        <v>204.6</v>
      </c>
      <c r="AC63" s="63">
        <f>AC$49*'01 Major Assumptions'!$D$41</f>
        <v>271.09499999999997</v>
      </c>
      <c r="AD63" s="63">
        <f>AD$49*'01 Major Assumptions'!$D$41</f>
        <v>337.59000000000003</v>
      </c>
      <c r="AE63" s="63">
        <f>AE$49*'01 Major Assumptions'!$D$41</f>
        <v>404.08500000000015</v>
      </c>
      <c r="AF63" s="63">
        <f>AF$49*'01 Major Assumptions'!$D$41</f>
        <v>470.58000000000004</v>
      </c>
      <c r="AG63" s="63">
        <f>AG$49*'01 Major Assumptions'!$D$41</f>
        <v>537.07500000000005</v>
      </c>
      <c r="AH63" s="63">
        <f>AH$49*'01 Major Assumptions'!$D$41</f>
        <v>603.56999999999994</v>
      </c>
      <c r="AI63" s="63">
        <f>AI$49*'01 Major Assumptions'!$D$41</f>
        <v>670.06499999999994</v>
      </c>
      <c r="AJ63" s="63">
        <f>AJ$49*'01 Major Assumptions'!$D$41</f>
        <v>736.56000000000006</v>
      </c>
      <c r="AK63" s="63">
        <f>AK$49*'01 Major Assumptions'!$D$41</f>
        <v>803.05500000000006</v>
      </c>
      <c r="AL63" s="63">
        <f>AL$49*'01 Major Assumptions'!$D$41</f>
        <v>869.55</v>
      </c>
      <c r="AM63" s="90">
        <f>AM$49*'01 Major Assumptions'!$D$41</f>
        <v>936.04500000000007</v>
      </c>
      <c r="AN63" s="90">
        <f>AN$49*'01 Major Assumptions'!$D$41</f>
        <v>1002.5399999999998</v>
      </c>
      <c r="AO63" s="90">
        <f>AO$49*'01 Major Assumptions'!$D$41</f>
        <v>1002.5399999999998</v>
      </c>
      <c r="AP63" s="90">
        <f>AP$49*'01 Major Assumptions'!$D$41</f>
        <v>1002.5399999999998</v>
      </c>
      <c r="AQ63" s="90">
        <f>AQ$49*'01 Major Assumptions'!$D$41</f>
        <v>1002.5399999999998</v>
      </c>
      <c r="AR63" s="90">
        <f>AR$49*'01 Major Assumptions'!$D$41</f>
        <v>1002.5399999999998</v>
      </c>
      <c r="AS63" s="90">
        <f>AS$49*'01 Major Assumptions'!$D$41</f>
        <v>1002.5399999999998</v>
      </c>
      <c r="AT63" s="90">
        <f>AT$49*'01 Major Assumptions'!$D$41</f>
        <v>1002.5399999999998</v>
      </c>
      <c r="AU63" s="90">
        <f>AU$49*'01 Major Assumptions'!$D$41</f>
        <v>1002.5399999999998</v>
      </c>
      <c r="AV63" s="90">
        <f>AV$49*'01 Major Assumptions'!$D$41</f>
        <v>1002.5399999999998</v>
      </c>
      <c r="AW63" s="90">
        <f>AW$49*'01 Major Assumptions'!$D$41</f>
        <v>1002.5399999999998</v>
      </c>
      <c r="AX63" s="90">
        <f>AX$49*'01 Major Assumptions'!$D$41</f>
        <v>1002.5399999999998</v>
      </c>
      <c r="AY63" s="90">
        <f>AY$49*'01 Major Assumptions'!$D$41</f>
        <v>1002.5399999999998</v>
      </c>
      <c r="AZ63" s="90">
        <f>AZ$49*'01 Major Assumptions'!$D$41</f>
        <v>1002.5399999999998</v>
      </c>
      <c r="BA63" s="90">
        <f>BA$49*'01 Major Assumptions'!$D$41</f>
        <v>1002.5399999999998</v>
      </c>
      <c r="BB63" s="90">
        <f>BB$49*'01 Major Assumptions'!$D$41</f>
        <v>1002.5399999999998</v>
      </c>
      <c r="BC63" s="90">
        <f>BC$49*'01 Major Assumptions'!$D$41</f>
        <v>1002.5399999999998</v>
      </c>
      <c r="BD63" s="90">
        <f>BD$49*'01 Major Assumptions'!$D$41</f>
        <v>1002.5399999999998</v>
      </c>
      <c r="BE63" s="90">
        <f>BE$49*'01 Major Assumptions'!$D$41</f>
        <v>1002.5399999999998</v>
      </c>
      <c r="BF63" s="90">
        <f>BF$49*'01 Major Assumptions'!$D$41</f>
        <v>1002.5399999999998</v>
      </c>
      <c r="BG63" s="90">
        <f>BG$49*'01 Major Assumptions'!$D$41</f>
        <v>1002.5399999999998</v>
      </c>
      <c r="BH63" s="90">
        <f>BH$49*'01 Major Assumptions'!$D$41</f>
        <v>1002.5399999999998</v>
      </c>
      <c r="BI63" s="90">
        <f>BI$49*'01 Major Assumptions'!$D$41</f>
        <v>12030.48</v>
      </c>
      <c r="BJ63" s="90">
        <f>BJ$49*'01 Major Assumptions'!$D$41</f>
        <v>12030.48</v>
      </c>
      <c r="BK63" s="90">
        <f>BK$49*'01 Major Assumptions'!$D$41</f>
        <v>12030.48</v>
      </c>
      <c r="BL63" s="90">
        <f>BL$49*'01 Major Assumptions'!$D$41</f>
        <v>12030.48</v>
      </c>
      <c r="BM63" s="90">
        <f>BM$49*'01 Major Assumptions'!$D$41</f>
        <v>12030.48</v>
      </c>
      <c r="BN63" s="90">
        <f>BN$49*'01 Major Assumptions'!$D$41</f>
        <v>12030.48</v>
      </c>
      <c r="BO63" s="90">
        <f>BO$49*'01 Major Assumptions'!$D$41</f>
        <v>12030.48</v>
      </c>
    </row>
    <row r="64" spans="1:67">
      <c r="A64" s="11"/>
      <c r="B64" s="11"/>
      <c r="C64" s="11" t="s">
        <v>75</v>
      </c>
      <c r="D64" s="33"/>
      <c r="E64" s="10" t="s">
        <v>358</v>
      </c>
      <c r="F64" s="10"/>
      <c r="G64" s="90">
        <f>G$49*'01 Major Assumptions'!$D$42</f>
        <v>0</v>
      </c>
      <c r="H64" s="90">
        <f>H$49*'01 Major Assumptions'!$D$42</f>
        <v>0</v>
      </c>
      <c r="I64" s="90">
        <f>I$49*'01 Major Assumptions'!$D$42</f>
        <v>0</v>
      </c>
      <c r="J64" s="90">
        <f>J$49*'01 Major Assumptions'!$D$42</f>
        <v>0</v>
      </c>
      <c r="K64" s="90">
        <f>K$49*'01 Major Assumptions'!$D$42</f>
        <v>0</v>
      </c>
      <c r="L64" s="90">
        <f>L$49*'01 Major Assumptions'!$D$42</f>
        <v>0</v>
      </c>
      <c r="M64" s="90">
        <f>M$49*'01 Major Assumptions'!$D$42</f>
        <v>0</v>
      </c>
      <c r="N64" s="90">
        <f>N$49*'01 Major Assumptions'!$D$42</f>
        <v>0</v>
      </c>
      <c r="O64" s="90">
        <f>O$49*'01 Major Assumptions'!$D$42</f>
        <v>0</v>
      </c>
      <c r="P64" s="90">
        <f>P$49*'01 Major Assumptions'!$D$42</f>
        <v>0</v>
      </c>
      <c r="Q64" s="90">
        <f>Q$49*'01 Major Assumptions'!$D$42</f>
        <v>0</v>
      </c>
      <c r="R64" s="90">
        <f>R$49*'01 Major Assumptions'!$D$42</f>
        <v>0</v>
      </c>
      <c r="S64" s="90">
        <f>S$49*'01 Major Assumptions'!$D$42</f>
        <v>0</v>
      </c>
      <c r="T64" s="90">
        <f>T$49*'01 Major Assumptions'!$D$42</f>
        <v>0</v>
      </c>
      <c r="U64" s="90">
        <f>U$49*'01 Major Assumptions'!$D$42</f>
        <v>0</v>
      </c>
      <c r="V64" s="90">
        <f>V$49*'01 Major Assumptions'!$D$42</f>
        <v>0</v>
      </c>
      <c r="W64" s="90">
        <f>W$49*'01 Major Assumptions'!$D$42</f>
        <v>0</v>
      </c>
      <c r="X64" s="90">
        <f>X$49*'01 Major Assumptions'!$D$42</f>
        <v>0</v>
      </c>
      <c r="Y64" s="63">
        <f>Y$49*'01 Major Assumptions'!$D$42</f>
        <v>0</v>
      </c>
      <c r="Z64" s="63">
        <f>Z$49*'01 Major Assumptions'!$D$42</f>
        <v>0</v>
      </c>
      <c r="AA64" s="63">
        <f>AA$49*'01 Major Assumptions'!$D$42</f>
        <v>0</v>
      </c>
      <c r="AB64" s="63">
        <f>AB$49*'01 Major Assumptions'!$D$42</f>
        <v>75.02</v>
      </c>
      <c r="AC64" s="63">
        <f>AC$49*'01 Major Assumptions'!$D$42</f>
        <v>99.401499999999984</v>
      </c>
      <c r="AD64" s="63">
        <f>AD$49*'01 Major Assumptions'!$D$42</f>
        <v>123.78300000000002</v>
      </c>
      <c r="AE64" s="63">
        <f>AE$49*'01 Major Assumptions'!$D$42</f>
        <v>148.16450000000006</v>
      </c>
      <c r="AF64" s="63">
        <f>AF$49*'01 Major Assumptions'!$D$42</f>
        <v>172.54600000000002</v>
      </c>
      <c r="AG64" s="63">
        <f>AG$49*'01 Major Assumptions'!$D$42</f>
        <v>196.92750000000004</v>
      </c>
      <c r="AH64" s="63">
        <f>AH$49*'01 Major Assumptions'!$D$42</f>
        <v>221.309</v>
      </c>
      <c r="AI64" s="63">
        <f>AI$49*'01 Major Assumptions'!$D$42</f>
        <v>245.69049999999996</v>
      </c>
      <c r="AJ64" s="63">
        <f>AJ$49*'01 Major Assumptions'!$D$42</f>
        <v>270.07200000000006</v>
      </c>
      <c r="AK64" s="63">
        <f>AK$49*'01 Major Assumptions'!$D$42</f>
        <v>294.45350000000002</v>
      </c>
      <c r="AL64" s="63">
        <f>AL$49*'01 Major Assumptions'!$D$42</f>
        <v>318.83499999999998</v>
      </c>
      <c r="AM64" s="63">
        <f>AM$49*'01 Major Assumptions'!$D$42</f>
        <v>343.21650000000005</v>
      </c>
      <c r="AN64" s="63">
        <f>AN$49*'01 Major Assumptions'!$D$42</f>
        <v>367.59799999999996</v>
      </c>
      <c r="AO64" s="63">
        <f>AO$49*'01 Major Assumptions'!$D$42</f>
        <v>367.59799999999996</v>
      </c>
      <c r="AP64" s="63">
        <f>AP$49*'01 Major Assumptions'!$D$42</f>
        <v>367.59799999999996</v>
      </c>
      <c r="AQ64" s="63">
        <f>AQ$49*'01 Major Assumptions'!$D$42</f>
        <v>367.59799999999996</v>
      </c>
      <c r="AR64" s="63">
        <f>AR$49*'01 Major Assumptions'!$D$42</f>
        <v>367.59799999999996</v>
      </c>
      <c r="AS64" s="63">
        <f>AS$49*'01 Major Assumptions'!$D$42</f>
        <v>367.59799999999996</v>
      </c>
      <c r="AT64" s="63">
        <f>AT$49*'01 Major Assumptions'!$D$42</f>
        <v>367.59799999999996</v>
      </c>
      <c r="AU64" s="63">
        <f>AU$49*'01 Major Assumptions'!$D$42</f>
        <v>367.59799999999996</v>
      </c>
      <c r="AV64" s="63">
        <f>AV$49*'01 Major Assumptions'!$D$42</f>
        <v>367.59799999999996</v>
      </c>
      <c r="AW64" s="63">
        <f>AW$49*'01 Major Assumptions'!$D$42</f>
        <v>367.59799999999996</v>
      </c>
      <c r="AX64" s="63">
        <f>AX$49*'01 Major Assumptions'!$D$42</f>
        <v>367.59799999999996</v>
      </c>
      <c r="AY64" s="63">
        <f>AY$49*'01 Major Assumptions'!$D$42</f>
        <v>367.59799999999996</v>
      </c>
      <c r="AZ64" s="63">
        <f>AZ$49*'01 Major Assumptions'!$D$42</f>
        <v>367.59799999999996</v>
      </c>
      <c r="BA64" s="63">
        <f>BA$49*'01 Major Assumptions'!$D$42</f>
        <v>367.59799999999996</v>
      </c>
      <c r="BB64" s="63">
        <f>BB$49*'01 Major Assumptions'!$D$42</f>
        <v>367.59799999999996</v>
      </c>
      <c r="BC64" s="63">
        <f>BC$49*'01 Major Assumptions'!$D$42</f>
        <v>367.59799999999996</v>
      </c>
      <c r="BD64" s="63">
        <f>BD$49*'01 Major Assumptions'!$D$42</f>
        <v>367.59799999999996</v>
      </c>
      <c r="BE64" s="63">
        <f>BE$49*'01 Major Assumptions'!$D$42</f>
        <v>367.59799999999996</v>
      </c>
      <c r="BF64" s="63">
        <f>BF$49*'01 Major Assumptions'!$D$42</f>
        <v>367.59799999999996</v>
      </c>
      <c r="BG64" s="63">
        <f>BG$49*'01 Major Assumptions'!$D$42</f>
        <v>367.59799999999996</v>
      </c>
      <c r="BH64" s="63">
        <f>BH$49*'01 Major Assumptions'!$D$42</f>
        <v>367.59799999999996</v>
      </c>
      <c r="BI64" s="90">
        <f>BI$49*'01 Major Assumptions'!$D$42</f>
        <v>4411.1759999999995</v>
      </c>
      <c r="BJ64" s="90">
        <f>BJ$49*'01 Major Assumptions'!$D$42</f>
        <v>4411.1759999999995</v>
      </c>
      <c r="BK64" s="90">
        <f>BK$49*'01 Major Assumptions'!$D$42</f>
        <v>4411.1759999999995</v>
      </c>
      <c r="BL64" s="90">
        <f>BL$49*'01 Major Assumptions'!$D$42</f>
        <v>4411.1759999999995</v>
      </c>
      <c r="BM64" s="90">
        <f>BM$49*'01 Major Assumptions'!$D$42</f>
        <v>4411.1759999999995</v>
      </c>
      <c r="BN64" s="90">
        <f>BN$49*'01 Major Assumptions'!$D$42</f>
        <v>4411.1759999999995</v>
      </c>
      <c r="BO64" s="90">
        <f>BO$49*'01 Major Assumptions'!$D$42</f>
        <v>4411.1759999999995</v>
      </c>
    </row>
    <row r="65" spans="1:67">
      <c r="A65" s="11"/>
      <c r="B65" s="11"/>
      <c r="C65" s="11" t="s">
        <v>368</v>
      </c>
      <c r="D65" s="33"/>
      <c r="E65" s="10" t="s">
        <v>358</v>
      </c>
      <c r="F65" s="10"/>
      <c r="G65" s="90">
        <f>G$49*'01 Major Assumptions'!$D$47</f>
        <v>0</v>
      </c>
      <c r="H65" s="90">
        <f>H$49*'01 Major Assumptions'!$D$47</f>
        <v>0</v>
      </c>
      <c r="I65" s="90">
        <f>I$49*'01 Major Assumptions'!$D$47</f>
        <v>0</v>
      </c>
      <c r="J65" s="90">
        <f>J$49*'01 Major Assumptions'!$D$47</f>
        <v>0</v>
      </c>
      <c r="K65" s="90">
        <f>K$49*'01 Major Assumptions'!$D$47</f>
        <v>0</v>
      </c>
      <c r="L65" s="90">
        <f>L$49*'01 Major Assumptions'!$D$47</f>
        <v>0</v>
      </c>
      <c r="M65" s="90">
        <f>M$49*'01 Major Assumptions'!$D$47</f>
        <v>0</v>
      </c>
      <c r="N65" s="90">
        <f>N$49*'01 Major Assumptions'!$D$47</f>
        <v>0</v>
      </c>
      <c r="O65" s="90">
        <f>O$49*'01 Major Assumptions'!$D$47</f>
        <v>0</v>
      </c>
      <c r="P65" s="90">
        <f>P$49*'01 Major Assumptions'!$D$47</f>
        <v>0</v>
      </c>
      <c r="Q65" s="90">
        <f>Q$49*'01 Major Assumptions'!$D$47</f>
        <v>0</v>
      </c>
      <c r="R65" s="90">
        <f>R$49*'01 Major Assumptions'!$D$47</f>
        <v>0</v>
      </c>
      <c r="S65" s="90">
        <f>S$49*'01 Major Assumptions'!$D$47</f>
        <v>0</v>
      </c>
      <c r="T65" s="90">
        <f>T$49*'01 Major Assumptions'!$D$47</f>
        <v>0</v>
      </c>
      <c r="U65" s="90">
        <f>U$49*'01 Major Assumptions'!$D$47</f>
        <v>0</v>
      </c>
      <c r="V65" s="90">
        <f>V$49*'01 Major Assumptions'!$D$47</f>
        <v>0</v>
      </c>
      <c r="W65" s="90">
        <f>W$49*'01 Major Assumptions'!$D$47</f>
        <v>0</v>
      </c>
      <c r="X65" s="90">
        <f>X$49*'01 Major Assumptions'!$D$47</f>
        <v>0</v>
      </c>
      <c r="Y65" s="63">
        <f>Y$49*'01 Major Assumptions'!$D$47</f>
        <v>0</v>
      </c>
      <c r="Z65" s="63">
        <f>Z$49*'01 Major Assumptions'!$D$47</f>
        <v>0</v>
      </c>
      <c r="AA65" s="63">
        <f>AA$49*'01 Major Assumptions'!$D$47</f>
        <v>0</v>
      </c>
      <c r="AB65" s="63">
        <f>AB$49*'01 Major Assumptions'!$D$47</f>
        <v>97.992631578947382</v>
      </c>
      <c r="AC65" s="63">
        <f>AC$49*'01 Major Assumptions'!$D$47</f>
        <v>129.84023684210527</v>
      </c>
      <c r="AD65" s="63">
        <f>AD$49*'01 Major Assumptions'!$D$47</f>
        <v>161.6878421052632</v>
      </c>
      <c r="AE65" s="63">
        <f>AE$49*'01 Major Assumptions'!$D$47</f>
        <v>193.53544736842113</v>
      </c>
      <c r="AF65" s="63">
        <f>AF$49*'01 Major Assumptions'!$D$47</f>
        <v>225.38305263157898</v>
      </c>
      <c r="AG65" s="63">
        <f>AG$49*'01 Major Assumptions'!$D$47</f>
        <v>257.23065789473691</v>
      </c>
      <c r="AH65" s="63">
        <f>AH$49*'01 Major Assumptions'!$D$47</f>
        <v>289.07826315789475</v>
      </c>
      <c r="AI65" s="63">
        <f>AI$49*'01 Major Assumptions'!$D$47</f>
        <v>320.9258684210526</v>
      </c>
      <c r="AJ65" s="63">
        <f>AJ$49*'01 Major Assumptions'!$D$47</f>
        <v>352.77347368421061</v>
      </c>
      <c r="AK65" s="63">
        <f>AK$49*'01 Major Assumptions'!$D$47</f>
        <v>384.62107894736852</v>
      </c>
      <c r="AL65" s="63">
        <f>AL$49*'01 Major Assumptions'!$D$47</f>
        <v>416.46868421052636</v>
      </c>
      <c r="AM65" s="63">
        <f>AM$49*'01 Major Assumptions'!$D$47</f>
        <v>448.31628947368432</v>
      </c>
      <c r="AN65" s="63">
        <f>AN$49*'01 Major Assumptions'!$D$47</f>
        <v>480.16389473684211</v>
      </c>
      <c r="AO65" s="63">
        <f>AO$49*'01 Major Assumptions'!$D$47</f>
        <v>480.16389473684211</v>
      </c>
      <c r="AP65" s="63">
        <f>AP$49*'01 Major Assumptions'!$D$47</f>
        <v>480.16389473684211</v>
      </c>
      <c r="AQ65" s="63">
        <f>AQ$49*'01 Major Assumptions'!$D$47</f>
        <v>480.16389473684211</v>
      </c>
      <c r="AR65" s="63">
        <f>AR$49*'01 Major Assumptions'!$D$47</f>
        <v>480.16389473684211</v>
      </c>
      <c r="AS65" s="63">
        <f>AS$49*'01 Major Assumptions'!$D$47</f>
        <v>480.16389473684211</v>
      </c>
      <c r="AT65" s="63">
        <f>AT$49*'01 Major Assumptions'!$D$47</f>
        <v>480.16389473684211</v>
      </c>
      <c r="AU65" s="63">
        <f>AU$49*'01 Major Assumptions'!$D$47</f>
        <v>480.16389473684211</v>
      </c>
      <c r="AV65" s="63">
        <f>AV$49*'01 Major Assumptions'!$D$47</f>
        <v>480.16389473684211</v>
      </c>
      <c r="AW65" s="63">
        <f>AW$49*'01 Major Assumptions'!$D$47</f>
        <v>480.16389473684211</v>
      </c>
      <c r="AX65" s="63">
        <f>AX$49*'01 Major Assumptions'!$D$47</f>
        <v>480.16389473684211</v>
      </c>
      <c r="AY65" s="63">
        <f>AY$49*'01 Major Assumptions'!$D$47</f>
        <v>480.16389473684211</v>
      </c>
      <c r="AZ65" s="63">
        <f>AZ$49*'01 Major Assumptions'!$D$47</f>
        <v>480.16389473684211</v>
      </c>
      <c r="BA65" s="63">
        <f>BA$49*'01 Major Assumptions'!$D$47</f>
        <v>480.16389473684211</v>
      </c>
      <c r="BB65" s="63">
        <f>BB$49*'01 Major Assumptions'!$D$47</f>
        <v>480.16389473684211</v>
      </c>
      <c r="BC65" s="63">
        <f>BC$49*'01 Major Assumptions'!$D$47</f>
        <v>480.16389473684211</v>
      </c>
      <c r="BD65" s="63">
        <f>BD$49*'01 Major Assumptions'!$D$47</f>
        <v>480.16389473684211</v>
      </c>
      <c r="BE65" s="63">
        <f>BE$49*'01 Major Assumptions'!$D$47</f>
        <v>480.16389473684211</v>
      </c>
      <c r="BF65" s="63">
        <f>BF$49*'01 Major Assumptions'!$D$47</f>
        <v>480.16389473684211</v>
      </c>
      <c r="BG65" s="63">
        <f>BG$49*'01 Major Assumptions'!$D$47</f>
        <v>480.16389473684211</v>
      </c>
      <c r="BH65" s="63">
        <f>BH$49*'01 Major Assumptions'!$D$47</f>
        <v>480.16389473684211</v>
      </c>
      <c r="BI65" s="90">
        <f>BI$49*'01 Major Assumptions'!$D$47</f>
        <v>5761.966736842106</v>
      </c>
      <c r="BJ65" s="90">
        <f>BJ$49*'01 Major Assumptions'!$D$47</f>
        <v>5761.966736842106</v>
      </c>
      <c r="BK65" s="90">
        <f>BK$49*'01 Major Assumptions'!$D$47</f>
        <v>5761.966736842106</v>
      </c>
      <c r="BL65" s="90">
        <f>BL$49*'01 Major Assumptions'!$D$47</f>
        <v>5761.966736842106</v>
      </c>
      <c r="BM65" s="90">
        <f>BM$49*'01 Major Assumptions'!$D$47</f>
        <v>5761.966736842106</v>
      </c>
      <c r="BN65" s="90">
        <f>BN$49*'01 Major Assumptions'!$D$47</f>
        <v>5761.966736842106</v>
      </c>
      <c r="BO65" s="90">
        <f>BO$49*'01 Major Assumptions'!$D$47</f>
        <v>5761.966736842106</v>
      </c>
    </row>
    <row r="66" spans="1:67">
      <c r="A66" s="11"/>
      <c r="B66" s="11"/>
      <c r="C66" s="11" t="s">
        <v>78</v>
      </c>
      <c r="D66" s="33"/>
      <c r="E66" s="10" t="s">
        <v>358</v>
      </c>
      <c r="F66" s="10"/>
      <c r="G66" s="90">
        <f>G$49*'01 Major Assumptions'!$D$48</f>
        <v>0</v>
      </c>
      <c r="H66" s="90">
        <f>H$49*'01 Major Assumptions'!$D$48</f>
        <v>0</v>
      </c>
      <c r="I66" s="90">
        <f>I$49*'01 Major Assumptions'!$D$48</f>
        <v>0</v>
      </c>
      <c r="J66" s="90">
        <f>J$49*'01 Major Assumptions'!$D$48</f>
        <v>0</v>
      </c>
      <c r="K66" s="90">
        <f>K$49*'01 Major Assumptions'!$D$48</f>
        <v>0</v>
      </c>
      <c r="L66" s="90">
        <f>L$49*'01 Major Assumptions'!$D$48</f>
        <v>0</v>
      </c>
      <c r="M66" s="90">
        <f>M$49*'01 Major Assumptions'!$D$48</f>
        <v>0</v>
      </c>
      <c r="N66" s="90">
        <f>N$49*'01 Major Assumptions'!$D$48</f>
        <v>0</v>
      </c>
      <c r="O66" s="90">
        <f>O$49*'01 Major Assumptions'!$D$48</f>
        <v>0</v>
      </c>
      <c r="P66" s="90">
        <f>P$49*'01 Major Assumptions'!$D$48</f>
        <v>0</v>
      </c>
      <c r="Q66" s="90">
        <f>Q$49*'01 Major Assumptions'!$D$48</f>
        <v>0</v>
      </c>
      <c r="R66" s="90">
        <f>R$49*'01 Major Assumptions'!$D$48</f>
        <v>0</v>
      </c>
      <c r="S66" s="90">
        <f>S$49*'01 Major Assumptions'!$D$48</f>
        <v>0</v>
      </c>
      <c r="T66" s="90">
        <f>T$49*'01 Major Assumptions'!$D$48</f>
        <v>0</v>
      </c>
      <c r="U66" s="90">
        <f>U$49*'01 Major Assumptions'!$D$48</f>
        <v>0</v>
      </c>
      <c r="V66" s="90">
        <f>V$49*'01 Major Assumptions'!$D$48</f>
        <v>0</v>
      </c>
      <c r="W66" s="90">
        <f>W$49*'01 Major Assumptions'!$D$48</f>
        <v>0</v>
      </c>
      <c r="X66" s="90">
        <f>X$49*'01 Major Assumptions'!$D$48</f>
        <v>0</v>
      </c>
      <c r="Y66" s="63">
        <f>Y$49*'01 Major Assumptions'!$D$48</f>
        <v>0</v>
      </c>
      <c r="Z66" s="63">
        <f>Z$49*'01 Major Assumptions'!$D$48</f>
        <v>0</v>
      </c>
      <c r="AA66" s="63">
        <f>AA$49*'01 Major Assumptions'!$D$48</f>
        <v>0</v>
      </c>
      <c r="AB66" s="63">
        <f>AB$49*'01 Major Assumptions'!$D$48</f>
        <v>45.227368421052638</v>
      </c>
      <c r="AC66" s="63">
        <f>AC$49*'01 Major Assumptions'!$D$48</f>
        <v>59.926263157894731</v>
      </c>
      <c r="AD66" s="63">
        <f>AD$49*'01 Major Assumptions'!$D$48</f>
        <v>74.625157894736859</v>
      </c>
      <c r="AE66" s="63">
        <f>AE$49*'01 Major Assumptions'!$D$48</f>
        <v>89.324052631578994</v>
      </c>
      <c r="AF66" s="63">
        <f>AF$49*'01 Major Assumptions'!$D$48</f>
        <v>104.02294736842107</v>
      </c>
      <c r="AG66" s="63">
        <f>AG$49*'01 Major Assumptions'!$D$48</f>
        <v>118.72184210526318</v>
      </c>
      <c r="AH66" s="63">
        <f>AH$49*'01 Major Assumptions'!$D$48</f>
        <v>133.42073684210527</v>
      </c>
      <c r="AI66" s="63">
        <f>AI$49*'01 Major Assumptions'!$D$48</f>
        <v>148.11963157894738</v>
      </c>
      <c r="AJ66" s="63">
        <f>AJ$49*'01 Major Assumptions'!$D$48</f>
        <v>162.81852631578951</v>
      </c>
      <c r="AK66" s="63">
        <f>AK$49*'01 Major Assumptions'!$D$48</f>
        <v>177.51742105263162</v>
      </c>
      <c r="AL66" s="63">
        <f>AL$49*'01 Major Assumptions'!$D$48</f>
        <v>192.2163157894737</v>
      </c>
      <c r="AM66" s="63">
        <f>AM$49*'01 Major Assumptions'!$D$48</f>
        <v>206.91521052631583</v>
      </c>
      <c r="AN66" s="63">
        <f>AN$49*'01 Major Assumptions'!$D$48</f>
        <v>221.61410526315791</v>
      </c>
      <c r="AO66" s="63">
        <f>AO$49*'01 Major Assumptions'!$D$48</f>
        <v>221.61410526315791</v>
      </c>
      <c r="AP66" s="63">
        <f>AP$49*'01 Major Assumptions'!$D$48</f>
        <v>221.61410526315791</v>
      </c>
      <c r="AQ66" s="63">
        <f>AQ$49*'01 Major Assumptions'!$D$48</f>
        <v>221.61410526315791</v>
      </c>
      <c r="AR66" s="63">
        <f>AR$49*'01 Major Assumptions'!$D$48</f>
        <v>221.61410526315791</v>
      </c>
      <c r="AS66" s="63">
        <f>AS$49*'01 Major Assumptions'!$D$48</f>
        <v>221.61410526315791</v>
      </c>
      <c r="AT66" s="63">
        <f>AT$49*'01 Major Assumptions'!$D$48</f>
        <v>221.61410526315791</v>
      </c>
      <c r="AU66" s="63">
        <f>AU$49*'01 Major Assumptions'!$D$48</f>
        <v>221.61410526315791</v>
      </c>
      <c r="AV66" s="63">
        <f>AV$49*'01 Major Assumptions'!$D$48</f>
        <v>221.61410526315791</v>
      </c>
      <c r="AW66" s="63">
        <f>AW$49*'01 Major Assumptions'!$D$48</f>
        <v>221.61410526315791</v>
      </c>
      <c r="AX66" s="63">
        <f>AX$49*'01 Major Assumptions'!$D$48</f>
        <v>221.61410526315791</v>
      </c>
      <c r="AY66" s="63">
        <f>AY$49*'01 Major Assumptions'!$D$48</f>
        <v>221.61410526315791</v>
      </c>
      <c r="AZ66" s="63">
        <f>AZ$49*'01 Major Assumptions'!$D$48</f>
        <v>221.61410526315791</v>
      </c>
      <c r="BA66" s="63">
        <f>BA$49*'01 Major Assumptions'!$D$48</f>
        <v>221.61410526315791</v>
      </c>
      <c r="BB66" s="63">
        <f>BB$49*'01 Major Assumptions'!$D$48</f>
        <v>221.61410526315791</v>
      </c>
      <c r="BC66" s="63">
        <f>BC$49*'01 Major Assumptions'!$D$48</f>
        <v>221.61410526315791</v>
      </c>
      <c r="BD66" s="63">
        <f>BD$49*'01 Major Assumptions'!$D$48</f>
        <v>221.61410526315791</v>
      </c>
      <c r="BE66" s="63">
        <f>BE$49*'01 Major Assumptions'!$D$48</f>
        <v>221.61410526315791</v>
      </c>
      <c r="BF66" s="63">
        <f>BF$49*'01 Major Assumptions'!$D$48</f>
        <v>221.61410526315791</v>
      </c>
      <c r="BG66" s="63">
        <f>BG$49*'01 Major Assumptions'!$D$48</f>
        <v>221.61410526315791</v>
      </c>
      <c r="BH66" s="63">
        <f>BH$49*'01 Major Assumptions'!$D$48</f>
        <v>221.61410526315791</v>
      </c>
      <c r="BI66" s="90">
        <f>BI$49*'01 Major Assumptions'!$D$48</f>
        <v>2659.3692631578947</v>
      </c>
      <c r="BJ66" s="90">
        <f>BJ$49*'01 Major Assumptions'!$D$48</f>
        <v>2659.3692631578947</v>
      </c>
      <c r="BK66" s="90">
        <f>BK$49*'01 Major Assumptions'!$D$48</f>
        <v>2659.3692631578947</v>
      </c>
      <c r="BL66" s="90">
        <f>BL$49*'01 Major Assumptions'!$D$48</f>
        <v>2659.3692631578947</v>
      </c>
      <c r="BM66" s="90">
        <f>BM$49*'01 Major Assumptions'!$D$48</f>
        <v>2659.3692631578947</v>
      </c>
      <c r="BN66" s="90">
        <f>BN$49*'01 Major Assumptions'!$D$48</f>
        <v>2659.3692631578947</v>
      </c>
      <c r="BO66" s="90">
        <f>BO$49*'01 Major Assumptions'!$D$48</f>
        <v>2659.3692631578947</v>
      </c>
    </row>
    <row r="67" spans="1:67">
      <c r="A67" s="11"/>
      <c r="B67" s="22" t="s">
        <v>369</v>
      </c>
      <c r="C67" s="11"/>
      <c r="D67" s="33"/>
      <c r="E67" s="10" t="s">
        <v>358</v>
      </c>
      <c r="F67" s="10"/>
      <c r="G67" s="89">
        <f>SUM(G62:G66)</f>
        <v>0</v>
      </c>
      <c r="H67" s="89">
        <f t="shared" ref="H67:BI67" si="48">SUM(H62:H66)</f>
        <v>0</v>
      </c>
      <c r="I67" s="89">
        <f t="shared" si="48"/>
        <v>0</v>
      </c>
      <c r="J67" s="89">
        <f t="shared" si="48"/>
        <v>0</v>
      </c>
      <c r="K67" s="89">
        <f t="shared" si="48"/>
        <v>0</v>
      </c>
      <c r="L67" s="89">
        <f t="shared" si="48"/>
        <v>0</v>
      </c>
      <c r="M67" s="89">
        <f t="shared" si="48"/>
        <v>0</v>
      </c>
      <c r="N67" s="89">
        <f t="shared" si="48"/>
        <v>0</v>
      </c>
      <c r="O67" s="89">
        <f t="shared" si="48"/>
        <v>0</v>
      </c>
      <c r="P67" s="89">
        <f t="shared" si="48"/>
        <v>0</v>
      </c>
      <c r="Q67" s="89">
        <f t="shared" si="48"/>
        <v>0</v>
      </c>
      <c r="R67" s="89">
        <f t="shared" si="48"/>
        <v>0</v>
      </c>
      <c r="S67" s="89">
        <f t="shared" si="48"/>
        <v>0</v>
      </c>
      <c r="T67" s="89">
        <f t="shared" si="48"/>
        <v>0</v>
      </c>
      <c r="U67" s="89">
        <f t="shared" si="48"/>
        <v>0</v>
      </c>
      <c r="V67" s="89">
        <f t="shared" si="48"/>
        <v>0</v>
      </c>
      <c r="W67" s="89">
        <f t="shared" si="48"/>
        <v>0</v>
      </c>
      <c r="X67" s="89">
        <f t="shared" si="48"/>
        <v>0</v>
      </c>
      <c r="Y67" s="89">
        <f t="shared" si="48"/>
        <v>0</v>
      </c>
      <c r="Z67" s="89">
        <f t="shared" si="48"/>
        <v>0</v>
      </c>
      <c r="AA67" s="89">
        <f t="shared" si="48"/>
        <v>0</v>
      </c>
      <c r="AB67" s="62">
        <f t="shared" si="48"/>
        <v>682</v>
      </c>
      <c r="AC67" s="89">
        <f t="shared" si="48"/>
        <v>903.64999999999986</v>
      </c>
      <c r="AD67" s="89">
        <f t="shared" si="48"/>
        <v>1125.3000000000004</v>
      </c>
      <c r="AE67" s="89">
        <f t="shared" si="48"/>
        <v>1346.9500000000005</v>
      </c>
      <c r="AF67" s="89">
        <f t="shared" si="48"/>
        <v>1568.6000000000001</v>
      </c>
      <c r="AG67" s="89">
        <f t="shared" si="48"/>
        <v>1790.2500000000002</v>
      </c>
      <c r="AH67" s="89">
        <f t="shared" si="48"/>
        <v>2011.8999999999999</v>
      </c>
      <c r="AI67" s="89">
        <f t="shared" si="48"/>
        <v>2233.5499999999997</v>
      </c>
      <c r="AJ67" s="89">
        <f t="shared" si="48"/>
        <v>2455.2000000000003</v>
      </c>
      <c r="AK67" s="89">
        <f t="shared" si="48"/>
        <v>2676.8500000000004</v>
      </c>
      <c r="AL67" s="89">
        <f t="shared" si="48"/>
        <v>2898.5</v>
      </c>
      <c r="AM67" s="89">
        <f t="shared" si="48"/>
        <v>3120.1500000000005</v>
      </c>
      <c r="AN67" s="89">
        <f t="shared" si="48"/>
        <v>3341.7999999999997</v>
      </c>
      <c r="AO67" s="89">
        <f t="shared" si="48"/>
        <v>3341.7999999999997</v>
      </c>
      <c r="AP67" s="89">
        <f t="shared" si="48"/>
        <v>3341.7999999999997</v>
      </c>
      <c r="AQ67" s="89">
        <f t="shared" si="48"/>
        <v>3341.7999999999997</v>
      </c>
      <c r="AR67" s="89">
        <f t="shared" si="48"/>
        <v>3341.7999999999997</v>
      </c>
      <c r="AS67" s="89">
        <f t="shared" si="48"/>
        <v>3341.7999999999997</v>
      </c>
      <c r="AT67" s="89">
        <f t="shared" si="48"/>
        <v>3341.7999999999997</v>
      </c>
      <c r="AU67" s="89">
        <f t="shared" si="48"/>
        <v>3341.7999999999997</v>
      </c>
      <c r="AV67" s="89">
        <f t="shared" si="48"/>
        <v>3341.7999999999997</v>
      </c>
      <c r="AW67" s="89">
        <f t="shared" si="48"/>
        <v>3341.7999999999997</v>
      </c>
      <c r="AX67" s="89">
        <f t="shared" si="48"/>
        <v>3341.7999999999997</v>
      </c>
      <c r="AY67" s="89">
        <f t="shared" si="48"/>
        <v>3341.7999999999997</v>
      </c>
      <c r="AZ67" s="89">
        <f t="shared" si="48"/>
        <v>3341.7999999999997</v>
      </c>
      <c r="BA67" s="89">
        <f t="shared" si="48"/>
        <v>3341.7999999999997</v>
      </c>
      <c r="BB67" s="89">
        <f t="shared" si="48"/>
        <v>3341.7999999999997</v>
      </c>
      <c r="BC67" s="89">
        <f t="shared" si="48"/>
        <v>3341.7999999999997</v>
      </c>
      <c r="BD67" s="89">
        <f t="shared" si="48"/>
        <v>3341.7999999999997</v>
      </c>
      <c r="BE67" s="89">
        <f t="shared" si="48"/>
        <v>3341.7999999999997</v>
      </c>
      <c r="BF67" s="89">
        <f t="shared" si="48"/>
        <v>3341.7999999999997</v>
      </c>
      <c r="BG67" s="89">
        <f t="shared" si="48"/>
        <v>3341.7999999999997</v>
      </c>
      <c r="BH67" s="89">
        <f t="shared" si="48"/>
        <v>3341.7999999999997</v>
      </c>
      <c r="BI67" s="89">
        <f t="shared" si="48"/>
        <v>40101.599999999999</v>
      </c>
      <c r="BJ67" s="89">
        <f t="shared" ref="BJ67" si="49">SUM(BJ62:BJ66)</f>
        <v>40101.599999999999</v>
      </c>
      <c r="BK67" s="89">
        <f t="shared" ref="BK67" si="50">SUM(BK62:BK66)</f>
        <v>40101.599999999999</v>
      </c>
      <c r="BL67" s="89">
        <f t="shared" ref="BL67" si="51">SUM(BL62:BL66)</f>
        <v>40101.599999999999</v>
      </c>
      <c r="BM67" s="89">
        <f t="shared" ref="BM67" si="52">SUM(BM62:BM66)</f>
        <v>40101.599999999999</v>
      </c>
      <c r="BN67" s="89">
        <f t="shared" ref="BN67" si="53">SUM(BN62:BN66)</f>
        <v>40101.599999999999</v>
      </c>
      <c r="BO67" s="89">
        <f t="shared" ref="BO67" si="54">SUM(BO62:BO66)</f>
        <v>40101.599999999999</v>
      </c>
    </row>
    <row r="68" spans="1:67">
      <c r="A68" s="11"/>
      <c r="B68" s="25" t="s">
        <v>370</v>
      </c>
      <c r="C68" s="25"/>
      <c r="D68" s="41"/>
      <c r="E68" s="1" t="s">
        <v>7</v>
      </c>
      <c r="F68" s="1"/>
      <c r="G68" s="72">
        <f>IF(G49=0,0,G67/G49)</f>
        <v>0</v>
      </c>
      <c r="H68" s="72">
        <f t="shared" ref="H68:BI68" si="55">IF(H49=0,0,H67/H49)</f>
        <v>0</v>
      </c>
      <c r="I68" s="72">
        <f t="shared" si="55"/>
        <v>0</v>
      </c>
      <c r="J68" s="72">
        <f t="shared" si="55"/>
        <v>0</v>
      </c>
      <c r="K68" s="72">
        <f t="shared" si="55"/>
        <v>0</v>
      </c>
      <c r="L68" s="72">
        <f t="shared" si="55"/>
        <v>0</v>
      </c>
      <c r="M68" s="72">
        <f t="shared" si="55"/>
        <v>0</v>
      </c>
      <c r="N68" s="72">
        <f t="shared" si="55"/>
        <v>0</v>
      </c>
      <c r="O68" s="72">
        <f t="shared" si="55"/>
        <v>0</v>
      </c>
      <c r="P68" s="72">
        <f t="shared" si="55"/>
        <v>0</v>
      </c>
      <c r="Q68" s="72">
        <f t="shared" si="55"/>
        <v>0</v>
      </c>
      <c r="R68" s="72">
        <f t="shared" si="55"/>
        <v>0</v>
      </c>
      <c r="S68" s="72">
        <f t="shared" si="55"/>
        <v>0</v>
      </c>
      <c r="T68" s="72">
        <f t="shared" si="55"/>
        <v>0</v>
      </c>
      <c r="U68" s="72">
        <f t="shared" si="55"/>
        <v>0</v>
      </c>
      <c r="V68" s="72">
        <f t="shared" si="55"/>
        <v>0</v>
      </c>
      <c r="W68" s="72">
        <f t="shared" si="55"/>
        <v>0</v>
      </c>
      <c r="X68" s="72">
        <f t="shared" si="55"/>
        <v>0</v>
      </c>
      <c r="Y68" s="72">
        <f t="shared" si="55"/>
        <v>0</v>
      </c>
      <c r="Z68" s="72">
        <f t="shared" si="55"/>
        <v>0</v>
      </c>
      <c r="AA68" s="72">
        <f t="shared" si="55"/>
        <v>0</v>
      </c>
      <c r="AB68" s="72">
        <f t="shared" si="55"/>
        <v>1</v>
      </c>
      <c r="AC68" s="72">
        <f t="shared" si="55"/>
        <v>1</v>
      </c>
      <c r="AD68" s="72">
        <f t="shared" si="55"/>
        <v>1.0000000000000002</v>
      </c>
      <c r="AE68" s="72">
        <f t="shared" si="55"/>
        <v>1</v>
      </c>
      <c r="AF68" s="72">
        <f t="shared" si="55"/>
        <v>1</v>
      </c>
      <c r="AG68" s="72">
        <f t="shared" si="55"/>
        <v>1</v>
      </c>
      <c r="AH68" s="72">
        <f t="shared" si="55"/>
        <v>1</v>
      </c>
      <c r="AI68" s="72">
        <f t="shared" si="55"/>
        <v>1</v>
      </c>
      <c r="AJ68" s="72">
        <f t="shared" si="55"/>
        <v>1</v>
      </c>
      <c r="AK68" s="72">
        <f t="shared" si="55"/>
        <v>1</v>
      </c>
      <c r="AL68" s="72">
        <f t="shared" si="55"/>
        <v>1</v>
      </c>
      <c r="AM68" s="72">
        <f t="shared" si="55"/>
        <v>1</v>
      </c>
      <c r="AN68" s="72">
        <f t="shared" si="55"/>
        <v>1</v>
      </c>
      <c r="AO68" s="72">
        <f t="shared" si="55"/>
        <v>1</v>
      </c>
      <c r="AP68" s="72">
        <f t="shared" si="55"/>
        <v>1</v>
      </c>
      <c r="AQ68" s="72">
        <f t="shared" si="55"/>
        <v>1</v>
      </c>
      <c r="AR68" s="72">
        <f t="shared" si="55"/>
        <v>1</v>
      </c>
      <c r="AS68" s="72">
        <f t="shared" si="55"/>
        <v>1</v>
      </c>
      <c r="AT68" s="72">
        <f t="shared" si="55"/>
        <v>1</v>
      </c>
      <c r="AU68" s="72">
        <f t="shared" si="55"/>
        <v>1</v>
      </c>
      <c r="AV68" s="72">
        <f t="shared" si="55"/>
        <v>1</v>
      </c>
      <c r="AW68" s="72">
        <f t="shared" si="55"/>
        <v>1</v>
      </c>
      <c r="AX68" s="72">
        <f t="shared" si="55"/>
        <v>1</v>
      </c>
      <c r="AY68" s="72">
        <f t="shared" si="55"/>
        <v>1</v>
      </c>
      <c r="AZ68" s="72">
        <f t="shared" si="55"/>
        <v>1</v>
      </c>
      <c r="BA68" s="72">
        <f t="shared" si="55"/>
        <v>1</v>
      </c>
      <c r="BB68" s="72">
        <f t="shared" si="55"/>
        <v>1</v>
      </c>
      <c r="BC68" s="72">
        <f t="shared" si="55"/>
        <v>1</v>
      </c>
      <c r="BD68" s="72">
        <f t="shared" si="55"/>
        <v>1</v>
      </c>
      <c r="BE68" s="72">
        <f t="shared" si="55"/>
        <v>1</v>
      </c>
      <c r="BF68" s="72">
        <f t="shared" si="55"/>
        <v>1</v>
      </c>
      <c r="BG68" s="72">
        <f t="shared" si="55"/>
        <v>1</v>
      </c>
      <c r="BH68" s="72">
        <f t="shared" si="55"/>
        <v>1</v>
      </c>
      <c r="BI68" s="72">
        <f t="shared" si="55"/>
        <v>1</v>
      </c>
      <c r="BJ68" s="72">
        <f t="shared" ref="BJ68" si="56">IF(BJ49=0,0,BJ67/BJ49)</f>
        <v>1</v>
      </c>
      <c r="BK68" s="72">
        <f t="shared" ref="BK68" si="57">IF(BK49=0,0,BK67/BK49)</f>
        <v>1</v>
      </c>
      <c r="BL68" s="72">
        <f t="shared" ref="BL68" si="58">IF(BL49=0,0,BL67/BL49)</f>
        <v>1</v>
      </c>
      <c r="BM68" s="72">
        <f t="shared" ref="BM68" si="59">IF(BM49=0,0,BM67/BM49)</f>
        <v>1</v>
      </c>
      <c r="BN68" s="72">
        <f t="shared" ref="BN68" si="60">IF(BN49=0,0,BN67/BN49)</f>
        <v>1</v>
      </c>
      <c r="BO68" s="72">
        <f t="shared" ref="BO68" si="61">IF(BO49=0,0,BO67/BO49)</f>
        <v>1</v>
      </c>
    </row>
    <row r="69" spans="1:67">
      <c r="A69" s="11"/>
      <c r="B69" s="11"/>
      <c r="C69" s="11"/>
      <c r="D69" s="33"/>
      <c r="E69" s="43"/>
      <c r="F69" s="43"/>
      <c r="G69" s="33"/>
      <c r="H69" s="33"/>
      <c r="I69" s="33"/>
      <c r="J69" s="33"/>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3"/>
      <c r="AP69" s="33"/>
      <c r="AQ69" s="33"/>
      <c r="AR69" s="33"/>
      <c r="AS69" s="33"/>
      <c r="AT69" s="33"/>
      <c r="AU69" s="33"/>
      <c r="AV69" s="33"/>
      <c r="AW69" s="33"/>
      <c r="AX69" s="33"/>
      <c r="AY69" s="33"/>
      <c r="AZ69" s="33"/>
      <c r="BA69" s="33"/>
      <c r="BB69" s="33"/>
      <c r="BC69" s="33"/>
      <c r="BD69" s="33"/>
      <c r="BE69" s="33"/>
      <c r="BF69" s="33"/>
      <c r="BG69" s="33"/>
      <c r="BH69" s="33"/>
      <c r="BI69" s="33"/>
      <c r="BJ69" s="33"/>
      <c r="BK69" s="33"/>
      <c r="BL69" s="33"/>
      <c r="BM69" s="33"/>
      <c r="BN69" s="33"/>
      <c r="BO69" s="33"/>
    </row>
    <row r="70" spans="1:67">
      <c r="A70" s="18" t="s">
        <v>371</v>
      </c>
      <c r="B70" s="18"/>
      <c r="C70" s="18"/>
      <c r="D70" s="39"/>
      <c r="E70" s="39"/>
      <c r="F70" s="39"/>
      <c r="G70" s="39"/>
      <c r="H70" s="39"/>
      <c r="I70" s="39"/>
      <c r="J70" s="39"/>
      <c r="K70" s="39"/>
      <c r="L70" s="39"/>
      <c r="M70" s="39"/>
      <c r="N70" s="39"/>
      <c r="O70" s="39"/>
      <c r="P70" s="39"/>
      <c r="Q70" s="39"/>
      <c r="R70" s="39"/>
      <c r="S70" s="39"/>
      <c r="T70" s="39"/>
      <c r="U70" s="39"/>
      <c r="V70" s="39"/>
      <c r="W70" s="39"/>
      <c r="X70" s="39"/>
      <c r="Y70" s="39"/>
      <c r="Z70" s="39"/>
      <c r="AA70" s="39"/>
      <c r="AB70" s="39"/>
      <c r="AC70" s="39"/>
      <c r="AD70" s="39"/>
      <c r="AE70" s="39"/>
      <c r="AF70" s="39"/>
      <c r="AG70" s="39"/>
      <c r="AH70" s="39"/>
      <c r="AI70" s="39"/>
      <c r="AJ70" s="39"/>
      <c r="AK70" s="39"/>
      <c r="AL70" s="39"/>
      <c r="AM70" s="39"/>
      <c r="AN70" s="39"/>
      <c r="AO70" s="39"/>
      <c r="AP70" s="39"/>
      <c r="AQ70" s="39"/>
      <c r="AR70" s="39"/>
      <c r="AS70" s="39"/>
      <c r="AT70" s="39"/>
      <c r="AU70" s="39"/>
      <c r="AV70" s="39"/>
      <c r="AW70" s="39"/>
      <c r="AX70" s="39"/>
      <c r="AY70" s="39"/>
      <c r="AZ70" s="39"/>
      <c r="BA70" s="39"/>
      <c r="BB70" s="39"/>
      <c r="BC70" s="39"/>
      <c r="BD70" s="39"/>
      <c r="BE70" s="39"/>
      <c r="BF70" s="39"/>
      <c r="BG70" s="39"/>
      <c r="BH70" s="39"/>
      <c r="BI70" s="39"/>
      <c r="BJ70" s="39"/>
      <c r="BK70" s="39"/>
      <c r="BL70" s="39"/>
      <c r="BM70" s="39"/>
      <c r="BN70" s="39"/>
      <c r="BO70" s="39"/>
    </row>
    <row r="71" spans="1:67">
      <c r="A71" s="11"/>
      <c r="B71" s="11"/>
      <c r="C71" s="11" t="s">
        <v>372</v>
      </c>
      <c r="D71" s="33"/>
      <c r="E71" s="10" t="s">
        <v>358</v>
      </c>
      <c r="F71" s="10"/>
      <c r="G71" s="90">
        <f>G63</f>
        <v>0</v>
      </c>
      <c r="H71" s="90">
        <f t="shared" ref="H71:BI71" si="62">H63</f>
        <v>0</v>
      </c>
      <c r="I71" s="90">
        <f t="shared" si="62"/>
        <v>0</v>
      </c>
      <c r="J71" s="90">
        <f t="shared" si="62"/>
        <v>0</v>
      </c>
      <c r="K71" s="90">
        <f t="shared" si="62"/>
        <v>0</v>
      </c>
      <c r="L71" s="90">
        <f t="shared" si="62"/>
        <v>0</v>
      </c>
      <c r="M71" s="90">
        <f t="shared" si="62"/>
        <v>0</v>
      </c>
      <c r="N71" s="90">
        <f t="shared" si="62"/>
        <v>0</v>
      </c>
      <c r="O71" s="90">
        <f t="shared" si="62"/>
        <v>0</v>
      </c>
      <c r="P71" s="90">
        <f t="shared" si="62"/>
        <v>0</v>
      </c>
      <c r="Q71" s="90">
        <f t="shared" si="62"/>
        <v>0</v>
      </c>
      <c r="R71" s="90">
        <f t="shared" si="62"/>
        <v>0</v>
      </c>
      <c r="S71" s="90">
        <f t="shared" si="62"/>
        <v>0</v>
      </c>
      <c r="T71" s="90">
        <f t="shared" si="62"/>
        <v>0</v>
      </c>
      <c r="U71" s="90">
        <f t="shared" si="62"/>
        <v>0</v>
      </c>
      <c r="V71" s="90">
        <f t="shared" si="62"/>
        <v>0</v>
      </c>
      <c r="W71" s="90">
        <f t="shared" si="62"/>
        <v>0</v>
      </c>
      <c r="X71" s="90">
        <f t="shared" si="62"/>
        <v>0</v>
      </c>
      <c r="Y71" s="63">
        <f t="shared" si="62"/>
        <v>0</v>
      </c>
      <c r="Z71" s="63">
        <f t="shared" si="62"/>
        <v>0</v>
      </c>
      <c r="AA71" s="63">
        <f t="shared" si="62"/>
        <v>0</v>
      </c>
      <c r="AB71" s="63">
        <f t="shared" si="62"/>
        <v>204.6</v>
      </c>
      <c r="AC71" s="63">
        <f t="shared" si="62"/>
        <v>271.09499999999997</v>
      </c>
      <c r="AD71" s="63">
        <f t="shared" si="62"/>
        <v>337.59000000000003</v>
      </c>
      <c r="AE71" s="63">
        <f t="shared" si="62"/>
        <v>404.08500000000015</v>
      </c>
      <c r="AF71" s="63">
        <f t="shared" si="62"/>
        <v>470.58000000000004</v>
      </c>
      <c r="AG71" s="63">
        <f t="shared" si="62"/>
        <v>537.07500000000005</v>
      </c>
      <c r="AH71" s="63">
        <f t="shared" si="62"/>
        <v>603.56999999999994</v>
      </c>
      <c r="AI71" s="63">
        <f t="shared" si="62"/>
        <v>670.06499999999994</v>
      </c>
      <c r="AJ71" s="63">
        <f t="shared" si="62"/>
        <v>736.56000000000006</v>
      </c>
      <c r="AK71" s="63">
        <f t="shared" si="62"/>
        <v>803.05500000000006</v>
      </c>
      <c r="AL71" s="63">
        <f t="shared" si="62"/>
        <v>869.55</v>
      </c>
      <c r="AM71" s="90">
        <f t="shared" si="62"/>
        <v>936.04500000000007</v>
      </c>
      <c r="AN71" s="90">
        <f t="shared" si="62"/>
        <v>1002.5399999999998</v>
      </c>
      <c r="AO71" s="90">
        <f t="shared" si="62"/>
        <v>1002.5399999999998</v>
      </c>
      <c r="AP71" s="90">
        <f t="shared" si="62"/>
        <v>1002.5399999999998</v>
      </c>
      <c r="AQ71" s="90">
        <f t="shared" si="62"/>
        <v>1002.5399999999998</v>
      </c>
      <c r="AR71" s="90">
        <f t="shared" si="62"/>
        <v>1002.5399999999998</v>
      </c>
      <c r="AS71" s="90">
        <f t="shared" si="62"/>
        <v>1002.5399999999998</v>
      </c>
      <c r="AT71" s="90">
        <f t="shared" si="62"/>
        <v>1002.5399999999998</v>
      </c>
      <c r="AU71" s="90">
        <f t="shared" si="62"/>
        <v>1002.5399999999998</v>
      </c>
      <c r="AV71" s="90">
        <f t="shared" si="62"/>
        <v>1002.5399999999998</v>
      </c>
      <c r="AW71" s="90">
        <f t="shared" si="62"/>
        <v>1002.5399999999998</v>
      </c>
      <c r="AX71" s="90">
        <f t="shared" si="62"/>
        <v>1002.5399999999998</v>
      </c>
      <c r="AY71" s="90">
        <f t="shared" si="62"/>
        <v>1002.5399999999998</v>
      </c>
      <c r="AZ71" s="90">
        <f t="shared" si="62"/>
        <v>1002.5399999999998</v>
      </c>
      <c r="BA71" s="90">
        <f t="shared" si="62"/>
        <v>1002.5399999999998</v>
      </c>
      <c r="BB71" s="90">
        <f t="shared" si="62"/>
        <v>1002.5399999999998</v>
      </c>
      <c r="BC71" s="90">
        <f t="shared" si="62"/>
        <v>1002.5399999999998</v>
      </c>
      <c r="BD71" s="90">
        <f t="shared" si="62"/>
        <v>1002.5399999999998</v>
      </c>
      <c r="BE71" s="90">
        <f t="shared" si="62"/>
        <v>1002.5399999999998</v>
      </c>
      <c r="BF71" s="90">
        <f t="shared" si="62"/>
        <v>1002.5399999999998</v>
      </c>
      <c r="BG71" s="90">
        <f t="shared" si="62"/>
        <v>1002.5399999999998</v>
      </c>
      <c r="BH71" s="90">
        <f t="shared" si="62"/>
        <v>1002.5399999999998</v>
      </c>
      <c r="BI71" s="90">
        <f t="shared" si="62"/>
        <v>12030.48</v>
      </c>
      <c r="BJ71" s="90">
        <f t="shared" ref="BJ71:BO71" si="63">BJ63</f>
        <v>12030.48</v>
      </c>
      <c r="BK71" s="90">
        <f t="shared" si="63"/>
        <v>12030.48</v>
      </c>
      <c r="BL71" s="90">
        <f t="shared" si="63"/>
        <v>12030.48</v>
      </c>
      <c r="BM71" s="90">
        <f t="shared" si="63"/>
        <v>12030.48</v>
      </c>
      <c r="BN71" s="90">
        <f t="shared" si="63"/>
        <v>12030.48</v>
      </c>
      <c r="BO71" s="90">
        <f t="shared" si="63"/>
        <v>12030.48</v>
      </c>
    </row>
    <row r="72" spans="1:67">
      <c r="A72" s="11"/>
      <c r="B72" s="11"/>
      <c r="C72" s="11" t="s">
        <v>373</v>
      </c>
      <c r="D72" s="33"/>
      <c r="E72" s="10" t="s">
        <v>358</v>
      </c>
      <c r="F72" s="10"/>
      <c r="G72" s="90">
        <f>G71*'01 Major Assumptions'!$D$52</f>
        <v>0</v>
      </c>
      <c r="H72" s="90">
        <f>H71*'01 Major Assumptions'!$D$52</f>
        <v>0</v>
      </c>
      <c r="I72" s="90">
        <f>I71*'01 Major Assumptions'!$D$52</f>
        <v>0</v>
      </c>
      <c r="J72" s="90">
        <f>J71*'01 Major Assumptions'!$D$52</f>
        <v>0</v>
      </c>
      <c r="K72" s="90">
        <f>K71*'01 Major Assumptions'!$D$52</f>
        <v>0</v>
      </c>
      <c r="L72" s="90">
        <f>L71*'01 Major Assumptions'!$D$52</f>
        <v>0</v>
      </c>
      <c r="M72" s="90">
        <f>M71*'01 Major Assumptions'!$D$52</f>
        <v>0</v>
      </c>
      <c r="N72" s="90">
        <f>N71*'01 Major Assumptions'!$D$52</f>
        <v>0</v>
      </c>
      <c r="O72" s="90">
        <f>O71*'01 Major Assumptions'!$D$52</f>
        <v>0</v>
      </c>
      <c r="P72" s="90">
        <f>P71*'01 Major Assumptions'!$D$52</f>
        <v>0</v>
      </c>
      <c r="Q72" s="90">
        <f>Q71*'01 Major Assumptions'!$D$52</f>
        <v>0</v>
      </c>
      <c r="R72" s="90">
        <f>R71*'01 Major Assumptions'!$D$52</f>
        <v>0</v>
      </c>
      <c r="S72" s="90">
        <f>S71*'01 Major Assumptions'!$D$52</f>
        <v>0</v>
      </c>
      <c r="T72" s="90">
        <f>T71*'01 Major Assumptions'!$D$52</f>
        <v>0</v>
      </c>
      <c r="U72" s="90">
        <f>U71*'01 Major Assumptions'!$D$52</f>
        <v>0</v>
      </c>
      <c r="V72" s="90">
        <f>V71*'01 Major Assumptions'!$D$52</f>
        <v>0</v>
      </c>
      <c r="W72" s="90">
        <f>W71*'01 Major Assumptions'!$D$52</f>
        <v>0</v>
      </c>
      <c r="X72" s="90">
        <f>X71*'01 Major Assumptions'!$D$52</f>
        <v>0</v>
      </c>
      <c r="Y72" s="63">
        <f>Y71*'01 Major Assumptions'!$D$52</f>
        <v>0</v>
      </c>
      <c r="Z72" s="63">
        <f>Z71*'01 Major Assumptions'!$D$52</f>
        <v>0</v>
      </c>
      <c r="AA72" s="63">
        <f>AA71*'01 Major Assumptions'!$D$52</f>
        <v>0</v>
      </c>
      <c r="AB72" s="63">
        <f>AB71*'01 Major Assumptions'!$D$52</f>
        <v>204.6</v>
      </c>
      <c r="AC72" s="63">
        <f>AC71*'01 Major Assumptions'!$D$52</f>
        <v>271.09499999999997</v>
      </c>
      <c r="AD72" s="63">
        <f>AD71*'01 Major Assumptions'!$D$52</f>
        <v>337.59000000000003</v>
      </c>
      <c r="AE72" s="63">
        <f>AE71*'01 Major Assumptions'!$D$52</f>
        <v>404.08500000000015</v>
      </c>
      <c r="AF72" s="63">
        <f>AF71*'01 Major Assumptions'!$D$52</f>
        <v>470.58000000000004</v>
      </c>
      <c r="AG72" s="63">
        <f>AG71*'01 Major Assumptions'!$D$52</f>
        <v>537.07500000000005</v>
      </c>
      <c r="AH72" s="63">
        <f>AH71*'01 Major Assumptions'!$D$52</f>
        <v>603.56999999999994</v>
      </c>
      <c r="AI72" s="63">
        <f>AI71*'01 Major Assumptions'!$D$52</f>
        <v>670.06499999999994</v>
      </c>
      <c r="AJ72" s="63">
        <f>AJ71*'01 Major Assumptions'!$D$52</f>
        <v>736.56000000000006</v>
      </c>
      <c r="AK72" s="63">
        <f>AK71*'01 Major Assumptions'!$D$52</f>
        <v>803.05500000000006</v>
      </c>
      <c r="AL72" s="63">
        <f>AL71*'01 Major Assumptions'!$D$52</f>
        <v>869.55</v>
      </c>
      <c r="AM72" s="90">
        <f>AM71*'01 Major Assumptions'!$D$52</f>
        <v>936.04500000000007</v>
      </c>
      <c r="AN72" s="90">
        <f>AN71*'01 Major Assumptions'!$D$52</f>
        <v>1002.5399999999998</v>
      </c>
      <c r="AO72" s="90">
        <f>AO71*'01 Major Assumptions'!$D$52</f>
        <v>1002.5399999999998</v>
      </c>
      <c r="AP72" s="90">
        <f>AP71*'01 Major Assumptions'!$D$52</f>
        <v>1002.5399999999998</v>
      </c>
      <c r="AQ72" s="90">
        <f>AQ71*'01 Major Assumptions'!$D$52</f>
        <v>1002.5399999999998</v>
      </c>
      <c r="AR72" s="90">
        <f>AR71*'01 Major Assumptions'!$D$52</f>
        <v>1002.5399999999998</v>
      </c>
      <c r="AS72" s="90">
        <f>AS71*'01 Major Assumptions'!$D$52</f>
        <v>1002.5399999999998</v>
      </c>
      <c r="AT72" s="90">
        <f>AT71*'01 Major Assumptions'!$D$52</f>
        <v>1002.5399999999998</v>
      </c>
      <c r="AU72" s="90">
        <f>AU71*'01 Major Assumptions'!$D$52</f>
        <v>1002.5399999999998</v>
      </c>
      <c r="AV72" s="90">
        <f>AV71*'01 Major Assumptions'!$D$52</f>
        <v>1002.5399999999998</v>
      </c>
      <c r="AW72" s="90">
        <f>AW71*'01 Major Assumptions'!$D$52</f>
        <v>1002.5399999999998</v>
      </c>
      <c r="AX72" s="90">
        <f>AX71*'01 Major Assumptions'!$D$52</f>
        <v>1002.5399999999998</v>
      </c>
      <c r="AY72" s="90">
        <f>AY71*'01 Major Assumptions'!$D$52</f>
        <v>1002.5399999999998</v>
      </c>
      <c r="AZ72" s="90">
        <f>AZ71*'01 Major Assumptions'!$D$52</f>
        <v>1002.5399999999998</v>
      </c>
      <c r="BA72" s="90">
        <f>BA71*'01 Major Assumptions'!$D$52</f>
        <v>1002.5399999999998</v>
      </c>
      <c r="BB72" s="90">
        <f>BB71*'01 Major Assumptions'!$D$52</f>
        <v>1002.5399999999998</v>
      </c>
      <c r="BC72" s="90">
        <f>BC71*'01 Major Assumptions'!$D$52</f>
        <v>1002.5399999999998</v>
      </c>
      <c r="BD72" s="90">
        <f>BD71*'01 Major Assumptions'!$D$52</f>
        <v>1002.5399999999998</v>
      </c>
      <c r="BE72" s="90">
        <f>BE71*'01 Major Assumptions'!$D$52</f>
        <v>1002.5399999999998</v>
      </c>
      <c r="BF72" s="90">
        <f>BF71*'01 Major Assumptions'!$D$52</f>
        <v>1002.5399999999998</v>
      </c>
      <c r="BG72" s="90">
        <f>BG71*'01 Major Assumptions'!$D$52</f>
        <v>1002.5399999999998</v>
      </c>
      <c r="BH72" s="90">
        <f>BH71*'01 Major Assumptions'!$D$52</f>
        <v>1002.5399999999998</v>
      </c>
      <c r="BI72" s="90">
        <f>BI71*'01 Major Assumptions'!$D$52</f>
        <v>12030.48</v>
      </c>
      <c r="BJ72" s="90">
        <f>BJ71*'01 Major Assumptions'!$D$52</f>
        <v>12030.48</v>
      </c>
      <c r="BK72" s="90">
        <f>BK71*'01 Major Assumptions'!$D$52</f>
        <v>12030.48</v>
      </c>
      <c r="BL72" s="90">
        <f>BL71*'01 Major Assumptions'!$D$52</f>
        <v>12030.48</v>
      </c>
      <c r="BM72" s="90">
        <f>BM71*'01 Major Assumptions'!$D$52</f>
        <v>12030.48</v>
      </c>
      <c r="BN72" s="90">
        <f>BN71*'01 Major Assumptions'!$D$52</f>
        <v>12030.48</v>
      </c>
      <c r="BO72" s="90">
        <f>BO71*'01 Major Assumptions'!$D$52</f>
        <v>12030.48</v>
      </c>
    </row>
    <row r="73" spans="1:67">
      <c r="A73" s="11"/>
      <c r="B73" s="11"/>
      <c r="C73" s="11" t="s">
        <v>374</v>
      </c>
      <c r="D73" s="33"/>
      <c r="E73" s="10" t="s">
        <v>358</v>
      </c>
      <c r="F73" s="10"/>
      <c r="G73" s="90">
        <f>G72*'01 Major Assumptions'!$D$54</f>
        <v>0</v>
      </c>
      <c r="H73" s="90">
        <f>H72*'01 Major Assumptions'!$D$54</f>
        <v>0</v>
      </c>
      <c r="I73" s="90">
        <f>I72*'01 Major Assumptions'!$D$54</f>
        <v>0</v>
      </c>
      <c r="J73" s="90">
        <f>J72*'01 Major Assumptions'!$D$54</f>
        <v>0</v>
      </c>
      <c r="K73" s="90">
        <f>K72*'01 Major Assumptions'!$D$54</f>
        <v>0</v>
      </c>
      <c r="L73" s="90">
        <f>L72*'01 Major Assumptions'!$D$54</f>
        <v>0</v>
      </c>
      <c r="M73" s="90">
        <f>M72*'01 Major Assumptions'!$D$54</f>
        <v>0</v>
      </c>
      <c r="N73" s="90">
        <f>N72*'01 Major Assumptions'!$D$54</f>
        <v>0</v>
      </c>
      <c r="O73" s="90">
        <f>O72*'01 Major Assumptions'!$D$54</f>
        <v>0</v>
      </c>
      <c r="P73" s="90">
        <f>P72*'01 Major Assumptions'!$D$54</f>
        <v>0</v>
      </c>
      <c r="Q73" s="90">
        <f>Q72*'01 Major Assumptions'!$D$54</f>
        <v>0</v>
      </c>
      <c r="R73" s="90">
        <f>R72*'01 Major Assumptions'!$D$54</f>
        <v>0</v>
      </c>
      <c r="S73" s="90">
        <f>S72*'01 Major Assumptions'!$D$54</f>
        <v>0</v>
      </c>
      <c r="T73" s="90">
        <f>T72*'01 Major Assumptions'!$D$54</f>
        <v>0</v>
      </c>
      <c r="U73" s="90">
        <f>U72*'01 Major Assumptions'!$D$54</f>
        <v>0</v>
      </c>
      <c r="V73" s="90">
        <f>V72*'01 Major Assumptions'!$D$54</f>
        <v>0</v>
      </c>
      <c r="W73" s="90">
        <f>W72*'01 Major Assumptions'!$D$54</f>
        <v>0</v>
      </c>
      <c r="X73" s="90">
        <f>X72*'01 Major Assumptions'!$D$54</f>
        <v>0</v>
      </c>
      <c r="Y73" s="63">
        <f>Y72*'01 Major Assumptions'!$D$54</f>
        <v>0</v>
      </c>
      <c r="Z73" s="63">
        <f>Z72*'01 Major Assumptions'!$D$54</f>
        <v>0</v>
      </c>
      <c r="AA73" s="63">
        <f>AA72*'01 Major Assumptions'!$D$54</f>
        <v>0</v>
      </c>
      <c r="AB73" s="63">
        <f>AB72*'01 Major Assumptions'!$D$54</f>
        <v>202.554</v>
      </c>
      <c r="AC73" s="63">
        <f>AC72*'01 Major Assumptions'!$D$54</f>
        <v>268.38404999999995</v>
      </c>
      <c r="AD73" s="63">
        <f>AD72*'01 Major Assumptions'!$D$54</f>
        <v>334.21410000000003</v>
      </c>
      <c r="AE73" s="63">
        <f>AE72*'01 Major Assumptions'!$D$54</f>
        <v>400.04415000000017</v>
      </c>
      <c r="AF73" s="63">
        <f>AF72*'01 Major Assumptions'!$D$54</f>
        <v>465.87420000000003</v>
      </c>
      <c r="AG73" s="63">
        <f>AG72*'01 Major Assumptions'!$D$54</f>
        <v>531.70425</v>
      </c>
      <c r="AH73" s="63">
        <f>AH72*'01 Major Assumptions'!$D$54</f>
        <v>597.53429999999992</v>
      </c>
      <c r="AI73" s="63">
        <f>AI72*'01 Major Assumptions'!$D$54</f>
        <v>663.36434999999994</v>
      </c>
      <c r="AJ73" s="63">
        <f>AJ72*'01 Major Assumptions'!$D$54</f>
        <v>729.19440000000009</v>
      </c>
      <c r="AK73" s="63">
        <f>AK72*'01 Major Assumptions'!$D$54</f>
        <v>795.02445</v>
      </c>
      <c r="AL73" s="63">
        <f>AL72*'01 Major Assumptions'!$D$54</f>
        <v>860.85449999999992</v>
      </c>
      <c r="AM73" s="63">
        <f>AM72*'01 Major Assumptions'!$D$54</f>
        <v>926.68455000000006</v>
      </c>
      <c r="AN73" s="63">
        <f>AN72*'01 Major Assumptions'!$D$54</f>
        <v>992.51459999999986</v>
      </c>
      <c r="AO73" s="63">
        <f>AO72*'01 Major Assumptions'!$D$54</f>
        <v>992.51459999999986</v>
      </c>
      <c r="AP73" s="63">
        <f>AP72*'01 Major Assumptions'!$D$54</f>
        <v>992.51459999999986</v>
      </c>
      <c r="AQ73" s="63">
        <f>AQ72*'01 Major Assumptions'!$D$54</f>
        <v>992.51459999999986</v>
      </c>
      <c r="AR73" s="63">
        <f>AR72*'01 Major Assumptions'!$D$54</f>
        <v>992.51459999999986</v>
      </c>
      <c r="AS73" s="63">
        <f>AS72*'01 Major Assumptions'!$D$54</f>
        <v>992.51459999999986</v>
      </c>
      <c r="AT73" s="63">
        <f>AT72*'01 Major Assumptions'!$D$54</f>
        <v>992.51459999999986</v>
      </c>
      <c r="AU73" s="63">
        <f>AU72*'01 Major Assumptions'!$D$54</f>
        <v>992.51459999999986</v>
      </c>
      <c r="AV73" s="63">
        <f>AV72*'01 Major Assumptions'!$D$54</f>
        <v>992.51459999999986</v>
      </c>
      <c r="AW73" s="63">
        <f>AW72*'01 Major Assumptions'!$D$54</f>
        <v>992.51459999999986</v>
      </c>
      <c r="AX73" s="63">
        <f>AX72*'01 Major Assumptions'!$D$54</f>
        <v>992.51459999999986</v>
      </c>
      <c r="AY73" s="63">
        <f>AY72*'01 Major Assumptions'!$D$54</f>
        <v>992.51459999999986</v>
      </c>
      <c r="AZ73" s="63">
        <f>AZ72*'01 Major Assumptions'!$D$54</f>
        <v>992.51459999999986</v>
      </c>
      <c r="BA73" s="63">
        <f>BA72*'01 Major Assumptions'!$D$54</f>
        <v>992.51459999999986</v>
      </c>
      <c r="BB73" s="63">
        <f>BB72*'01 Major Assumptions'!$D$54</f>
        <v>992.51459999999986</v>
      </c>
      <c r="BC73" s="63">
        <f>BC72*'01 Major Assumptions'!$D$54</f>
        <v>992.51459999999986</v>
      </c>
      <c r="BD73" s="63">
        <f>BD72*'01 Major Assumptions'!$D$54</f>
        <v>992.51459999999986</v>
      </c>
      <c r="BE73" s="63">
        <f>BE72*'01 Major Assumptions'!$D$54</f>
        <v>992.51459999999986</v>
      </c>
      <c r="BF73" s="63">
        <f>BF72*'01 Major Assumptions'!$D$54</f>
        <v>992.51459999999986</v>
      </c>
      <c r="BG73" s="63">
        <f>BG72*'01 Major Assumptions'!$D$54</f>
        <v>992.51459999999986</v>
      </c>
      <c r="BH73" s="63">
        <f>BH72*'01 Major Assumptions'!$D$54</f>
        <v>992.51459999999986</v>
      </c>
      <c r="BI73" s="90">
        <f>BI72*'01 Major Assumptions'!$D$54</f>
        <v>11910.1752</v>
      </c>
      <c r="BJ73" s="90">
        <f>BJ72*'01 Major Assumptions'!$D$54</f>
        <v>11910.1752</v>
      </c>
      <c r="BK73" s="90">
        <f>BK72*'01 Major Assumptions'!$D$54</f>
        <v>11910.1752</v>
      </c>
      <c r="BL73" s="90">
        <f>BL72*'01 Major Assumptions'!$D$54</f>
        <v>11910.1752</v>
      </c>
      <c r="BM73" s="90">
        <f>BM72*'01 Major Assumptions'!$D$54</f>
        <v>11910.1752</v>
      </c>
      <c r="BN73" s="90">
        <f>BN72*'01 Major Assumptions'!$D$54</f>
        <v>11910.1752</v>
      </c>
      <c r="BO73" s="90">
        <f>BO72*'01 Major Assumptions'!$D$54</f>
        <v>11910.1752</v>
      </c>
    </row>
    <row r="74" spans="1:67">
      <c r="A74" s="11"/>
      <c r="B74" s="11"/>
      <c r="C74" s="11" t="s">
        <v>375</v>
      </c>
      <c r="D74" s="33"/>
      <c r="E74" s="10" t="s">
        <v>358</v>
      </c>
      <c r="F74" s="10"/>
      <c r="G74" s="90">
        <f>G72-G73</f>
        <v>0</v>
      </c>
      <c r="H74" s="90">
        <f t="shared" ref="H74:BI74" si="64">H72-H73</f>
        <v>0</v>
      </c>
      <c r="I74" s="90">
        <f t="shared" si="64"/>
        <v>0</v>
      </c>
      <c r="J74" s="90">
        <f t="shared" si="64"/>
        <v>0</v>
      </c>
      <c r="K74" s="90">
        <f t="shared" si="64"/>
        <v>0</v>
      </c>
      <c r="L74" s="90">
        <f t="shared" si="64"/>
        <v>0</v>
      </c>
      <c r="M74" s="90">
        <f t="shared" si="64"/>
        <v>0</v>
      </c>
      <c r="N74" s="90">
        <f t="shared" si="64"/>
        <v>0</v>
      </c>
      <c r="O74" s="90">
        <f t="shared" si="64"/>
        <v>0</v>
      </c>
      <c r="P74" s="90">
        <f t="shared" si="64"/>
        <v>0</v>
      </c>
      <c r="Q74" s="90">
        <f t="shared" si="64"/>
        <v>0</v>
      </c>
      <c r="R74" s="90">
        <f t="shared" si="64"/>
        <v>0</v>
      </c>
      <c r="S74" s="90">
        <f t="shared" si="64"/>
        <v>0</v>
      </c>
      <c r="T74" s="90">
        <f t="shared" si="64"/>
        <v>0</v>
      </c>
      <c r="U74" s="90">
        <f t="shared" si="64"/>
        <v>0</v>
      </c>
      <c r="V74" s="90">
        <f t="shared" si="64"/>
        <v>0</v>
      </c>
      <c r="W74" s="90">
        <f t="shared" si="64"/>
        <v>0</v>
      </c>
      <c r="X74" s="90">
        <f t="shared" si="64"/>
        <v>0</v>
      </c>
      <c r="Y74" s="63">
        <f t="shared" si="64"/>
        <v>0</v>
      </c>
      <c r="Z74" s="63">
        <f t="shared" si="64"/>
        <v>0</v>
      </c>
      <c r="AA74" s="63">
        <f t="shared" si="64"/>
        <v>0</v>
      </c>
      <c r="AB74" s="63">
        <f t="shared" si="64"/>
        <v>2.0459999999999923</v>
      </c>
      <c r="AC74" s="63">
        <f t="shared" si="64"/>
        <v>2.7109500000000253</v>
      </c>
      <c r="AD74" s="63">
        <f t="shared" si="64"/>
        <v>3.3759000000000015</v>
      </c>
      <c r="AE74" s="63">
        <f t="shared" si="64"/>
        <v>4.0408499999999776</v>
      </c>
      <c r="AF74" s="63">
        <f t="shared" si="64"/>
        <v>4.7058000000000106</v>
      </c>
      <c r="AG74" s="63">
        <f t="shared" si="64"/>
        <v>5.3707500000000437</v>
      </c>
      <c r="AH74" s="63">
        <f t="shared" si="64"/>
        <v>6.0357000000000198</v>
      </c>
      <c r="AI74" s="63">
        <f t="shared" si="64"/>
        <v>6.700649999999996</v>
      </c>
      <c r="AJ74" s="63">
        <f t="shared" si="64"/>
        <v>7.3655999999999722</v>
      </c>
      <c r="AK74" s="63">
        <f t="shared" si="64"/>
        <v>8.030550000000062</v>
      </c>
      <c r="AL74" s="63">
        <f t="shared" si="64"/>
        <v>8.6955000000000382</v>
      </c>
      <c r="AM74" s="63">
        <f t="shared" si="64"/>
        <v>9.3604500000000144</v>
      </c>
      <c r="AN74" s="63">
        <f t="shared" si="64"/>
        <v>10.025399999999991</v>
      </c>
      <c r="AO74" s="63">
        <f t="shared" si="64"/>
        <v>10.025399999999991</v>
      </c>
      <c r="AP74" s="63">
        <f t="shared" si="64"/>
        <v>10.025399999999991</v>
      </c>
      <c r="AQ74" s="63">
        <f t="shared" si="64"/>
        <v>10.025399999999991</v>
      </c>
      <c r="AR74" s="63">
        <f t="shared" si="64"/>
        <v>10.025399999999991</v>
      </c>
      <c r="AS74" s="63">
        <f t="shared" si="64"/>
        <v>10.025399999999991</v>
      </c>
      <c r="AT74" s="63">
        <f t="shared" si="64"/>
        <v>10.025399999999991</v>
      </c>
      <c r="AU74" s="63">
        <f t="shared" si="64"/>
        <v>10.025399999999991</v>
      </c>
      <c r="AV74" s="63">
        <f t="shared" si="64"/>
        <v>10.025399999999991</v>
      </c>
      <c r="AW74" s="63">
        <f t="shared" si="64"/>
        <v>10.025399999999991</v>
      </c>
      <c r="AX74" s="63">
        <f t="shared" si="64"/>
        <v>10.025399999999991</v>
      </c>
      <c r="AY74" s="63">
        <f t="shared" si="64"/>
        <v>10.025399999999991</v>
      </c>
      <c r="AZ74" s="63">
        <f t="shared" si="64"/>
        <v>10.025399999999991</v>
      </c>
      <c r="BA74" s="63">
        <f t="shared" si="64"/>
        <v>10.025399999999991</v>
      </c>
      <c r="BB74" s="63">
        <f t="shared" si="64"/>
        <v>10.025399999999991</v>
      </c>
      <c r="BC74" s="63">
        <f t="shared" si="64"/>
        <v>10.025399999999991</v>
      </c>
      <c r="BD74" s="63">
        <f t="shared" si="64"/>
        <v>10.025399999999991</v>
      </c>
      <c r="BE74" s="63">
        <f t="shared" si="64"/>
        <v>10.025399999999991</v>
      </c>
      <c r="BF74" s="63">
        <f t="shared" si="64"/>
        <v>10.025399999999991</v>
      </c>
      <c r="BG74" s="63">
        <f t="shared" si="64"/>
        <v>10.025399999999991</v>
      </c>
      <c r="BH74" s="63">
        <f t="shared" si="64"/>
        <v>10.025399999999991</v>
      </c>
      <c r="BI74" s="63">
        <f t="shared" si="64"/>
        <v>120.30479999999989</v>
      </c>
      <c r="BJ74" s="63">
        <f t="shared" ref="BJ74" si="65">BJ72-BJ73</f>
        <v>120.30479999999989</v>
      </c>
      <c r="BK74" s="63">
        <f t="shared" ref="BK74" si="66">BK72-BK73</f>
        <v>120.30479999999989</v>
      </c>
      <c r="BL74" s="63">
        <f t="shared" ref="BL74" si="67">BL72-BL73</f>
        <v>120.30479999999989</v>
      </c>
      <c r="BM74" s="63">
        <f t="shared" ref="BM74" si="68">BM72-BM73</f>
        <v>120.30479999999989</v>
      </c>
      <c r="BN74" s="63">
        <f t="shared" ref="BN74" si="69">BN72-BN73</f>
        <v>120.30479999999989</v>
      </c>
      <c r="BO74" s="63">
        <f t="shared" ref="BO74" si="70">BO72-BO73</f>
        <v>120.30479999999989</v>
      </c>
    </row>
    <row r="75" spans="1:67">
      <c r="A75" s="11"/>
      <c r="B75" s="11"/>
      <c r="C75" s="11" t="s">
        <v>376</v>
      </c>
      <c r="D75" s="33"/>
      <c r="E75" s="10" t="s">
        <v>358</v>
      </c>
      <c r="F75" s="10"/>
      <c r="G75" s="90">
        <f>G71-G72</f>
        <v>0</v>
      </c>
      <c r="H75" s="90">
        <f t="shared" ref="H75:BI75" si="71">H71-H72</f>
        <v>0</v>
      </c>
      <c r="I75" s="90">
        <f t="shared" si="71"/>
        <v>0</v>
      </c>
      <c r="J75" s="90">
        <f t="shared" si="71"/>
        <v>0</v>
      </c>
      <c r="K75" s="90">
        <f t="shared" si="71"/>
        <v>0</v>
      </c>
      <c r="L75" s="90">
        <f t="shared" si="71"/>
        <v>0</v>
      </c>
      <c r="M75" s="90">
        <f t="shared" si="71"/>
        <v>0</v>
      </c>
      <c r="N75" s="90">
        <f t="shared" si="71"/>
        <v>0</v>
      </c>
      <c r="O75" s="90">
        <f t="shared" si="71"/>
        <v>0</v>
      </c>
      <c r="P75" s="90">
        <f t="shared" si="71"/>
        <v>0</v>
      </c>
      <c r="Q75" s="90">
        <f t="shared" si="71"/>
        <v>0</v>
      </c>
      <c r="R75" s="90">
        <f t="shared" si="71"/>
        <v>0</v>
      </c>
      <c r="S75" s="90">
        <f t="shared" si="71"/>
        <v>0</v>
      </c>
      <c r="T75" s="90">
        <f t="shared" si="71"/>
        <v>0</v>
      </c>
      <c r="U75" s="90">
        <f t="shared" si="71"/>
        <v>0</v>
      </c>
      <c r="V75" s="90">
        <f t="shared" si="71"/>
        <v>0</v>
      </c>
      <c r="W75" s="90">
        <f t="shared" si="71"/>
        <v>0</v>
      </c>
      <c r="X75" s="90">
        <f t="shared" si="71"/>
        <v>0</v>
      </c>
      <c r="Y75" s="90">
        <f t="shared" si="71"/>
        <v>0</v>
      </c>
      <c r="Z75" s="90">
        <f t="shared" si="71"/>
        <v>0</v>
      </c>
      <c r="AA75" s="90">
        <f t="shared" si="71"/>
        <v>0</v>
      </c>
      <c r="AB75" s="90">
        <f t="shared" si="71"/>
        <v>0</v>
      </c>
      <c r="AC75" s="90">
        <f t="shared" si="71"/>
        <v>0</v>
      </c>
      <c r="AD75" s="90">
        <f t="shared" si="71"/>
        <v>0</v>
      </c>
      <c r="AE75" s="90">
        <f t="shared" si="71"/>
        <v>0</v>
      </c>
      <c r="AF75" s="90">
        <f t="shared" si="71"/>
        <v>0</v>
      </c>
      <c r="AG75" s="90">
        <f t="shared" si="71"/>
        <v>0</v>
      </c>
      <c r="AH75" s="90">
        <f t="shared" si="71"/>
        <v>0</v>
      </c>
      <c r="AI75" s="90">
        <f t="shared" si="71"/>
        <v>0</v>
      </c>
      <c r="AJ75" s="90">
        <f t="shared" si="71"/>
        <v>0</v>
      </c>
      <c r="AK75" s="90">
        <f t="shared" si="71"/>
        <v>0</v>
      </c>
      <c r="AL75" s="90">
        <f t="shared" si="71"/>
        <v>0</v>
      </c>
      <c r="AM75" s="90">
        <f t="shared" si="71"/>
        <v>0</v>
      </c>
      <c r="AN75" s="90">
        <f t="shared" si="71"/>
        <v>0</v>
      </c>
      <c r="AO75" s="90">
        <f t="shared" si="71"/>
        <v>0</v>
      </c>
      <c r="AP75" s="90">
        <f t="shared" si="71"/>
        <v>0</v>
      </c>
      <c r="AQ75" s="90">
        <f t="shared" si="71"/>
        <v>0</v>
      </c>
      <c r="AR75" s="90">
        <f t="shared" si="71"/>
        <v>0</v>
      </c>
      <c r="AS75" s="90">
        <f t="shared" si="71"/>
        <v>0</v>
      </c>
      <c r="AT75" s="90">
        <f t="shared" si="71"/>
        <v>0</v>
      </c>
      <c r="AU75" s="90">
        <f t="shared" si="71"/>
        <v>0</v>
      </c>
      <c r="AV75" s="90">
        <f t="shared" si="71"/>
        <v>0</v>
      </c>
      <c r="AW75" s="90">
        <f t="shared" si="71"/>
        <v>0</v>
      </c>
      <c r="AX75" s="90">
        <f t="shared" si="71"/>
        <v>0</v>
      </c>
      <c r="AY75" s="90">
        <f t="shared" si="71"/>
        <v>0</v>
      </c>
      <c r="AZ75" s="90">
        <f t="shared" si="71"/>
        <v>0</v>
      </c>
      <c r="BA75" s="90">
        <f t="shared" si="71"/>
        <v>0</v>
      </c>
      <c r="BB75" s="90">
        <f t="shared" si="71"/>
        <v>0</v>
      </c>
      <c r="BC75" s="90">
        <f t="shared" si="71"/>
        <v>0</v>
      </c>
      <c r="BD75" s="90">
        <f t="shared" si="71"/>
        <v>0</v>
      </c>
      <c r="BE75" s="90">
        <f t="shared" si="71"/>
        <v>0</v>
      </c>
      <c r="BF75" s="90">
        <f t="shared" si="71"/>
        <v>0</v>
      </c>
      <c r="BG75" s="90">
        <f t="shared" si="71"/>
        <v>0</v>
      </c>
      <c r="BH75" s="90">
        <f t="shared" si="71"/>
        <v>0</v>
      </c>
      <c r="BI75" s="90">
        <f t="shared" si="71"/>
        <v>0</v>
      </c>
      <c r="BJ75" s="90">
        <f t="shared" ref="BJ75:BO75" si="72">BJ71-BJ72</f>
        <v>0</v>
      </c>
      <c r="BK75" s="90">
        <f t="shared" si="72"/>
        <v>0</v>
      </c>
      <c r="BL75" s="90">
        <f t="shared" si="72"/>
        <v>0</v>
      </c>
      <c r="BM75" s="90">
        <f t="shared" si="72"/>
        <v>0</v>
      </c>
      <c r="BN75" s="90">
        <f t="shared" si="72"/>
        <v>0</v>
      </c>
      <c r="BO75" s="90">
        <f t="shared" si="72"/>
        <v>0</v>
      </c>
    </row>
    <row r="76" spans="1:67">
      <c r="A76" s="11"/>
      <c r="B76" s="11" t="s">
        <v>1735</v>
      </c>
      <c r="C76" s="11" t="s">
        <v>377</v>
      </c>
      <c r="D76" s="33"/>
      <c r="E76" s="10" t="s">
        <v>358</v>
      </c>
      <c r="F76" s="10"/>
      <c r="G76" s="63">
        <f>'03 CAPEX &amp; Depreciation'!$E$293*'03 CAPEX &amp; Depreciation'!$E$294*'01 Major Assumptions'!G$14/12</f>
        <v>1012.77</v>
      </c>
      <c r="H76" s="63">
        <f>'03 CAPEX &amp; Depreciation'!$E$293*'03 CAPEX &amp; Depreciation'!$E$294*'01 Major Assumptions'!H$14/12</f>
        <v>1012.77</v>
      </c>
      <c r="I76" s="63">
        <f>'03 CAPEX &amp; Depreciation'!$E$293*'03 CAPEX &amp; Depreciation'!$E$294*'01 Major Assumptions'!I$14/12</f>
        <v>1012.77</v>
      </c>
      <c r="J76" s="63">
        <f>'03 CAPEX &amp; Depreciation'!$E$293*'03 CAPEX &amp; Depreciation'!$E$294*'01 Major Assumptions'!J$14/12</f>
        <v>1012.77</v>
      </c>
      <c r="K76" s="63">
        <f>'03 CAPEX &amp; Depreciation'!$E$293*'03 CAPEX &amp; Depreciation'!$E$294*'01 Major Assumptions'!K$14/12</f>
        <v>1012.77</v>
      </c>
      <c r="L76" s="63">
        <f>'03 CAPEX &amp; Depreciation'!$E$293*'03 CAPEX &amp; Depreciation'!$E$294*'01 Major Assumptions'!L$14/12</f>
        <v>1012.77</v>
      </c>
      <c r="M76" s="63">
        <f>'03 CAPEX &amp; Depreciation'!$E$293*'03 CAPEX &amp; Depreciation'!$E$294*'01 Major Assumptions'!M$14/12</f>
        <v>1012.77</v>
      </c>
      <c r="N76" s="63">
        <f>'03 CAPEX &amp; Depreciation'!$E$293*'03 CAPEX &amp; Depreciation'!$E$294*'01 Major Assumptions'!N$14/12</f>
        <v>1012.77</v>
      </c>
      <c r="O76" s="63">
        <f>'03 CAPEX &amp; Depreciation'!$E$293*'03 CAPEX &amp; Depreciation'!$E$294*'01 Major Assumptions'!O$14/12</f>
        <v>1012.77</v>
      </c>
      <c r="P76" s="63">
        <f>'03 CAPEX &amp; Depreciation'!$E$293*'03 CAPEX &amp; Depreciation'!$E$294*'01 Major Assumptions'!P$14/12</f>
        <v>1012.77</v>
      </c>
      <c r="Q76" s="63">
        <f>'03 CAPEX &amp; Depreciation'!$E$293*'03 CAPEX &amp; Depreciation'!$E$294*'01 Major Assumptions'!Q$14/12</f>
        <v>1012.77</v>
      </c>
      <c r="R76" s="63">
        <f>'03 CAPEX &amp; Depreciation'!$E$293*'03 CAPEX &amp; Depreciation'!$E$294*'01 Major Assumptions'!R$14/12</f>
        <v>1012.77</v>
      </c>
      <c r="S76" s="63">
        <f>'03 CAPEX &amp; Depreciation'!$E$293*'03 CAPEX &amp; Depreciation'!$E$294*'01 Major Assumptions'!S$14/12</f>
        <v>1012.77</v>
      </c>
      <c r="T76" s="63">
        <f>'03 CAPEX &amp; Depreciation'!$E$293*'03 CAPEX &amp; Depreciation'!$E$294*'01 Major Assumptions'!T$14/12</f>
        <v>1012.77</v>
      </c>
      <c r="U76" s="63">
        <f>'03 CAPEX &amp; Depreciation'!$E$293*'03 CAPEX &amp; Depreciation'!$E$294*'01 Major Assumptions'!U$14/12</f>
        <v>1012.77</v>
      </c>
      <c r="V76" s="63">
        <f>'03 CAPEX &amp; Depreciation'!$E$293*'03 CAPEX &amp; Depreciation'!$E$294*'01 Major Assumptions'!V$14/12</f>
        <v>1012.77</v>
      </c>
      <c r="W76" s="63">
        <f>'03 CAPEX &amp; Depreciation'!$E$293*'03 CAPEX &amp; Depreciation'!$E$294*'01 Major Assumptions'!W$14/12</f>
        <v>1012.77</v>
      </c>
      <c r="X76" s="63">
        <f>'03 CAPEX &amp; Depreciation'!$E$293*'03 CAPEX &amp; Depreciation'!$E$294*'01 Major Assumptions'!X$14/12</f>
        <v>1012.77</v>
      </c>
      <c r="Y76" s="63">
        <f>'03 CAPEX &amp; Depreciation'!$E$293*'03 CAPEX &amp; Depreciation'!$E$294*'01 Major Assumptions'!Y$14/12</f>
        <v>1012.77</v>
      </c>
      <c r="Z76" s="63">
        <f>'03 CAPEX &amp; Depreciation'!$E$293*'03 CAPEX &amp; Depreciation'!$E$294*'01 Major Assumptions'!Z$14/12</f>
        <v>1012.77</v>
      </c>
      <c r="AA76" s="63">
        <f>'03 CAPEX &amp; Depreciation'!$E$293*'03 CAPEX &amp; Depreciation'!$E$294*'01 Major Assumptions'!AA$14/12</f>
        <v>1012.77</v>
      </c>
      <c r="AB76" s="63">
        <f>'03 CAPEX &amp; Depreciation'!$E$293*'03 CAPEX &amp; Depreciation'!$E$294*'01 Major Assumptions'!AB$14/12</f>
        <v>1012.77</v>
      </c>
      <c r="AC76" s="63">
        <f>'03 CAPEX &amp; Depreciation'!$E$293*'03 CAPEX &amp; Depreciation'!$E$294*'01 Major Assumptions'!AC$14/12</f>
        <v>1012.77</v>
      </c>
      <c r="AD76" s="63">
        <f>'03 CAPEX &amp; Depreciation'!$E$293*'03 CAPEX &amp; Depreciation'!$E$294*'01 Major Assumptions'!AD$14/12</f>
        <v>1012.77</v>
      </c>
      <c r="AE76" s="63">
        <f>'03 CAPEX &amp; Depreciation'!$E$293*'03 CAPEX &amp; Depreciation'!$E$294*'01 Major Assumptions'!AE$14/12</f>
        <v>1012.77</v>
      </c>
      <c r="AF76" s="63">
        <f>'03 CAPEX &amp; Depreciation'!$E$293*'03 CAPEX &amp; Depreciation'!$E$294*'01 Major Assumptions'!AF$14/12</f>
        <v>1012.77</v>
      </c>
      <c r="AG76" s="63">
        <f>'03 CAPEX &amp; Depreciation'!$E$293*'03 CAPEX &amp; Depreciation'!$E$294*'01 Major Assumptions'!AG$14/12</f>
        <v>1012.77</v>
      </c>
      <c r="AH76" s="63">
        <f>'03 CAPEX &amp; Depreciation'!$E$293*'03 CAPEX &amp; Depreciation'!$E$294*'01 Major Assumptions'!AH$14/12</f>
        <v>1012.77</v>
      </c>
      <c r="AI76" s="63">
        <f>'03 CAPEX &amp; Depreciation'!$E$293*'03 CAPEX &amp; Depreciation'!$E$294*'01 Major Assumptions'!AI$14/12</f>
        <v>1012.77</v>
      </c>
      <c r="AJ76" s="63">
        <f>'03 CAPEX &amp; Depreciation'!$E$293*'03 CAPEX &amp; Depreciation'!$E$294*'01 Major Assumptions'!AJ$14/12</f>
        <v>1012.77</v>
      </c>
      <c r="AK76" s="63">
        <f>'03 CAPEX &amp; Depreciation'!$E$293*'03 CAPEX &amp; Depreciation'!$E$294*'01 Major Assumptions'!AK$14/12</f>
        <v>1012.77</v>
      </c>
      <c r="AL76" s="63">
        <f>'03 CAPEX &amp; Depreciation'!$E$293*'03 CAPEX &amp; Depreciation'!$E$294*'01 Major Assumptions'!AL$14/12</f>
        <v>1012.77</v>
      </c>
      <c r="AM76" s="63">
        <f>'03 CAPEX &amp; Depreciation'!$E$293*'03 CAPEX &amp; Depreciation'!$E$294*'01 Major Assumptions'!AM$14/12</f>
        <v>1012.77</v>
      </c>
      <c r="AN76" s="63">
        <f>'03 CAPEX &amp; Depreciation'!$E$293*'03 CAPEX &amp; Depreciation'!$E$294*'01 Major Assumptions'!AN$14/12</f>
        <v>1012.77</v>
      </c>
      <c r="AO76" s="63">
        <f>'03 CAPEX &amp; Depreciation'!$E$293*'03 CAPEX &amp; Depreciation'!$E$294*'01 Major Assumptions'!AO$14/12</f>
        <v>1012.77</v>
      </c>
      <c r="AP76" s="63">
        <f>'03 CAPEX &amp; Depreciation'!$E$293*'03 CAPEX &amp; Depreciation'!$E$294*'01 Major Assumptions'!AP$14/12</f>
        <v>1012.77</v>
      </c>
      <c r="AQ76" s="63">
        <f>'03 CAPEX &amp; Depreciation'!$E$293*'03 CAPEX &amp; Depreciation'!$E$294*'01 Major Assumptions'!AQ$14/12</f>
        <v>1012.77</v>
      </c>
      <c r="AR76" s="63">
        <f>'03 CAPEX &amp; Depreciation'!$E$293*'03 CAPEX &amp; Depreciation'!$E$294*'01 Major Assumptions'!AR$14/12</f>
        <v>1012.77</v>
      </c>
      <c r="AS76" s="63">
        <f>'03 CAPEX &amp; Depreciation'!$E$293*'03 CAPEX &amp; Depreciation'!$E$294*'01 Major Assumptions'!AS$14/12</f>
        <v>1012.77</v>
      </c>
      <c r="AT76" s="63">
        <f>'03 CAPEX &amp; Depreciation'!$E$293*'03 CAPEX &amp; Depreciation'!$E$294*'01 Major Assumptions'!AT$14/12</f>
        <v>1012.77</v>
      </c>
      <c r="AU76" s="63">
        <f>'03 CAPEX &amp; Depreciation'!$E$293*'03 CAPEX &amp; Depreciation'!$E$294*'01 Major Assumptions'!AU$14/12</f>
        <v>1012.77</v>
      </c>
      <c r="AV76" s="63">
        <f>'03 CAPEX &amp; Depreciation'!$E$293*'03 CAPEX &amp; Depreciation'!$E$294*'01 Major Assumptions'!AV$14/12</f>
        <v>1012.77</v>
      </c>
      <c r="AW76" s="63">
        <f>'03 CAPEX &amp; Depreciation'!$E$293*'03 CAPEX &amp; Depreciation'!$E$294*'01 Major Assumptions'!AW$14/12</f>
        <v>1012.77</v>
      </c>
      <c r="AX76" s="63">
        <f>'03 CAPEX &amp; Depreciation'!$E$293*'03 CAPEX &amp; Depreciation'!$E$294*'01 Major Assumptions'!AX$14/12</f>
        <v>1012.77</v>
      </c>
      <c r="AY76" s="63">
        <f>'03 CAPEX &amp; Depreciation'!$E$293*'03 CAPEX &amp; Depreciation'!$E$294*'01 Major Assumptions'!AY$14/12</f>
        <v>1012.77</v>
      </c>
      <c r="AZ76" s="63">
        <f>'03 CAPEX &amp; Depreciation'!$E$293*'03 CAPEX &amp; Depreciation'!$E$294*'01 Major Assumptions'!AZ$14/12</f>
        <v>1012.77</v>
      </c>
      <c r="BA76" s="63">
        <f>'03 CAPEX &amp; Depreciation'!$E$293*'03 CAPEX &amp; Depreciation'!$E$294*'01 Major Assumptions'!BA$14/12</f>
        <v>1012.77</v>
      </c>
      <c r="BB76" s="63">
        <f>'03 CAPEX &amp; Depreciation'!$E$293*'03 CAPEX &amp; Depreciation'!$E$294*'01 Major Assumptions'!BB$14/12</f>
        <v>1012.77</v>
      </c>
      <c r="BC76" s="63">
        <f>'03 CAPEX &amp; Depreciation'!$E$293*'03 CAPEX &amp; Depreciation'!$E$294*'01 Major Assumptions'!BC$14/12</f>
        <v>1012.77</v>
      </c>
      <c r="BD76" s="63">
        <f>'03 CAPEX &amp; Depreciation'!$E$293*'03 CAPEX &amp; Depreciation'!$E$294*'01 Major Assumptions'!BD$14/12</f>
        <v>1012.77</v>
      </c>
      <c r="BE76" s="63">
        <f>'03 CAPEX &amp; Depreciation'!$E$293*'03 CAPEX &amp; Depreciation'!$E$294*'01 Major Assumptions'!BE$14/12</f>
        <v>1012.77</v>
      </c>
      <c r="BF76" s="63">
        <f>'03 CAPEX &amp; Depreciation'!$E$293*'03 CAPEX &amp; Depreciation'!$E$294*'01 Major Assumptions'!BF$14/12</f>
        <v>1012.77</v>
      </c>
      <c r="BG76" s="63">
        <f>'03 CAPEX &amp; Depreciation'!$E$293*'03 CAPEX &amp; Depreciation'!$E$294*'01 Major Assumptions'!BG$14/12</f>
        <v>1012.77</v>
      </c>
      <c r="BH76" s="63">
        <f>'03 CAPEX &amp; Depreciation'!$E$293*'03 CAPEX &amp; Depreciation'!$E$294*'01 Major Assumptions'!BH$14/12</f>
        <v>1012.77</v>
      </c>
      <c r="BI76" s="90">
        <f>'03 CAPEX &amp; Depreciation'!$E$293*'03 CAPEX &amp; Depreciation'!$E$294*'01 Major Assumptions'!BI$14/12</f>
        <v>12153.24</v>
      </c>
      <c r="BJ76" s="90">
        <f>'03 CAPEX &amp; Depreciation'!$E$293*'03 CAPEX &amp; Depreciation'!$E$294*'01 Major Assumptions'!BJ$14/12</f>
        <v>12153.24</v>
      </c>
      <c r="BK76" s="90">
        <f>'03 CAPEX &amp; Depreciation'!$E$293*'03 CAPEX &amp; Depreciation'!$E$294*'01 Major Assumptions'!BK$14/12</f>
        <v>12153.24</v>
      </c>
      <c r="BL76" s="90">
        <f>'03 CAPEX &amp; Depreciation'!$E$293*'03 CAPEX &amp; Depreciation'!$E$294*'01 Major Assumptions'!BL$14/12</f>
        <v>12153.24</v>
      </c>
      <c r="BM76" s="90">
        <f>'03 CAPEX &amp; Depreciation'!$E$293*'03 CAPEX &amp; Depreciation'!$E$294*'01 Major Assumptions'!BM$14/12</f>
        <v>12153.24</v>
      </c>
      <c r="BN76" s="90">
        <f>'03 CAPEX &amp; Depreciation'!$E$293*'03 CAPEX &amp; Depreciation'!$E$294*'01 Major Assumptions'!BN$14/12</f>
        <v>12153.24</v>
      </c>
      <c r="BO76" s="90">
        <f>'03 CAPEX &amp; Depreciation'!$E$293*'03 CAPEX &amp; Depreciation'!$E$294*'01 Major Assumptions'!BO$14/12</f>
        <v>12153.24</v>
      </c>
    </row>
    <row r="77" spans="1:67">
      <c r="A77" s="11"/>
      <c r="B77" s="11"/>
      <c r="C77" s="11" t="s">
        <v>378</v>
      </c>
      <c r="D77" s="33"/>
      <c r="E77" s="10" t="s">
        <v>7</v>
      </c>
      <c r="F77" s="10"/>
      <c r="G77" s="6">
        <f>IF(G76=0,0,G73/G76)</f>
        <v>0</v>
      </c>
      <c r="H77" s="6">
        <f t="shared" ref="H77:BI77" si="73">IF(H76=0,0,H73/H76)</f>
        <v>0</v>
      </c>
      <c r="I77" s="6">
        <f t="shared" si="73"/>
        <v>0</v>
      </c>
      <c r="J77" s="6">
        <f t="shared" si="73"/>
        <v>0</v>
      </c>
      <c r="K77" s="6">
        <f t="shared" si="73"/>
        <v>0</v>
      </c>
      <c r="L77" s="6">
        <f t="shared" si="73"/>
        <v>0</v>
      </c>
      <c r="M77" s="6">
        <f t="shared" si="73"/>
        <v>0</v>
      </c>
      <c r="N77" s="6">
        <f t="shared" si="73"/>
        <v>0</v>
      </c>
      <c r="O77" s="6">
        <f t="shared" si="73"/>
        <v>0</v>
      </c>
      <c r="P77" s="6">
        <f t="shared" si="73"/>
        <v>0</v>
      </c>
      <c r="Q77" s="6">
        <f t="shared" si="73"/>
        <v>0</v>
      </c>
      <c r="R77" s="6">
        <f t="shared" si="73"/>
        <v>0</v>
      </c>
      <c r="S77" s="6">
        <f t="shared" si="73"/>
        <v>0</v>
      </c>
      <c r="T77" s="6">
        <f t="shared" si="73"/>
        <v>0</v>
      </c>
      <c r="U77" s="6">
        <f t="shared" si="73"/>
        <v>0</v>
      </c>
      <c r="V77" s="6">
        <f t="shared" si="73"/>
        <v>0</v>
      </c>
      <c r="W77" s="6">
        <f t="shared" si="73"/>
        <v>0</v>
      </c>
      <c r="X77" s="6">
        <f t="shared" si="73"/>
        <v>0</v>
      </c>
      <c r="Y77" s="6">
        <f t="shared" si="73"/>
        <v>0</v>
      </c>
      <c r="Z77" s="6">
        <f t="shared" si="73"/>
        <v>0</v>
      </c>
      <c r="AA77" s="6">
        <f t="shared" si="73"/>
        <v>0</v>
      </c>
      <c r="AB77" s="6">
        <f t="shared" si="73"/>
        <v>0.2</v>
      </c>
      <c r="AC77" s="6">
        <f t="shared" si="73"/>
        <v>0.26499999999999996</v>
      </c>
      <c r="AD77" s="6">
        <f t="shared" si="73"/>
        <v>0.33</v>
      </c>
      <c r="AE77" s="6">
        <f t="shared" si="73"/>
        <v>0.39500000000000018</v>
      </c>
      <c r="AF77" s="6">
        <f t="shared" si="73"/>
        <v>0.46</v>
      </c>
      <c r="AG77" s="6">
        <f t="shared" si="73"/>
        <v>0.52500000000000002</v>
      </c>
      <c r="AH77" s="6">
        <f t="shared" si="73"/>
        <v>0.59</v>
      </c>
      <c r="AI77" s="6">
        <f t="shared" si="73"/>
        <v>0.65499999999999992</v>
      </c>
      <c r="AJ77" s="6">
        <f t="shared" si="73"/>
        <v>0.72000000000000008</v>
      </c>
      <c r="AK77" s="6">
        <f t="shared" si="73"/>
        <v>0.78500000000000003</v>
      </c>
      <c r="AL77" s="6">
        <f t="shared" si="73"/>
        <v>0.85</v>
      </c>
      <c r="AM77" s="6">
        <f t="shared" si="73"/>
        <v>0.91500000000000004</v>
      </c>
      <c r="AN77" s="6">
        <f t="shared" si="73"/>
        <v>0.97999999999999987</v>
      </c>
      <c r="AO77" s="6">
        <f t="shared" si="73"/>
        <v>0.97999999999999987</v>
      </c>
      <c r="AP77" s="6">
        <f t="shared" si="73"/>
        <v>0.97999999999999987</v>
      </c>
      <c r="AQ77" s="6">
        <f t="shared" si="73"/>
        <v>0.97999999999999987</v>
      </c>
      <c r="AR77" s="6">
        <f t="shared" si="73"/>
        <v>0.97999999999999987</v>
      </c>
      <c r="AS77" s="6">
        <f t="shared" si="73"/>
        <v>0.97999999999999987</v>
      </c>
      <c r="AT77" s="6">
        <f t="shared" si="73"/>
        <v>0.97999999999999987</v>
      </c>
      <c r="AU77" s="6">
        <f t="shared" si="73"/>
        <v>0.97999999999999987</v>
      </c>
      <c r="AV77" s="6">
        <f t="shared" si="73"/>
        <v>0.97999999999999987</v>
      </c>
      <c r="AW77" s="6">
        <f t="shared" si="73"/>
        <v>0.97999999999999987</v>
      </c>
      <c r="AX77" s="6">
        <f t="shared" si="73"/>
        <v>0.97999999999999987</v>
      </c>
      <c r="AY77" s="6">
        <f t="shared" si="73"/>
        <v>0.97999999999999987</v>
      </c>
      <c r="AZ77" s="6">
        <f t="shared" si="73"/>
        <v>0.97999999999999987</v>
      </c>
      <c r="BA77" s="6">
        <f t="shared" si="73"/>
        <v>0.97999999999999987</v>
      </c>
      <c r="BB77" s="6">
        <f t="shared" si="73"/>
        <v>0.97999999999999987</v>
      </c>
      <c r="BC77" s="6">
        <f t="shared" si="73"/>
        <v>0.97999999999999987</v>
      </c>
      <c r="BD77" s="6">
        <f t="shared" si="73"/>
        <v>0.97999999999999987</v>
      </c>
      <c r="BE77" s="6">
        <f t="shared" si="73"/>
        <v>0.97999999999999987</v>
      </c>
      <c r="BF77" s="6">
        <f t="shared" si="73"/>
        <v>0.97999999999999987</v>
      </c>
      <c r="BG77" s="6">
        <f t="shared" si="73"/>
        <v>0.97999999999999987</v>
      </c>
      <c r="BH77" s="6">
        <f t="shared" si="73"/>
        <v>0.97999999999999987</v>
      </c>
      <c r="BI77" s="6">
        <f t="shared" si="73"/>
        <v>0.98</v>
      </c>
      <c r="BJ77" s="6">
        <f t="shared" ref="BJ77" si="74">IF(BJ76=0,0,BJ73/BJ76)</f>
        <v>0.98</v>
      </c>
      <c r="BK77" s="6">
        <f t="shared" ref="BK77" si="75">IF(BK76=0,0,BK73/BK76)</f>
        <v>0.98</v>
      </c>
      <c r="BL77" s="6">
        <f t="shared" ref="BL77" si="76">IF(BL76=0,0,BL73/BL76)</f>
        <v>0.98</v>
      </c>
      <c r="BM77" s="6">
        <f t="shared" ref="BM77" si="77">IF(BM76=0,0,BM73/BM76)</f>
        <v>0.98</v>
      </c>
      <c r="BN77" s="6">
        <f t="shared" ref="BN77" si="78">IF(BN76=0,0,BN73/BN76)</f>
        <v>0.98</v>
      </c>
      <c r="BO77" s="6">
        <f t="shared" ref="BO77" si="79">IF(BO76=0,0,BO73/BO76)</f>
        <v>0.98</v>
      </c>
    </row>
    <row r="78" spans="1:67">
      <c r="A78" s="11"/>
      <c r="B78" s="11"/>
      <c r="C78" s="11"/>
      <c r="D78" s="33"/>
      <c r="E78" s="43"/>
      <c r="F78" s="43"/>
      <c r="G78" s="33"/>
      <c r="H78" s="33"/>
      <c r="I78" s="33"/>
      <c r="J78" s="33"/>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3"/>
      <c r="AP78" s="33"/>
      <c r="AQ78" s="33"/>
      <c r="AR78" s="33"/>
      <c r="AS78" s="33"/>
      <c r="AT78" s="33"/>
      <c r="AU78" s="33"/>
      <c r="AV78" s="33"/>
      <c r="AW78" s="33"/>
      <c r="AX78" s="33"/>
      <c r="AY78" s="33"/>
      <c r="AZ78" s="33"/>
      <c r="BA78" s="33"/>
      <c r="BB78" s="33"/>
      <c r="BC78" s="33"/>
      <c r="BD78" s="33"/>
      <c r="BE78" s="33"/>
      <c r="BF78" s="33"/>
      <c r="BG78" s="33"/>
      <c r="BH78" s="33"/>
      <c r="BI78" s="33"/>
      <c r="BJ78" s="33"/>
      <c r="BK78" s="33"/>
      <c r="BL78" s="33"/>
      <c r="BM78" s="33"/>
      <c r="BN78" s="33"/>
      <c r="BO78" s="33"/>
    </row>
    <row r="79" spans="1:67">
      <c r="A79" s="18" t="s">
        <v>379</v>
      </c>
      <c r="B79" s="18"/>
      <c r="C79" s="18"/>
      <c r="D79" s="39"/>
      <c r="E79" s="39"/>
      <c r="F79" s="39"/>
      <c r="G79" s="39"/>
      <c r="H79" s="39"/>
      <c r="I79" s="39"/>
      <c r="J79" s="39"/>
      <c r="K79" s="39"/>
      <c r="L79" s="39"/>
      <c r="M79" s="39"/>
      <c r="N79" s="39"/>
      <c r="O79" s="39"/>
      <c r="P79" s="39"/>
      <c r="Q79" s="39"/>
      <c r="R79" s="39"/>
      <c r="S79" s="39"/>
      <c r="T79" s="39"/>
      <c r="U79" s="39"/>
      <c r="V79" s="39"/>
      <c r="W79" s="39"/>
      <c r="X79" s="39"/>
      <c r="Y79" s="39"/>
      <c r="Z79" s="39"/>
      <c r="AA79" s="39"/>
      <c r="AB79" s="39"/>
      <c r="AC79" s="39"/>
      <c r="AD79" s="39"/>
      <c r="AE79" s="39"/>
      <c r="AF79" s="39"/>
      <c r="AG79" s="39"/>
      <c r="AH79" s="39"/>
      <c r="AI79" s="39"/>
      <c r="AJ79" s="39"/>
      <c r="AK79" s="39"/>
      <c r="AL79" s="39"/>
      <c r="AM79" s="39"/>
      <c r="AN79" s="39"/>
      <c r="AO79" s="39"/>
      <c r="AP79" s="39"/>
      <c r="AQ79" s="39"/>
      <c r="AR79" s="39"/>
      <c r="AS79" s="39"/>
      <c r="AT79" s="39"/>
      <c r="AU79" s="39"/>
      <c r="AV79" s="39"/>
      <c r="AW79" s="39"/>
      <c r="AX79" s="39"/>
      <c r="AY79" s="39"/>
      <c r="AZ79" s="39"/>
      <c r="BA79" s="39"/>
      <c r="BB79" s="39"/>
      <c r="BC79" s="39"/>
      <c r="BD79" s="39"/>
      <c r="BE79" s="39"/>
      <c r="BF79" s="39"/>
      <c r="BG79" s="39"/>
      <c r="BH79" s="39"/>
      <c r="BI79" s="39"/>
      <c r="BJ79" s="39"/>
      <c r="BK79" s="39"/>
      <c r="BL79" s="39"/>
      <c r="BM79" s="39"/>
      <c r="BN79" s="39"/>
      <c r="BO79" s="39"/>
    </row>
    <row r="80" spans="1:67">
      <c r="A80" s="11"/>
      <c r="B80" s="11"/>
      <c r="C80" s="11" t="s">
        <v>72</v>
      </c>
      <c r="D80" s="33"/>
      <c r="E80" s="10" t="s">
        <v>358</v>
      </c>
      <c r="F80" s="10"/>
      <c r="G80" s="90">
        <f>G62</f>
        <v>0</v>
      </c>
      <c r="H80" s="90">
        <f t="shared" ref="H80:BI80" si="80">H62</f>
        <v>0</v>
      </c>
      <c r="I80" s="90">
        <f t="shared" si="80"/>
        <v>0</v>
      </c>
      <c r="J80" s="90">
        <f t="shared" si="80"/>
        <v>0</v>
      </c>
      <c r="K80" s="90">
        <f t="shared" si="80"/>
        <v>0</v>
      </c>
      <c r="L80" s="90">
        <f t="shared" si="80"/>
        <v>0</v>
      </c>
      <c r="M80" s="90">
        <f t="shared" si="80"/>
        <v>0</v>
      </c>
      <c r="N80" s="90">
        <f t="shared" si="80"/>
        <v>0</v>
      </c>
      <c r="O80" s="90">
        <f t="shared" si="80"/>
        <v>0</v>
      </c>
      <c r="P80" s="90">
        <f t="shared" si="80"/>
        <v>0</v>
      </c>
      <c r="Q80" s="90">
        <f t="shared" si="80"/>
        <v>0</v>
      </c>
      <c r="R80" s="90">
        <f t="shared" si="80"/>
        <v>0</v>
      </c>
      <c r="S80" s="90">
        <f t="shared" si="80"/>
        <v>0</v>
      </c>
      <c r="T80" s="90">
        <f t="shared" si="80"/>
        <v>0</v>
      </c>
      <c r="U80" s="90">
        <f t="shared" si="80"/>
        <v>0</v>
      </c>
      <c r="V80" s="90">
        <f t="shared" si="80"/>
        <v>0</v>
      </c>
      <c r="W80" s="90">
        <f t="shared" si="80"/>
        <v>0</v>
      </c>
      <c r="X80" s="90">
        <f t="shared" si="80"/>
        <v>0</v>
      </c>
      <c r="Y80" s="63">
        <f t="shared" si="80"/>
        <v>0</v>
      </c>
      <c r="Z80" s="63">
        <f t="shared" si="80"/>
        <v>0</v>
      </c>
      <c r="AA80" s="63">
        <f t="shared" si="80"/>
        <v>0</v>
      </c>
      <c r="AB80" s="63">
        <f t="shared" si="80"/>
        <v>259.16000000000003</v>
      </c>
      <c r="AC80" s="63">
        <f t="shared" si="80"/>
        <v>343.38699999999994</v>
      </c>
      <c r="AD80" s="63">
        <f t="shared" si="80"/>
        <v>427.61400000000009</v>
      </c>
      <c r="AE80" s="63">
        <f t="shared" si="80"/>
        <v>511.84100000000018</v>
      </c>
      <c r="AF80" s="63">
        <f t="shared" si="80"/>
        <v>596.0680000000001</v>
      </c>
      <c r="AG80" s="63">
        <f t="shared" si="80"/>
        <v>680.29500000000007</v>
      </c>
      <c r="AH80" s="63">
        <f t="shared" si="80"/>
        <v>764.52199999999993</v>
      </c>
      <c r="AI80" s="63">
        <f t="shared" si="80"/>
        <v>848.74899999999991</v>
      </c>
      <c r="AJ80" s="90">
        <f t="shared" si="80"/>
        <v>932.97600000000011</v>
      </c>
      <c r="AK80" s="90">
        <f t="shared" si="80"/>
        <v>1017.2030000000002</v>
      </c>
      <c r="AL80" s="90">
        <f t="shared" si="80"/>
        <v>1101.43</v>
      </c>
      <c r="AM80" s="90">
        <f t="shared" si="80"/>
        <v>1185.6570000000002</v>
      </c>
      <c r="AN80" s="90">
        <f t="shared" si="80"/>
        <v>1269.884</v>
      </c>
      <c r="AO80" s="90">
        <f t="shared" si="80"/>
        <v>1269.884</v>
      </c>
      <c r="AP80" s="90">
        <f t="shared" si="80"/>
        <v>1269.884</v>
      </c>
      <c r="AQ80" s="90">
        <f t="shared" si="80"/>
        <v>1269.884</v>
      </c>
      <c r="AR80" s="90">
        <f t="shared" si="80"/>
        <v>1269.884</v>
      </c>
      <c r="AS80" s="90">
        <f t="shared" si="80"/>
        <v>1269.884</v>
      </c>
      <c r="AT80" s="90">
        <f t="shared" si="80"/>
        <v>1269.884</v>
      </c>
      <c r="AU80" s="90">
        <f t="shared" si="80"/>
        <v>1269.884</v>
      </c>
      <c r="AV80" s="90">
        <f t="shared" si="80"/>
        <v>1269.884</v>
      </c>
      <c r="AW80" s="90">
        <f t="shared" si="80"/>
        <v>1269.884</v>
      </c>
      <c r="AX80" s="90">
        <f t="shared" si="80"/>
        <v>1269.884</v>
      </c>
      <c r="AY80" s="90">
        <f t="shared" si="80"/>
        <v>1269.884</v>
      </c>
      <c r="AZ80" s="90">
        <f t="shared" si="80"/>
        <v>1269.884</v>
      </c>
      <c r="BA80" s="90">
        <f t="shared" si="80"/>
        <v>1269.884</v>
      </c>
      <c r="BB80" s="90">
        <f t="shared" si="80"/>
        <v>1269.884</v>
      </c>
      <c r="BC80" s="90">
        <f t="shared" si="80"/>
        <v>1269.884</v>
      </c>
      <c r="BD80" s="90">
        <f t="shared" si="80"/>
        <v>1269.884</v>
      </c>
      <c r="BE80" s="90">
        <f t="shared" si="80"/>
        <v>1269.884</v>
      </c>
      <c r="BF80" s="90">
        <f t="shared" si="80"/>
        <v>1269.884</v>
      </c>
      <c r="BG80" s="90">
        <f t="shared" si="80"/>
        <v>1269.884</v>
      </c>
      <c r="BH80" s="90">
        <f t="shared" si="80"/>
        <v>1269.884</v>
      </c>
      <c r="BI80" s="90">
        <f t="shared" si="80"/>
        <v>15238.608</v>
      </c>
      <c r="BJ80" s="90">
        <f t="shared" ref="BJ80:BO80" si="81">BJ62</f>
        <v>15238.608</v>
      </c>
      <c r="BK80" s="90">
        <f t="shared" si="81"/>
        <v>15238.608</v>
      </c>
      <c r="BL80" s="90">
        <f t="shared" si="81"/>
        <v>15238.608</v>
      </c>
      <c r="BM80" s="90">
        <f t="shared" si="81"/>
        <v>15238.608</v>
      </c>
      <c r="BN80" s="90">
        <f t="shared" si="81"/>
        <v>15238.608</v>
      </c>
      <c r="BO80" s="90">
        <f t="shared" si="81"/>
        <v>15238.608</v>
      </c>
    </row>
    <row r="81" spans="1:67">
      <c r="A81" s="11"/>
      <c r="B81" s="11"/>
      <c r="C81" s="11" t="s">
        <v>252</v>
      </c>
      <c r="D81" s="33"/>
      <c r="E81" s="10" t="s">
        <v>358</v>
      </c>
      <c r="F81" s="10"/>
      <c r="G81" s="90">
        <f>G75</f>
        <v>0</v>
      </c>
      <c r="H81" s="90">
        <f t="shared" ref="H81:BI81" si="82">H75</f>
        <v>0</v>
      </c>
      <c r="I81" s="90">
        <f t="shared" si="82"/>
        <v>0</v>
      </c>
      <c r="J81" s="90">
        <f t="shared" si="82"/>
        <v>0</v>
      </c>
      <c r="K81" s="90">
        <f t="shared" si="82"/>
        <v>0</v>
      </c>
      <c r="L81" s="90">
        <f t="shared" si="82"/>
        <v>0</v>
      </c>
      <c r="M81" s="90">
        <f t="shared" si="82"/>
        <v>0</v>
      </c>
      <c r="N81" s="90">
        <f t="shared" si="82"/>
        <v>0</v>
      </c>
      <c r="O81" s="90">
        <f t="shared" si="82"/>
        <v>0</v>
      </c>
      <c r="P81" s="90">
        <f t="shared" si="82"/>
        <v>0</v>
      </c>
      <c r="Q81" s="90">
        <f t="shared" si="82"/>
        <v>0</v>
      </c>
      <c r="R81" s="90">
        <f t="shared" si="82"/>
        <v>0</v>
      </c>
      <c r="S81" s="90">
        <f t="shared" si="82"/>
        <v>0</v>
      </c>
      <c r="T81" s="90">
        <f t="shared" si="82"/>
        <v>0</v>
      </c>
      <c r="U81" s="90">
        <f t="shared" si="82"/>
        <v>0</v>
      </c>
      <c r="V81" s="90">
        <f t="shared" si="82"/>
        <v>0</v>
      </c>
      <c r="W81" s="90">
        <f t="shared" si="82"/>
        <v>0</v>
      </c>
      <c r="X81" s="90">
        <f t="shared" si="82"/>
        <v>0</v>
      </c>
      <c r="Y81" s="90">
        <f t="shared" si="82"/>
        <v>0</v>
      </c>
      <c r="Z81" s="90">
        <f t="shared" si="82"/>
        <v>0</v>
      </c>
      <c r="AA81" s="90">
        <f t="shared" si="82"/>
        <v>0</v>
      </c>
      <c r="AB81" s="90">
        <f t="shared" si="82"/>
        <v>0</v>
      </c>
      <c r="AC81" s="90">
        <f t="shared" si="82"/>
        <v>0</v>
      </c>
      <c r="AD81" s="90">
        <f t="shared" si="82"/>
        <v>0</v>
      </c>
      <c r="AE81" s="90">
        <f t="shared" si="82"/>
        <v>0</v>
      </c>
      <c r="AF81" s="90">
        <f t="shared" si="82"/>
        <v>0</v>
      </c>
      <c r="AG81" s="90">
        <f t="shared" si="82"/>
        <v>0</v>
      </c>
      <c r="AH81" s="90">
        <f t="shared" si="82"/>
        <v>0</v>
      </c>
      <c r="AI81" s="90">
        <f t="shared" si="82"/>
        <v>0</v>
      </c>
      <c r="AJ81" s="90">
        <f t="shared" si="82"/>
        <v>0</v>
      </c>
      <c r="AK81" s="90">
        <f t="shared" si="82"/>
        <v>0</v>
      </c>
      <c r="AL81" s="90">
        <f t="shared" si="82"/>
        <v>0</v>
      </c>
      <c r="AM81" s="90">
        <f t="shared" si="82"/>
        <v>0</v>
      </c>
      <c r="AN81" s="90">
        <f t="shared" si="82"/>
        <v>0</v>
      </c>
      <c r="AO81" s="90">
        <f t="shared" si="82"/>
        <v>0</v>
      </c>
      <c r="AP81" s="90">
        <f t="shared" si="82"/>
        <v>0</v>
      </c>
      <c r="AQ81" s="90">
        <f t="shared" si="82"/>
        <v>0</v>
      </c>
      <c r="AR81" s="90">
        <f t="shared" si="82"/>
        <v>0</v>
      </c>
      <c r="AS81" s="90">
        <f t="shared" si="82"/>
        <v>0</v>
      </c>
      <c r="AT81" s="90">
        <f t="shared" si="82"/>
        <v>0</v>
      </c>
      <c r="AU81" s="90">
        <f t="shared" si="82"/>
        <v>0</v>
      </c>
      <c r="AV81" s="90">
        <f t="shared" si="82"/>
        <v>0</v>
      </c>
      <c r="AW81" s="90">
        <f t="shared" si="82"/>
        <v>0</v>
      </c>
      <c r="AX81" s="90">
        <f t="shared" si="82"/>
        <v>0</v>
      </c>
      <c r="AY81" s="90">
        <f t="shared" si="82"/>
        <v>0</v>
      </c>
      <c r="AZ81" s="90">
        <f t="shared" si="82"/>
        <v>0</v>
      </c>
      <c r="BA81" s="90">
        <f t="shared" si="82"/>
        <v>0</v>
      </c>
      <c r="BB81" s="90">
        <f t="shared" si="82"/>
        <v>0</v>
      </c>
      <c r="BC81" s="90">
        <f t="shared" si="82"/>
        <v>0</v>
      </c>
      <c r="BD81" s="90">
        <f t="shared" si="82"/>
        <v>0</v>
      </c>
      <c r="BE81" s="90">
        <f t="shared" si="82"/>
        <v>0</v>
      </c>
      <c r="BF81" s="90">
        <f t="shared" si="82"/>
        <v>0</v>
      </c>
      <c r="BG81" s="90">
        <f t="shared" si="82"/>
        <v>0</v>
      </c>
      <c r="BH81" s="90">
        <f t="shared" si="82"/>
        <v>0</v>
      </c>
      <c r="BI81" s="90">
        <f t="shared" si="82"/>
        <v>0</v>
      </c>
      <c r="BJ81" s="90">
        <f t="shared" ref="BJ81:BO81" si="83">BJ75</f>
        <v>0</v>
      </c>
      <c r="BK81" s="90">
        <f t="shared" si="83"/>
        <v>0</v>
      </c>
      <c r="BL81" s="90">
        <f t="shared" si="83"/>
        <v>0</v>
      </c>
      <c r="BM81" s="90">
        <f t="shared" si="83"/>
        <v>0</v>
      </c>
      <c r="BN81" s="90">
        <f t="shared" si="83"/>
        <v>0</v>
      </c>
      <c r="BO81" s="90">
        <f t="shared" si="83"/>
        <v>0</v>
      </c>
    </row>
    <row r="82" spans="1:67">
      <c r="A82" s="11"/>
      <c r="B82" s="11"/>
      <c r="C82" s="11" t="s">
        <v>253</v>
      </c>
      <c r="D82" s="33"/>
      <c r="E82" s="10" t="s">
        <v>358</v>
      </c>
      <c r="F82" s="10"/>
      <c r="G82" s="90">
        <f>G73</f>
        <v>0</v>
      </c>
      <c r="H82" s="90">
        <f t="shared" ref="H82:BI82" si="84">H73</f>
        <v>0</v>
      </c>
      <c r="I82" s="90">
        <f t="shared" si="84"/>
        <v>0</v>
      </c>
      <c r="J82" s="90">
        <f t="shared" si="84"/>
        <v>0</v>
      </c>
      <c r="K82" s="90">
        <f t="shared" si="84"/>
        <v>0</v>
      </c>
      <c r="L82" s="90">
        <f t="shared" si="84"/>
        <v>0</v>
      </c>
      <c r="M82" s="90">
        <f t="shared" si="84"/>
        <v>0</v>
      </c>
      <c r="N82" s="90">
        <f t="shared" si="84"/>
        <v>0</v>
      </c>
      <c r="O82" s="90">
        <f t="shared" si="84"/>
        <v>0</v>
      </c>
      <c r="P82" s="90">
        <f t="shared" si="84"/>
        <v>0</v>
      </c>
      <c r="Q82" s="90">
        <f t="shared" si="84"/>
        <v>0</v>
      </c>
      <c r="R82" s="90">
        <f t="shared" si="84"/>
        <v>0</v>
      </c>
      <c r="S82" s="90">
        <f t="shared" si="84"/>
        <v>0</v>
      </c>
      <c r="T82" s="90">
        <f t="shared" si="84"/>
        <v>0</v>
      </c>
      <c r="U82" s="90">
        <f t="shared" si="84"/>
        <v>0</v>
      </c>
      <c r="V82" s="90">
        <f t="shared" si="84"/>
        <v>0</v>
      </c>
      <c r="W82" s="90">
        <f t="shared" si="84"/>
        <v>0</v>
      </c>
      <c r="X82" s="90">
        <f t="shared" si="84"/>
        <v>0</v>
      </c>
      <c r="Y82" s="63">
        <f t="shared" si="84"/>
        <v>0</v>
      </c>
      <c r="Z82" s="63">
        <f t="shared" si="84"/>
        <v>0</v>
      </c>
      <c r="AA82" s="63">
        <f t="shared" si="84"/>
        <v>0</v>
      </c>
      <c r="AB82" s="63">
        <f t="shared" si="84"/>
        <v>202.554</v>
      </c>
      <c r="AC82" s="63">
        <f t="shared" si="84"/>
        <v>268.38404999999995</v>
      </c>
      <c r="AD82" s="63">
        <f t="shared" si="84"/>
        <v>334.21410000000003</v>
      </c>
      <c r="AE82" s="63">
        <f t="shared" si="84"/>
        <v>400.04415000000017</v>
      </c>
      <c r="AF82" s="63">
        <f t="shared" si="84"/>
        <v>465.87420000000003</v>
      </c>
      <c r="AG82" s="63">
        <f t="shared" si="84"/>
        <v>531.70425</v>
      </c>
      <c r="AH82" s="63">
        <f t="shared" si="84"/>
        <v>597.53429999999992</v>
      </c>
      <c r="AI82" s="63">
        <f t="shared" si="84"/>
        <v>663.36434999999994</v>
      </c>
      <c r="AJ82" s="63">
        <f t="shared" si="84"/>
        <v>729.19440000000009</v>
      </c>
      <c r="AK82" s="63">
        <f t="shared" si="84"/>
        <v>795.02445</v>
      </c>
      <c r="AL82" s="63">
        <f t="shared" si="84"/>
        <v>860.85449999999992</v>
      </c>
      <c r="AM82" s="63">
        <f t="shared" si="84"/>
        <v>926.68455000000006</v>
      </c>
      <c r="AN82" s="63">
        <f t="shared" si="84"/>
        <v>992.51459999999986</v>
      </c>
      <c r="AO82" s="63">
        <f t="shared" si="84"/>
        <v>992.51459999999986</v>
      </c>
      <c r="AP82" s="63">
        <f t="shared" si="84"/>
        <v>992.51459999999986</v>
      </c>
      <c r="AQ82" s="63">
        <f t="shared" si="84"/>
        <v>992.51459999999986</v>
      </c>
      <c r="AR82" s="63">
        <f t="shared" si="84"/>
        <v>992.51459999999986</v>
      </c>
      <c r="AS82" s="63">
        <f t="shared" si="84"/>
        <v>992.51459999999986</v>
      </c>
      <c r="AT82" s="63">
        <f t="shared" si="84"/>
        <v>992.51459999999986</v>
      </c>
      <c r="AU82" s="63">
        <f t="shared" si="84"/>
        <v>992.51459999999986</v>
      </c>
      <c r="AV82" s="63">
        <f t="shared" si="84"/>
        <v>992.51459999999986</v>
      </c>
      <c r="AW82" s="63">
        <f t="shared" si="84"/>
        <v>992.51459999999986</v>
      </c>
      <c r="AX82" s="63">
        <f t="shared" si="84"/>
        <v>992.51459999999986</v>
      </c>
      <c r="AY82" s="63">
        <f t="shared" si="84"/>
        <v>992.51459999999986</v>
      </c>
      <c r="AZ82" s="63">
        <f t="shared" si="84"/>
        <v>992.51459999999986</v>
      </c>
      <c r="BA82" s="63">
        <f t="shared" si="84"/>
        <v>992.51459999999986</v>
      </c>
      <c r="BB82" s="63">
        <f t="shared" si="84"/>
        <v>992.51459999999986</v>
      </c>
      <c r="BC82" s="63">
        <f t="shared" si="84"/>
        <v>992.51459999999986</v>
      </c>
      <c r="BD82" s="63">
        <f t="shared" si="84"/>
        <v>992.51459999999986</v>
      </c>
      <c r="BE82" s="63">
        <f t="shared" si="84"/>
        <v>992.51459999999986</v>
      </c>
      <c r="BF82" s="63">
        <f t="shared" si="84"/>
        <v>992.51459999999986</v>
      </c>
      <c r="BG82" s="63">
        <f t="shared" si="84"/>
        <v>992.51459999999986</v>
      </c>
      <c r="BH82" s="63">
        <f t="shared" si="84"/>
        <v>992.51459999999986</v>
      </c>
      <c r="BI82" s="90">
        <f t="shared" si="84"/>
        <v>11910.1752</v>
      </c>
      <c r="BJ82" s="90">
        <f t="shared" ref="BJ82:BO82" si="85">BJ73</f>
        <v>11910.1752</v>
      </c>
      <c r="BK82" s="90">
        <f t="shared" si="85"/>
        <v>11910.1752</v>
      </c>
      <c r="BL82" s="90">
        <f t="shared" si="85"/>
        <v>11910.1752</v>
      </c>
      <c r="BM82" s="90">
        <f t="shared" si="85"/>
        <v>11910.1752</v>
      </c>
      <c r="BN82" s="90">
        <f t="shared" si="85"/>
        <v>11910.1752</v>
      </c>
      <c r="BO82" s="90">
        <f t="shared" si="85"/>
        <v>11910.1752</v>
      </c>
    </row>
    <row r="83" spans="1:67">
      <c r="A83" s="11"/>
      <c r="B83" s="11"/>
      <c r="C83" s="11" t="s">
        <v>75</v>
      </c>
      <c r="D83" s="33"/>
      <c r="E83" s="10" t="s">
        <v>358</v>
      </c>
      <c r="F83" s="10"/>
      <c r="G83" s="90">
        <f>G64</f>
        <v>0</v>
      </c>
      <c r="H83" s="90">
        <f t="shared" ref="H83:BI83" si="86">H64</f>
        <v>0</v>
      </c>
      <c r="I83" s="90">
        <f t="shared" si="86"/>
        <v>0</v>
      </c>
      <c r="J83" s="90">
        <f t="shared" si="86"/>
        <v>0</v>
      </c>
      <c r="K83" s="90">
        <f t="shared" si="86"/>
        <v>0</v>
      </c>
      <c r="L83" s="90">
        <f t="shared" si="86"/>
        <v>0</v>
      </c>
      <c r="M83" s="90">
        <f t="shared" si="86"/>
        <v>0</v>
      </c>
      <c r="N83" s="90">
        <f t="shared" si="86"/>
        <v>0</v>
      </c>
      <c r="O83" s="90">
        <f t="shared" si="86"/>
        <v>0</v>
      </c>
      <c r="P83" s="90">
        <f t="shared" si="86"/>
        <v>0</v>
      </c>
      <c r="Q83" s="90">
        <f t="shared" si="86"/>
        <v>0</v>
      </c>
      <c r="R83" s="90">
        <f t="shared" si="86"/>
        <v>0</v>
      </c>
      <c r="S83" s="90">
        <f t="shared" si="86"/>
        <v>0</v>
      </c>
      <c r="T83" s="90">
        <f t="shared" si="86"/>
        <v>0</v>
      </c>
      <c r="U83" s="90">
        <f t="shared" si="86"/>
        <v>0</v>
      </c>
      <c r="V83" s="90">
        <f t="shared" si="86"/>
        <v>0</v>
      </c>
      <c r="W83" s="90">
        <f t="shared" si="86"/>
        <v>0</v>
      </c>
      <c r="X83" s="90">
        <f t="shared" si="86"/>
        <v>0</v>
      </c>
      <c r="Y83" s="63">
        <f t="shared" si="86"/>
        <v>0</v>
      </c>
      <c r="Z83" s="63">
        <f t="shared" si="86"/>
        <v>0</v>
      </c>
      <c r="AA83" s="63">
        <f t="shared" si="86"/>
        <v>0</v>
      </c>
      <c r="AB83" s="63">
        <f t="shared" si="86"/>
        <v>75.02</v>
      </c>
      <c r="AC83" s="63">
        <f t="shared" si="86"/>
        <v>99.401499999999984</v>
      </c>
      <c r="AD83" s="63">
        <f t="shared" si="86"/>
        <v>123.78300000000002</v>
      </c>
      <c r="AE83" s="63">
        <f t="shared" si="86"/>
        <v>148.16450000000006</v>
      </c>
      <c r="AF83" s="63">
        <f t="shared" si="86"/>
        <v>172.54600000000002</v>
      </c>
      <c r="AG83" s="63">
        <f t="shared" si="86"/>
        <v>196.92750000000004</v>
      </c>
      <c r="AH83" s="63">
        <f t="shared" si="86"/>
        <v>221.309</v>
      </c>
      <c r="AI83" s="63">
        <f t="shared" si="86"/>
        <v>245.69049999999996</v>
      </c>
      <c r="AJ83" s="63">
        <f t="shared" si="86"/>
        <v>270.07200000000006</v>
      </c>
      <c r="AK83" s="63">
        <f t="shared" si="86"/>
        <v>294.45350000000002</v>
      </c>
      <c r="AL83" s="63">
        <f t="shared" si="86"/>
        <v>318.83499999999998</v>
      </c>
      <c r="AM83" s="63">
        <f t="shared" si="86"/>
        <v>343.21650000000005</v>
      </c>
      <c r="AN83" s="63">
        <f t="shared" si="86"/>
        <v>367.59799999999996</v>
      </c>
      <c r="AO83" s="63">
        <f t="shared" si="86"/>
        <v>367.59799999999996</v>
      </c>
      <c r="AP83" s="63">
        <f t="shared" si="86"/>
        <v>367.59799999999996</v>
      </c>
      <c r="AQ83" s="63">
        <f t="shared" si="86"/>
        <v>367.59799999999996</v>
      </c>
      <c r="AR83" s="63">
        <f t="shared" si="86"/>
        <v>367.59799999999996</v>
      </c>
      <c r="AS83" s="63">
        <f t="shared" si="86"/>
        <v>367.59799999999996</v>
      </c>
      <c r="AT83" s="63">
        <f t="shared" si="86"/>
        <v>367.59799999999996</v>
      </c>
      <c r="AU83" s="63">
        <f t="shared" si="86"/>
        <v>367.59799999999996</v>
      </c>
      <c r="AV83" s="63">
        <f t="shared" si="86"/>
        <v>367.59799999999996</v>
      </c>
      <c r="AW83" s="63">
        <f t="shared" si="86"/>
        <v>367.59799999999996</v>
      </c>
      <c r="AX83" s="63">
        <f t="shared" si="86"/>
        <v>367.59799999999996</v>
      </c>
      <c r="AY83" s="63">
        <f t="shared" si="86"/>
        <v>367.59799999999996</v>
      </c>
      <c r="AZ83" s="63">
        <f t="shared" si="86"/>
        <v>367.59799999999996</v>
      </c>
      <c r="BA83" s="63">
        <f t="shared" si="86"/>
        <v>367.59799999999996</v>
      </c>
      <c r="BB83" s="63">
        <f t="shared" si="86"/>
        <v>367.59799999999996</v>
      </c>
      <c r="BC83" s="63">
        <f t="shared" si="86"/>
        <v>367.59799999999996</v>
      </c>
      <c r="BD83" s="63">
        <f t="shared" si="86"/>
        <v>367.59799999999996</v>
      </c>
      <c r="BE83" s="63">
        <f t="shared" si="86"/>
        <v>367.59799999999996</v>
      </c>
      <c r="BF83" s="63">
        <f t="shared" si="86"/>
        <v>367.59799999999996</v>
      </c>
      <c r="BG83" s="63">
        <f t="shared" si="86"/>
        <v>367.59799999999996</v>
      </c>
      <c r="BH83" s="63">
        <f t="shared" si="86"/>
        <v>367.59799999999996</v>
      </c>
      <c r="BI83" s="90">
        <f t="shared" si="86"/>
        <v>4411.1759999999995</v>
      </c>
      <c r="BJ83" s="90">
        <f t="shared" ref="BJ83:BO83" si="87">BJ64</f>
        <v>4411.1759999999995</v>
      </c>
      <c r="BK83" s="90">
        <f t="shared" si="87"/>
        <v>4411.1759999999995</v>
      </c>
      <c r="BL83" s="90">
        <f t="shared" si="87"/>
        <v>4411.1759999999995</v>
      </c>
      <c r="BM83" s="90">
        <f t="shared" si="87"/>
        <v>4411.1759999999995</v>
      </c>
      <c r="BN83" s="90">
        <f t="shared" si="87"/>
        <v>4411.1759999999995</v>
      </c>
      <c r="BO83" s="90">
        <f t="shared" si="87"/>
        <v>4411.1759999999995</v>
      </c>
    </row>
    <row r="84" spans="1:67">
      <c r="A84" s="11"/>
      <c r="B84" s="11" t="s">
        <v>765</v>
      </c>
      <c r="C84" s="11" t="s">
        <v>78</v>
      </c>
      <c r="D84" s="33"/>
      <c r="E84" s="10" t="s">
        <v>358</v>
      </c>
      <c r="F84" s="10"/>
      <c r="G84" s="90">
        <f>0</f>
        <v>0</v>
      </c>
      <c r="H84" s="90">
        <f>0</f>
        <v>0</v>
      </c>
      <c r="I84" s="90">
        <f>0</f>
        <v>0</v>
      </c>
      <c r="J84" s="90">
        <f>0</f>
        <v>0</v>
      </c>
      <c r="K84" s="90">
        <f>0</f>
        <v>0</v>
      </c>
      <c r="L84" s="90">
        <f>0</f>
        <v>0</v>
      </c>
      <c r="M84" s="90">
        <f>0</f>
        <v>0</v>
      </c>
      <c r="N84" s="90">
        <f>0</f>
        <v>0</v>
      </c>
      <c r="O84" s="90">
        <f>0</f>
        <v>0</v>
      </c>
      <c r="P84" s="90">
        <f>0</f>
        <v>0</v>
      </c>
      <c r="Q84" s="90">
        <f>0</f>
        <v>0</v>
      </c>
      <c r="R84" s="90">
        <f>0</f>
        <v>0</v>
      </c>
      <c r="S84" s="90">
        <f>0</f>
        <v>0</v>
      </c>
      <c r="T84" s="90">
        <f>0</f>
        <v>0</v>
      </c>
      <c r="U84" s="90">
        <f>0</f>
        <v>0</v>
      </c>
      <c r="V84" s="90">
        <f>0</f>
        <v>0</v>
      </c>
      <c r="W84" s="90">
        <f>0</f>
        <v>0</v>
      </c>
      <c r="X84" s="90">
        <f>0</f>
        <v>0</v>
      </c>
      <c r="Y84" s="90">
        <f>0</f>
        <v>0</v>
      </c>
      <c r="Z84" s="90">
        <f>0</f>
        <v>0</v>
      </c>
      <c r="AA84" s="90">
        <f>0</f>
        <v>0</v>
      </c>
      <c r="AB84" s="90">
        <f>0</f>
        <v>0</v>
      </c>
      <c r="AC84" s="90">
        <f>0</f>
        <v>0</v>
      </c>
      <c r="AD84" s="90">
        <f>0</f>
        <v>0</v>
      </c>
      <c r="AE84" s="90">
        <f>0</f>
        <v>0</v>
      </c>
      <c r="AF84" s="90">
        <f>0</f>
        <v>0</v>
      </c>
      <c r="AG84" s="90">
        <f>0</f>
        <v>0</v>
      </c>
      <c r="AH84" s="90">
        <f>0</f>
        <v>0</v>
      </c>
      <c r="AI84" s="90">
        <f>0</f>
        <v>0</v>
      </c>
      <c r="AJ84" s="90">
        <f>0</f>
        <v>0</v>
      </c>
      <c r="AK84" s="90">
        <f>0</f>
        <v>0</v>
      </c>
      <c r="AL84" s="90">
        <f>0</f>
        <v>0</v>
      </c>
      <c r="AM84" s="90">
        <f>0</f>
        <v>0</v>
      </c>
      <c r="AN84" s="90">
        <f>0</f>
        <v>0</v>
      </c>
      <c r="AO84" s="90">
        <f>0</f>
        <v>0</v>
      </c>
      <c r="AP84" s="90">
        <f>0</f>
        <v>0</v>
      </c>
      <c r="AQ84" s="90">
        <f>0</f>
        <v>0</v>
      </c>
      <c r="AR84" s="90">
        <f>0</f>
        <v>0</v>
      </c>
      <c r="AS84" s="90">
        <f>0</f>
        <v>0</v>
      </c>
      <c r="AT84" s="90">
        <f>0</f>
        <v>0</v>
      </c>
      <c r="AU84" s="90">
        <f>0</f>
        <v>0</v>
      </c>
      <c r="AV84" s="90">
        <f>0</f>
        <v>0</v>
      </c>
      <c r="AW84" s="90">
        <f>0</f>
        <v>0</v>
      </c>
      <c r="AX84" s="90">
        <f>0</f>
        <v>0</v>
      </c>
      <c r="AY84" s="90">
        <f>0</f>
        <v>0</v>
      </c>
      <c r="AZ84" s="90">
        <f>0</f>
        <v>0</v>
      </c>
      <c r="BA84" s="90">
        <f>0</f>
        <v>0</v>
      </c>
      <c r="BB84" s="90">
        <f>0</f>
        <v>0</v>
      </c>
      <c r="BC84" s="90">
        <f>0</f>
        <v>0</v>
      </c>
      <c r="BD84" s="90">
        <f>0</f>
        <v>0</v>
      </c>
      <c r="BE84" s="90">
        <f>0</f>
        <v>0</v>
      </c>
      <c r="BF84" s="90">
        <f>0</f>
        <v>0</v>
      </c>
      <c r="BG84" s="90">
        <f>0</f>
        <v>0</v>
      </c>
      <c r="BH84" s="90">
        <f>0</f>
        <v>0</v>
      </c>
      <c r="BI84" s="90">
        <f>0</f>
        <v>0</v>
      </c>
      <c r="BJ84" s="90">
        <f>0</f>
        <v>0</v>
      </c>
      <c r="BK84" s="90">
        <f>0</f>
        <v>0</v>
      </c>
      <c r="BL84" s="90">
        <f>0</f>
        <v>0</v>
      </c>
      <c r="BM84" s="90">
        <f>0</f>
        <v>0</v>
      </c>
      <c r="BN84" s="90">
        <f>0</f>
        <v>0</v>
      </c>
      <c r="BO84" s="90">
        <f>0</f>
        <v>0</v>
      </c>
    </row>
    <row r="85" spans="1:67">
      <c r="A85" s="11"/>
      <c r="B85" s="22" t="s">
        <v>380</v>
      </c>
      <c r="C85" s="11"/>
      <c r="D85" s="33"/>
      <c r="E85" s="10" t="s">
        <v>358</v>
      </c>
      <c r="F85" s="10"/>
      <c r="G85" s="89">
        <f>SUM(G80:G84)</f>
        <v>0</v>
      </c>
      <c r="H85" s="89">
        <f t="shared" ref="H85:BI85" si="88">SUM(H80:H84)</f>
        <v>0</v>
      </c>
      <c r="I85" s="89">
        <f t="shared" si="88"/>
        <v>0</v>
      </c>
      <c r="J85" s="89">
        <f t="shared" si="88"/>
        <v>0</v>
      </c>
      <c r="K85" s="89">
        <f t="shared" si="88"/>
        <v>0</v>
      </c>
      <c r="L85" s="89">
        <f t="shared" si="88"/>
        <v>0</v>
      </c>
      <c r="M85" s="89">
        <f t="shared" si="88"/>
        <v>0</v>
      </c>
      <c r="N85" s="89">
        <f t="shared" si="88"/>
        <v>0</v>
      </c>
      <c r="O85" s="89">
        <f t="shared" si="88"/>
        <v>0</v>
      </c>
      <c r="P85" s="89">
        <f t="shared" si="88"/>
        <v>0</v>
      </c>
      <c r="Q85" s="89">
        <f t="shared" si="88"/>
        <v>0</v>
      </c>
      <c r="R85" s="89">
        <f t="shared" si="88"/>
        <v>0</v>
      </c>
      <c r="S85" s="89">
        <f t="shared" si="88"/>
        <v>0</v>
      </c>
      <c r="T85" s="89">
        <f t="shared" si="88"/>
        <v>0</v>
      </c>
      <c r="U85" s="89">
        <f t="shared" si="88"/>
        <v>0</v>
      </c>
      <c r="V85" s="89">
        <f t="shared" si="88"/>
        <v>0</v>
      </c>
      <c r="W85" s="89">
        <f t="shared" si="88"/>
        <v>0</v>
      </c>
      <c r="X85" s="89">
        <f t="shared" si="88"/>
        <v>0</v>
      </c>
      <c r="Y85" s="62">
        <f t="shared" si="88"/>
        <v>0</v>
      </c>
      <c r="Z85" s="62">
        <f t="shared" si="88"/>
        <v>0</v>
      </c>
      <c r="AA85" s="62">
        <f t="shared" si="88"/>
        <v>0</v>
      </c>
      <c r="AB85" s="62">
        <f t="shared" si="88"/>
        <v>536.73400000000004</v>
      </c>
      <c r="AC85" s="62">
        <f t="shared" si="88"/>
        <v>711.17254999999977</v>
      </c>
      <c r="AD85" s="89">
        <f t="shared" si="88"/>
        <v>885.61110000000019</v>
      </c>
      <c r="AE85" s="89">
        <f t="shared" si="88"/>
        <v>1060.0496500000004</v>
      </c>
      <c r="AF85" s="89">
        <f t="shared" si="88"/>
        <v>1234.4882000000002</v>
      </c>
      <c r="AG85" s="89">
        <f t="shared" si="88"/>
        <v>1408.9267500000001</v>
      </c>
      <c r="AH85" s="89">
        <f t="shared" si="88"/>
        <v>1583.3652999999997</v>
      </c>
      <c r="AI85" s="89">
        <f t="shared" si="88"/>
        <v>1757.8038499999998</v>
      </c>
      <c r="AJ85" s="89">
        <f t="shared" si="88"/>
        <v>1932.2424000000003</v>
      </c>
      <c r="AK85" s="89">
        <f t="shared" si="88"/>
        <v>2106.6809500000004</v>
      </c>
      <c r="AL85" s="89">
        <f t="shared" si="88"/>
        <v>2281.1194999999998</v>
      </c>
      <c r="AM85" s="89">
        <f t="shared" si="88"/>
        <v>2455.5580500000001</v>
      </c>
      <c r="AN85" s="89">
        <f t="shared" si="88"/>
        <v>2629.9965999999999</v>
      </c>
      <c r="AO85" s="89">
        <f t="shared" si="88"/>
        <v>2629.9965999999999</v>
      </c>
      <c r="AP85" s="89">
        <f t="shared" si="88"/>
        <v>2629.9965999999999</v>
      </c>
      <c r="AQ85" s="89">
        <f t="shared" si="88"/>
        <v>2629.9965999999999</v>
      </c>
      <c r="AR85" s="89">
        <f t="shared" si="88"/>
        <v>2629.9965999999999</v>
      </c>
      <c r="AS85" s="89">
        <f t="shared" si="88"/>
        <v>2629.9965999999999</v>
      </c>
      <c r="AT85" s="89">
        <f t="shared" si="88"/>
        <v>2629.9965999999999</v>
      </c>
      <c r="AU85" s="89">
        <f t="shared" si="88"/>
        <v>2629.9965999999999</v>
      </c>
      <c r="AV85" s="89">
        <f t="shared" si="88"/>
        <v>2629.9965999999999</v>
      </c>
      <c r="AW85" s="89">
        <f t="shared" si="88"/>
        <v>2629.9965999999999</v>
      </c>
      <c r="AX85" s="89">
        <f t="shared" si="88"/>
        <v>2629.9965999999999</v>
      </c>
      <c r="AY85" s="89">
        <f t="shared" si="88"/>
        <v>2629.9965999999999</v>
      </c>
      <c r="AZ85" s="89">
        <f t="shared" si="88"/>
        <v>2629.9965999999999</v>
      </c>
      <c r="BA85" s="89">
        <f t="shared" si="88"/>
        <v>2629.9965999999999</v>
      </c>
      <c r="BB85" s="89">
        <f t="shared" si="88"/>
        <v>2629.9965999999999</v>
      </c>
      <c r="BC85" s="89">
        <f t="shared" si="88"/>
        <v>2629.9965999999999</v>
      </c>
      <c r="BD85" s="89">
        <f t="shared" si="88"/>
        <v>2629.9965999999999</v>
      </c>
      <c r="BE85" s="89">
        <f t="shared" si="88"/>
        <v>2629.9965999999999</v>
      </c>
      <c r="BF85" s="89">
        <f t="shared" si="88"/>
        <v>2629.9965999999999</v>
      </c>
      <c r="BG85" s="89">
        <f t="shared" si="88"/>
        <v>2629.9965999999999</v>
      </c>
      <c r="BH85" s="89">
        <f t="shared" si="88"/>
        <v>2629.9965999999999</v>
      </c>
      <c r="BI85" s="89">
        <f t="shared" si="88"/>
        <v>31559.959199999998</v>
      </c>
      <c r="BJ85" s="89">
        <f t="shared" ref="BJ85" si="89">SUM(BJ80:BJ84)</f>
        <v>31559.959199999998</v>
      </c>
      <c r="BK85" s="89">
        <f t="shared" ref="BK85" si="90">SUM(BK80:BK84)</f>
        <v>31559.959199999998</v>
      </c>
      <c r="BL85" s="89">
        <f t="shared" ref="BL85" si="91">SUM(BL80:BL84)</f>
        <v>31559.959199999998</v>
      </c>
      <c r="BM85" s="89">
        <f t="shared" ref="BM85" si="92">SUM(BM80:BM84)</f>
        <v>31559.959199999998</v>
      </c>
      <c r="BN85" s="89">
        <f t="shared" ref="BN85" si="93">SUM(BN80:BN84)</f>
        <v>31559.959199999998</v>
      </c>
      <c r="BO85" s="89">
        <f t="shared" ref="BO85" si="94">SUM(BO80:BO84)</f>
        <v>31559.959199999998</v>
      </c>
    </row>
    <row r="86" spans="1:67">
      <c r="A86" s="11"/>
      <c r="B86" s="1" t="s">
        <v>381</v>
      </c>
      <c r="C86" s="1"/>
      <c r="D86" s="7"/>
      <c r="E86" s="7"/>
      <c r="F86" s="7"/>
      <c r="G86" s="7"/>
      <c r="H86" s="7"/>
      <c r="I86" s="7"/>
      <c r="J86" s="7"/>
      <c r="K86" s="7"/>
      <c r="L86" s="7"/>
      <c r="M86" s="7"/>
      <c r="N86" s="7"/>
      <c r="O86" s="7"/>
      <c r="P86" s="7"/>
      <c r="Q86" s="7"/>
      <c r="R86" s="7"/>
      <c r="S86" s="7"/>
      <c r="T86" s="7"/>
      <c r="U86" s="7"/>
      <c r="V86" s="7"/>
      <c r="W86" s="7"/>
      <c r="X86" s="7"/>
      <c r="Y86" s="7"/>
      <c r="Z86" s="7"/>
      <c r="AA86" s="7"/>
      <c r="AB86" s="7"/>
      <c r="AC86" s="7"/>
      <c r="AD86" s="7"/>
      <c r="AE86" s="7"/>
      <c r="AF86" s="7"/>
      <c r="AG86" s="7"/>
      <c r="AH86" s="7"/>
      <c r="AI86" s="7"/>
      <c r="AJ86" s="7"/>
      <c r="AK86" s="7"/>
      <c r="AL86" s="7"/>
      <c r="AM86" s="7"/>
      <c r="AN86" s="7"/>
      <c r="AO86" s="7"/>
      <c r="AP86" s="7"/>
      <c r="AQ86" s="7"/>
      <c r="AR86" s="7"/>
      <c r="AS86" s="7"/>
      <c r="AT86" s="7"/>
      <c r="AU86" s="7"/>
      <c r="AV86" s="7"/>
      <c r="AW86" s="7"/>
      <c r="AX86" s="7"/>
      <c r="AY86" s="7"/>
      <c r="AZ86" s="7"/>
      <c r="BA86" s="7"/>
      <c r="BB86" s="7"/>
      <c r="BC86" s="7"/>
      <c r="BD86" s="7"/>
      <c r="BE86" s="7"/>
      <c r="BF86" s="7"/>
      <c r="BG86" s="7"/>
      <c r="BH86" s="7"/>
      <c r="BI86" s="7"/>
      <c r="BJ86" s="7"/>
      <c r="BK86" s="7"/>
      <c r="BL86" s="7"/>
      <c r="BM86" s="7"/>
      <c r="BN86" s="7"/>
      <c r="BO86" s="7"/>
    </row>
    <row r="87" spans="1:67">
      <c r="A87" s="11"/>
      <c r="B87" s="11"/>
      <c r="C87" s="11"/>
      <c r="D87" s="33"/>
      <c r="E87" s="43"/>
      <c r="F87" s="4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3"/>
      <c r="AP87" s="33"/>
      <c r="AQ87" s="33"/>
      <c r="AR87" s="33"/>
      <c r="AS87" s="33"/>
      <c r="AT87" s="33"/>
      <c r="AU87" s="33"/>
      <c r="AV87" s="33"/>
      <c r="AW87" s="33"/>
      <c r="AX87" s="33"/>
      <c r="AY87" s="33"/>
      <c r="AZ87" s="33"/>
      <c r="BA87" s="33"/>
      <c r="BB87" s="33"/>
      <c r="BC87" s="33"/>
      <c r="BD87" s="33"/>
      <c r="BE87" s="33"/>
      <c r="BF87" s="33"/>
      <c r="BG87" s="33"/>
      <c r="BH87" s="33"/>
      <c r="BI87" s="33"/>
      <c r="BJ87" s="33"/>
      <c r="BK87" s="33"/>
      <c r="BL87" s="33"/>
      <c r="BM87" s="33"/>
      <c r="BN87" s="33"/>
      <c r="BO87" s="33"/>
    </row>
    <row r="88" spans="1:67">
      <c r="A88" s="18" t="s">
        <v>382</v>
      </c>
      <c r="B88" s="18"/>
      <c r="C88" s="18"/>
      <c r="D88" s="39"/>
      <c r="E88" s="39"/>
      <c r="F88" s="39"/>
      <c r="G88" s="39"/>
      <c r="H88" s="39"/>
      <c r="I88" s="39"/>
      <c r="J88" s="39"/>
      <c r="K88" s="39"/>
      <c r="L88" s="39"/>
      <c r="M88" s="39"/>
      <c r="N88" s="39"/>
      <c r="O88" s="39"/>
      <c r="P88" s="39"/>
      <c r="Q88" s="39"/>
      <c r="R88" s="39"/>
      <c r="S88" s="39"/>
      <c r="T88" s="39"/>
      <c r="U88" s="39"/>
      <c r="V88" s="39"/>
      <c r="W88" s="39"/>
      <c r="X88" s="39"/>
      <c r="Y88" s="39"/>
      <c r="Z88" s="39"/>
      <c r="AA88" s="39"/>
      <c r="AB88" s="39"/>
      <c r="AC88" s="39"/>
      <c r="AD88" s="39"/>
      <c r="AE88" s="39"/>
      <c r="AF88" s="39"/>
      <c r="AG88" s="39"/>
      <c r="AH88" s="39"/>
      <c r="AI88" s="39"/>
      <c r="AJ88" s="39"/>
      <c r="AK88" s="39"/>
      <c r="AL88" s="39"/>
      <c r="AM88" s="39"/>
      <c r="AN88" s="39"/>
      <c r="AO88" s="39"/>
      <c r="AP88" s="39"/>
      <c r="AQ88" s="39"/>
      <c r="AR88" s="39"/>
      <c r="AS88" s="39"/>
      <c r="AT88" s="39"/>
      <c r="AU88" s="39"/>
      <c r="AV88" s="39"/>
      <c r="AW88" s="39"/>
      <c r="AX88" s="39"/>
      <c r="AY88" s="39"/>
      <c r="AZ88" s="39"/>
      <c r="BA88" s="39"/>
      <c r="BB88" s="39"/>
      <c r="BC88" s="39"/>
      <c r="BD88" s="39"/>
      <c r="BE88" s="39"/>
      <c r="BF88" s="39"/>
      <c r="BG88" s="39"/>
      <c r="BH88" s="39"/>
      <c r="BI88" s="39"/>
      <c r="BJ88" s="39"/>
      <c r="BK88" s="39"/>
      <c r="BL88" s="39"/>
      <c r="BM88" s="39"/>
      <c r="BN88" s="39"/>
      <c r="BO88" s="39"/>
    </row>
    <row r="89" spans="1:67">
      <c r="A89" s="11"/>
      <c r="B89" s="11"/>
      <c r="C89" s="11" t="s">
        <v>72</v>
      </c>
      <c r="D89" s="33"/>
      <c r="E89" s="10" t="s">
        <v>70</v>
      </c>
      <c r="F89" s="10"/>
      <c r="G89" s="90">
        <f>'02 Oil Price Analysis'!G$62*'01 Major Assumptions'!$D$191</f>
        <v>15021.853253570993</v>
      </c>
      <c r="H89" s="90">
        <f>'02 Oil Price Analysis'!H$62*'01 Major Assumptions'!$D$191</f>
        <v>15021.853253570993</v>
      </c>
      <c r="I89" s="90">
        <f>'02 Oil Price Analysis'!I$62*'01 Major Assumptions'!$D$191</f>
        <v>15021.853253570993</v>
      </c>
      <c r="J89" s="90">
        <f>'02 Oil Price Analysis'!J$62*'01 Major Assumptions'!$D$191</f>
        <v>15021.853253570993</v>
      </c>
      <c r="K89" s="90">
        <f>'02 Oil Price Analysis'!K$62*'01 Major Assumptions'!$D$191</f>
        <v>15021.853253570993</v>
      </c>
      <c r="L89" s="90">
        <f>'02 Oil Price Analysis'!L$62*'01 Major Assumptions'!$D$191</f>
        <v>15021.853253570993</v>
      </c>
      <c r="M89" s="90">
        <f>'02 Oil Price Analysis'!M$62*'01 Major Assumptions'!$D$191</f>
        <v>15021.853253570993</v>
      </c>
      <c r="N89" s="90">
        <f>'02 Oil Price Analysis'!N$62*'01 Major Assumptions'!$D$191</f>
        <v>15021.853253570993</v>
      </c>
      <c r="O89" s="90">
        <f>'02 Oil Price Analysis'!O$62*'01 Major Assumptions'!$D$191</f>
        <v>15021.853253570993</v>
      </c>
      <c r="P89" s="90">
        <f>'02 Oil Price Analysis'!P$62*'01 Major Assumptions'!$D$191</f>
        <v>15021.853253570993</v>
      </c>
      <c r="Q89" s="90">
        <f>'02 Oil Price Analysis'!Q$62*'01 Major Assumptions'!$D$191</f>
        <v>15021.853253570993</v>
      </c>
      <c r="R89" s="90">
        <f>'02 Oil Price Analysis'!R$62*'01 Major Assumptions'!$D$191</f>
        <v>15021.853253570993</v>
      </c>
      <c r="S89" s="90">
        <f>'02 Oil Price Analysis'!S$62*'01 Major Assumptions'!$D$191</f>
        <v>15322.290318642417</v>
      </c>
      <c r="T89" s="90">
        <f>'02 Oil Price Analysis'!T$62*'01 Major Assumptions'!$D$191</f>
        <v>15322.290318642417</v>
      </c>
      <c r="U89" s="90">
        <f>'02 Oil Price Analysis'!U$62*'01 Major Assumptions'!$D$191</f>
        <v>15322.290318642417</v>
      </c>
      <c r="V89" s="90">
        <f>'02 Oil Price Analysis'!V$62*'01 Major Assumptions'!$D$191</f>
        <v>15322.290318642417</v>
      </c>
      <c r="W89" s="90">
        <f>'02 Oil Price Analysis'!W$62*'01 Major Assumptions'!$D$191</f>
        <v>15322.290318642417</v>
      </c>
      <c r="X89" s="90">
        <f>'02 Oil Price Analysis'!X$62*'01 Major Assumptions'!$D$191</f>
        <v>15322.290318642417</v>
      </c>
      <c r="Y89" s="90">
        <f>'02 Oil Price Analysis'!Y$62*'01 Major Assumptions'!$D$191</f>
        <v>15322.290318642417</v>
      </c>
      <c r="Z89" s="90">
        <f>'02 Oil Price Analysis'!Z$62*'01 Major Assumptions'!$D$191</f>
        <v>16548.073544133811</v>
      </c>
      <c r="AA89" s="90">
        <f>'02 Oil Price Analysis'!AA$62*'01 Major Assumptions'!$D$191</f>
        <v>16548.073544133811</v>
      </c>
      <c r="AB89" s="90">
        <f>'02 Oil Price Analysis'!AB$62*'01 Major Assumptions'!$D$191</f>
        <v>16548.073544133811</v>
      </c>
      <c r="AC89" s="90">
        <f>'02 Oil Price Analysis'!AC$62*'01 Major Assumptions'!$D$191</f>
        <v>16548.073544133811</v>
      </c>
      <c r="AD89" s="90">
        <f>'02 Oil Price Analysis'!AD$62*'01 Major Assumptions'!$D$191</f>
        <v>16548.073544133811</v>
      </c>
      <c r="AE89" s="90">
        <f>'02 Oil Price Analysis'!AE$62*'01 Major Assumptions'!$D$191</f>
        <v>16879.035015016489</v>
      </c>
      <c r="AF89" s="90">
        <f>'02 Oil Price Analysis'!AF$62*'01 Major Assumptions'!$D$191</f>
        <v>16879.035015016489</v>
      </c>
      <c r="AG89" s="90">
        <f>'02 Oil Price Analysis'!AG$62*'01 Major Assumptions'!$D$191</f>
        <v>16879.035015016489</v>
      </c>
      <c r="AH89" s="90">
        <f>'02 Oil Price Analysis'!AH$62*'01 Major Assumptions'!$D$191</f>
        <v>16879.035015016489</v>
      </c>
      <c r="AI89" s="90">
        <f>'02 Oil Price Analysis'!AI$62*'01 Major Assumptions'!$D$191</f>
        <v>16879.035015016489</v>
      </c>
      <c r="AJ89" s="90">
        <f>'02 Oil Price Analysis'!AJ$62*'01 Major Assumptions'!$D$191</f>
        <v>16879.035015016489</v>
      </c>
      <c r="AK89" s="90">
        <f>'02 Oil Price Analysis'!AK$62*'01 Major Assumptions'!$D$191</f>
        <v>16879.035015016489</v>
      </c>
      <c r="AL89" s="90">
        <f>'02 Oil Price Analysis'!AL$62*'01 Major Assumptions'!$D$191</f>
        <v>16879.035015016489</v>
      </c>
      <c r="AM89" s="90">
        <f>'02 Oil Price Analysis'!AM$62*'01 Major Assumptions'!$D$191</f>
        <v>16879.035015016489</v>
      </c>
      <c r="AN89" s="90">
        <f>'02 Oil Price Analysis'!AN$62*'01 Major Assumptions'!$D$191</f>
        <v>16879.035015016489</v>
      </c>
      <c r="AO89" s="90">
        <f>'02 Oil Price Analysis'!AO$62*'01 Major Assumptions'!$D$191</f>
        <v>16879.035015016489</v>
      </c>
      <c r="AP89" s="90">
        <f>'02 Oil Price Analysis'!AP$62*'01 Major Assumptions'!$D$191</f>
        <v>16879.035015016489</v>
      </c>
      <c r="AQ89" s="90">
        <f>'02 Oil Price Analysis'!AQ$62*'01 Major Assumptions'!$D$191</f>
        <v>17216.615715316821</v>
      </c>
      <c r="AR89" s="90">
        <f>'02 Oil Price Analysis'!AR$62*'01 Major Assumptions'!$D$191</f>
        <v>17216.615715316821</v>
      </c>
      <c r="AS89" s="90">
        <f>'02 Oil Price Analysis'!AS$62*'01 Major Assumptions'!$D$191</f>
        <v>17216.615715316821</v>
      </c>
      <c r="AT89" s="90">
        <f>'02 Oil Price Analysis'!AT$62*'01 Major Assumptions'!$D$191</f>
        <v>17216.615715316821</v>
      </c>
      <c r="AU89" s="90">
        <f>'02 Oil Price Analysis'!AU$62*'01 Major Assumptions'!$D$191</f>
        <v>17216.615715316821</v>
      </c>
      <c r="AV89" s="90">
        <f>'02 Oil Price Analysis'!AV$62*'01 Major Assumptions'!$D$191</f>
        <v>17216.615715316821</v>
      </c>
      <c r="AW89" s="90">
        <f>'02 Oil Price Analysis'!AW$62*'01 Major Assumptions'!$D$191</f>
        <v>17216.615715316821</v>
      </c>
      <c r="AX89" s="90">
        <f>'02 Oil Price Analysis'!AX$62*'01 Major Assumptions'!$D$191</f>
        <v>17216.615715316821</v>
      </c>
      <c r="AY89" s="90">
        <f>'02 Oil Price Analysis'!AY$62*'01 Major Assumptions'!$D$191</f>
        <v>17216.615715316821</v>
      </c>
      <c r="AZ89" s="90">
        <f>'02 Oil Price Analysis'!AZ$62*'01 Major Assumptions'!$D$191</f>
        <v>17216.615715316821</v>
      </c>
      <c r="BA89" s="90">
        <f>'02 Oil Price Analysis'!BA$62*'01 Major Assumptions'!$D$191</f>
        <v>17216.615715316821</v>
      </c>
      <c r="BB89" s="90">
        <f>'02 Oil Price Analysis'!BB$62*'01 Major Assumptions'!$D$191</f>
        <v>17216.615715316821</v>
      </c>
      <c r="BC89" s="90">
        <f>'02 Oil Price Analysis'!BC$62*'01 Major Assumptions'!$D$191</f>
        <v>17560.94802962316</v>
      </c>
      <c r="BD89" s="90">
        <f>'02 Oil Price Analysis'!BD$62*'01 Major Assumptions'!$D$191</f>
        <v>17560.94802962316</v>
      </c>
      <c r="BE89" s="90">
        <f>'02 Oil Price Analysis'!BE$62*'01 Major Assumptions'!$D$191</f>
        <v>17560.94802962316</v>
      </c>
      <c r="BF89" s="90">
        <f>'02 Oil Price Analysis'!BF$62*'01 Major Assumptions'!$D$191</f>
        <v>17560.94802962316</v>
      </c>
      <c r="BG89" s="90">
        <f>'02 Oil Price Analysis'!BG$62*'01 Major Assumptions'!$D$191</f>
        <v>17560.94802962316</v>
      </c>
      <c r="BH89" s="90">
        <f>'02 Oil Price Analysis'!BH$62*'01 Major Assumptions'!$D$191</f>
        <v>17560.94802962316</v>
      </c>
      <c r="BI89" s="90">
        <f>'02 Oil Price Analysis'!BI$62*'01 Major Assumptions'!$D$191</f>
        <v>17912.166990215621</v>
      </c>
      <c r="BJ89" s="90">
        <f>'02 Oil Price Analysis'!BJ$62*'01 Major Assumptions'!$D$191</f>
        <v>18270.410330019935</v>
      </c>
      <c r="BK89" s="90">
        <f>'02 Oil Price Analysis'!BK$62*'01 Major Assumptions'!$D$191</f>
        <v>18635.818536620332</v>
      </c>
      <c r="BL89" s="90">
        <f>'02 Oil Price Analysis'!BL$62*'01 Major Assumptions'!$D$191</f>
        <v>19008.53490735274</v>
      </c>
      <c r="BM89" s="90">
        <f>'02 Oil Price Analysis'!BM$62*'01 Major Assumptions'!$D$191</f>
        <v>19388.705605499796</v>
      </c>
      <c r="BN89" s="90">
        <f>'02 Oil Price Analysis'!BN$62*'01 Major Assumptions'!$D$191</f>
        <v>19776.479717609793</v>
      </c>
      <c r="BO89" s="90">
        <f>'02 Oil Price Analysis'!BO$62*'01 Major Assumptions'!$D$191</f>
        <v>19776.479717609793</v>
      </c>
    </row>
    <row r="90" spans="1:67">
      <c r="A90" s="11"/>
      <c r="B90" s="11"/>
      <c r="C90" s="11" t="s">
        <v>252</v>
      </c>
      <c r="D90" s="33"/>
      <c r="E90" s="10" t="s">
        <v>70</v>
      </c>
      <c r="F90" s="10"/>
      <c r="G90" s="90">
        <f>'02 Oil Price Analysis'!G$63*'01 Major Assumptions'!$D$191</f>
        <v>20000</v>
      </c>
      <c r="H90" s="90">
        <f>'02 Oil Price Analysis'!H$63*'01 Major Assumptions'!$D$191</f>
        <v>20000</v>
      </c>
      <c r="I90" s="90">
        <f>'02 Oil Price Analysis'!I$63*'01 Major Assumptions'!$D$191</f>
        <v>20000</v>
      </c>
      <c r="J90" s="90">
        <f>'02 Oil Price Analysis'!J$63*'01 Major Assumptions'!$D$191</f>
        <v>20000</v>
      </c>
      <c r="K90" s="90">
        <f>'02 Oil Price Analysis'!K$63*'01 Major Assumptions'!$D$191</f>
        <v>20000</v>
      </c>
      <c r="L90" s="90">
        <f>'02 Oil Price Analysis'!L$63*'01 Major Assumptions'!$D$191</f>
        <v>20000</v>
      </c>
      <c r="M90" s="90">
        <f>'02 Oil Price Analysis'!M$63*'01 Major Assumptions'!$D$191</f>
        <v>20000</v>
      </c>
      <c r="N90" s="90">
        <f>'02 Oil Price Analysis'!N$63*'01 Major Assumptions'!$D$191</f>
        <v>20000</v>
      </c>
      <c r="O90" s="90">
        <f>'02 Oil Price Analysis'!O$63*'01 Major Assumptions'!$D$191</f>
        <v>20000</v>
      </c>
      <c r="P90" s="90">
        <f>'02 Oil Price Analysis'!P$63*'01 Major Assumptions'!$D$191</f>
        <v>20000</v>
      </c>
      <c r="Q90" s="90">
        <f>'02 Oil Price Analysis'!Q$63*'01 Major Assumptions'!$D$191</f>
        <v>20000</v>
      </c>
      <c r="R90" s="90">
        <f>'02 Oil Price Analysis'!R$63*'01 Major Assumptions'!$D$191</f>
        <v>20000</v>
      </c>
      <c r="S90" s="90">
        <f>'02 Oil Price Analysis'!S$63*'01 Major Assumptions'!$D$191</f>
        <v>20460</v>
      </c>
      <c r="T90" s="90">
        <f>'02 Oil Price Analysis'!T$63*'01 Major Assumptions'!$D$191</f>
        <v>20460</v>
      </c>
      <c r="U90" s="90">
        <f>'02 Oil Price Analysis'!U$63*'01 Major Assumptions'!$D$191</f>
        <v>20460</v>
      </c>
      <c r="V90" s="90">
        <f>'02 Oil Price Analysis'!V$63*'01 Major Assumptions'!$D$191</f>
        <v>20460</v>
      </c>
      <c r="W90" s="90">
        <f>'02 Oil Price Analysis'!W$63*'01 Major Assumptions'!$D$191</f>
        <v>20460</v>
      </c>
      <c r="X90" s="90">
        <f>'02 Oil Price Analysis'!X$63*'01 Major Assumptions'!$D$191</f>
        <v>20460</v>
      </c>
      <c r="Y90" s="90">
        <f>'02 Oil Price Analysis'!Y$63*'01 Major Assumptions'!$D$191</f>
        <v>20460</v>
      </c>
      <c r="Z90" s="90">
        <f>'02 Oil Price Analysis'!Z$63*'01 Major Assumptions'!$D$191</f>
        <v>22506</v>
      </c>
      <c r="AA90" s="90">
        <f>'02 Oil Price Analysis'!AA$63*'01 Major Assumptions'!$D$191</f>
        <v>22506</v>
      </c>
      <c r="AB90" s="90">
        <f>'02 Oil Price Analysis'!AB$63*'01 Major Assumptions'!$D$191</f>
        <v>22506</v>
      </c>
      <c r="AC90" s="90">
        <f>'02 Oil Price Analysis'!AC$63*'01 Major Assumptions'!$D$191</f>
        <v>22506</v>
      </c>
      <c r="AD90" s="90">
        <f>'02 Oil Price Analysis'!AD$63*'01 Major Assumptions'!$D$191</f>
        <v>22506</v>
      </c>
      <c r="AE90" s="90">
        <f>'02 Oil Price Analysis'!AE$63*'01 Major Assumptions'!$D$191</f>
        <v>23023.637999999999</v>
      </c>
      <c r="AF90" s="90">
        <f>'02 Oil Price Analysis'!AF$63*'01 Major Assumptions'!$D$191</f>
        <v>23023.637999999999</v>
      </c>
      <c r="AG90" s="90">
        <f>'02 Oil Price Analysis'!AG$63*'01 Major Assumptions'!$D$191</f>
        <v>23023.637999999999</v>
      </c>
      <c r="AH90" s="90">
        <f>'02 Oil Price Analysis'!AH$63*'01 Major Assumptions'!$D$191</f>
        <v>23023.637999999999</v>
      </c>
      <c r="AI90" s="90">
        <f>'02 Oil Price Analysis'!AI$63*'01 Major Assumptions'!$D$191</f>
        <v>23023.637999999999</v>
      </c>
      <c r="AJ90" s="90">
        <f>'02 Oil Price Analysis'!AJ$63*'01 Major Assumptions'!$D$191</f>
        <v>23023.637999999999</v>
      </c>
      <c r="AK90" s="90">
        <f>'02 Oil Price Analysis'!AK$63*'01 Major Assumptions'!$D$191</f>
        <v>23023.637999999999</v>
      </c>
      <c r="AL90" s="90">
        <f>'02 Oil Price Analysis'!AL$63*'01 Major Assumptions'!$D$191</f>
        <v>23023.637999999999</v>
      </c>
      <c r="AM90" s="90">
        <f>'02 Oil Price Analysis'!AM$63*'01 Major Assumptions'!$D$191</f>
        <v>23023.637999999999</v>
      </c>
      <c r="AN90" s="90">
        <f>'02 Oil Price Analysis'!AN$63*'01 Major Assumptions'!$D$191</f>
        <v>23023.637999999999</v>
      </c>
      <c r="AO90" s="90">
        <f>'02 Oil Price Analysis'!AO$63*'01 Major Assumptions'!$D$191</f>
        <v>23023.637999999999</v>
      </c>
      <c r="AP90" s="90">
        <f>'02 Oil Price Analysis'!AP$63*'01 Major Assumptions'!$D$191</f>
        <v>23023.637999999999</v>
      </c>
      <c r="AQ90" s="90">
        <f>'02 Oil Price Analysis'!AQ$63*'01 Major Assumptions'!$D$191</f>
        <v>23553.181673999996</v>
      </c>
      <c r="AR90" s="90">
        <f>'02 Oil Price Analysis'!AR$63*'01 Major Assumptions'!$D$191</f>
        <v>23553.181673999996</v>
      </c>
      <c r="AS90" s="90">
        <f>'02 Oil Price Analysis'!AS$63*'01 Major Assumptions'!$D$191</f>
        <v>23553.181673999996</v>
      </c>
      <c r="AT90" s="90">
        <f>'02 Oil Price Analysis'!AT$63*'01 Major Assumptions'!$D$191</f>
        <v>23553.181673999996</v>
      </c>
      <c r="AU90" s="90">
        <f>'02 Oil Price Analysis'!AU$63*'01 Major Assumptions'!$D$191</f>
        <v>23553.181673999996</v>
      </c>
      <c r="AV90" s="90">
        <f>'02 Oil Price Analysis'!AV$63*'01 Major Assumptions'!$D$191</f>
        <v>23553.181673999996</v>
      </c>
      <c r="AW90" s="90">
        <f>'02 Oil Price Analysis'!AW$63*'01 Major Assumptions'!$D$191</f>
        <v>23553.181673999996</v>
      </c>
      <c r="AX90" s="90">
        <f>'02 Oil Price Analysis'!AX$63*'01 Major Assumptions'!$D$191</f>
        <v>23553.181673999996</v>
      </c>
      <c r="AY90" s="90">
        <f>'02 Oil Price Analysis'!AY$63*'01 Major Assumptions'!$D$191</f>
        <v>23553.181673999996</v>
      </c>
      <c r="AZ90" s="90">
        <f>'02 Oil Price Analysis'!AZ$63*'01 Major Assumptions'!$D$191</f>
        <v>23553.181673999996</v>
      </c>
      <c r="BA90" s="90">
        <f>'02 Oil Price Analysis'!BA$63*'01 Major Assumptions'!$D$191</f>
        <v>23553.181673999996</v>
      </c>
      <c r="BB90" s="90">
        <f>'02 Oil Price Analysis'!BB$63*'01 Major Assumptions'!$D$191</f>
        <v>23553.181673999996</v>
      </c>
      <c r="BC90" s="90">
        <f>'02 Oil Price Analysis'!BC$63*'01 Major Assumptions'!$D$191</f>
        <v>24094.904852501993</v>
      </c>
      <c r="BD90" s="90">
        <f>'02 Oil Price Analysis'!BD$63*'01 Major Assumptions'!$D$191</f>
        <v>24094.904852501993</v>
      </c>
      <c r="BE90" s="90">
        <f>'02 Oil Price Analysis'!BE$63*'01 Major Assumptions'!$D$191</f>
        <v>24094.904852501993</v>
      </c>
      <c r="BF90" s="90">
        <f>'02 Oil Price Analysis'!BF$63*'01 Major Assumptions'!$D$191</f>
        <v>24094.904852501993</v>
      </c>
      <c r="BG90" s="90">
        <f>'02 Oil Price Analysis'!BG$63*'01 Major Assumptions'!$D$191</f>
        <v>24094.904852501993</v>
      </c>
      <c r="BH90" s="90">
        <f>'02 Oil Price Analysis'!BH$63*'01 Major Assumptions'!$D$191</f>
        <v>24094.904852501993</v>
      </c>
      <c r="BI90" s="90">
        <f>'02 Oil Price Analysis'!BI$63*'01 Major Assumptions'!$D$191</f>
        <v>24649.087664109535</v>
      </c>
      <c r="BJ90" s="90">
        <f>'02 Oil Price Analysis'!BJ$63*'01 Major Assumptions'!$D$191</f>
        <v>25216.016680384055</v>
      </c>
      <c r="BK90" s="90">
        <f>'02 Oil Price Analysis'!BK$63*'01 Major Assumptions'!$D$191</f>
        <v>25795.985064032884</v>
      </c>
      <c r="BL90" s="90">
        <f>'02 Oil Price Analysis'!BL$63*'01 Major Assumptions'!$D$191</f>
        <v>26389.29272050564</v>
      </c>
      <c r="BM90" s="90">
        <f>'02 Oil Price Analysis'!BM$63*'01 Major Assumptions'!$D$191</f>
        <v>26996.246453077263</v>
      </c>
      <c r="BN90" s="90">
        <f>'02 Oil Price Analysis'!BN$63*'01 Major Assumptions'!$D$191</f>
        <v>27617.16012149804</v>
      </c>
      <c r="BO90" s="90">
        <f>'02 Oil Price Analysis'!BO$63*'01 Major Assumptions'!$D$191</f>
        <v>28252.354804292492</v>
      </c>
    </row>
    <row r="91" spans="1:67">
      <c r="A91" s="11"/>
      <c r="B91" s="11"/>
      <c r="C91" s="11" t="s">
        <v>253</v>
      </c>
      <c r="D91" s="33"/>
      <c r="E91" s="10" t="s">
        <v>70</v>
      </c>
      <c r="F91" s="10"/>
      <c r="G91" s="90">
        <f>'02 Oil Price Analysis'!G$64*'01 Major Assumptions'!$D$191</f>
        <v>35000</v>
      </c>
      <c r="H91" s="90">
        <f>'02 Oil Price Analysis'!H$64*'01 Major Assumptions'!$D$191</f>
        <v>35000</v>
      </c>
      <c r="I91" s="90">
        <f>'02 Oil Price Analysis'!I$64*'01 Major Assumptions'!$D$191</f>
        <v>35000</v>
      </c>
      <c r="J91" s="90">
        <f>'02 Oil Price Analysis'!J$64*'01 Major Assumptions'!$D$191</f>
        <v>35000</v>
      </c>
      <c r="K91" s="90">
        <f>'02 Oil Price Analysis'!K$64*'01 Major Assumptions'!$D$191</f>
        <v>35000</v>
      </c>
      <c r="L91" s="90">
        <f>'02 Oil Price Analysis'!L$64*'01 Major Assumptions'!$D$191</f>
        <v>35000</v>
      </c>
      <c r="M91" s="90">
        <f>'02 Oil Price Analysis'!M$64*'01 Major Assumptions'!$D$191</f>
        <v>35000</v>
      </c>
      <c r="N91" s="90">
        <f>'02 Oil Price Analysis'!N$64*'01 Major Assumptions'!$D$191</f>
        <v>35000</v>
      </c>
      <c r="O91" s="90">
        <f>'02 Oil Price Analysis'!O$64*'01 Major Assumptions'!$D$191</f>
        <v>35000</v>
      </c>
      <c r="P91" s="90">
        <f>'02 Oil Price Analysis'!P$64*'01 Major Assumptions'!$D$191</f>
        <v>35000</v>
      </c>
      <c r="Q91" s="90">
        <f>'02 Oil Price Analysis'!Q$64*'01 Major Assumptions'!$D$191</f>
        <v>35000</v>
      </c>
      <c r="R91" s="90">
        <f>'02 Oil Price Analysis'!R$64*'01 Major Assumptions'!$D$191</f>
        <v>35000</v>
      </c>
      <c r="S91" s="90">
        <f>'02 Oil Price Analysis'!S$64*'01 Major Assumptions'!$D$191</f>
        <v>35805</v>
      </c>
      <c r="T91" s="90">
        <f>'02 Oil Price Analysis'!T$64*'01 Major Assumptions'!$D$191</f>
        <v>35805</v>
      </c>
      <c r="U91" s="90">
        <f>'02 Oil Price Analysis'!U$64*'01 Major Assumptions'!$D$191</f>
        <v>35805</v>
      </c>
      <c r="V91" s="90">
        <f>'02 Oil Price Analysis'!V$64*'01 Major Assumptions'!$D$191</f>
        <v>35805</v>
      </c>
      <c r="W91" s="90">
        <f>'02 Oil Price Analysis'!W$64*'01 Major Assumptions'!$D$191</f>
        <v>35805</v>
      </c>
      <c r="X91" s="90">
        <f>'02 Oil Price Analysis'!X$64*'01 Major Assumptions'!$D$191</f>
        <v>35805</v>
      </c>
      <c r="Y91" s="90">
        <f>'02 Oil Price Analysis'!Y$64*'01 Major Assumptions'!$D$191</f>
        <v>35805</v>
      </c>
      <c r="Z91" s="90">
        <f>'02 Oil Price Analysis'!Z$64*'01 Major Assumptions'!$D$191</f>
        <v>41175.75</v>
      </c>
      <c r="AA91" s="90">
        <f>'02 Oil Price Analysis'!AA$64*'01 Major Assumptions'!$D$191</f>
        <v>41175.75</v>
      </c>
      <c r="AB91" s="90">
        <f>'02 Oil Price Analysis'!AB$64*'01 Major Assumptions'!$D$191</f>
        <v>41175.75</v>
      </c>
      <c r="AC91" s="90">
        <f>'02 Oil Price Analysis'!AC$64*'01 Major Assumptions'!$D$191</f>
        <v>41175.75</v>
      </c>
      <c r="AD91" s="90">
        <f>'02 Oil Price Analysis'!AD$64*'01 Major Assumptions'!$D$191</f>
        <v>41175.75</v>
      </c>
      <c r="AE91" s="90">
        <f>'02 Oil Price Analysis'!AE$64*'01 Major Assumptions'!$D$191</f>
        <v>42122.792249999991</v>
      </c>
      <c r="AF91" s="90">
        <f>'02 Oil Price Analysis'!AF$64*'01 Major Assumptions'!$D$191</f>
        <v>42122.792249999991</v>
      </c>
      <c r="AG91" s="90">
        <f>'02 Oil Price Analysis'!AG$64*'01 Major Assumptions'!$D$191</f>
        <v>42122.792249999991</v>
      </c>
      <c r="AH91" s="90">
        <f>'02 Oil Price Analysis'!AH$64*'01 Major Assumptions'!$D$191</f>
        <v>42122.792249999991</v>
      </c>
      <c r="AI91" s="90">
        <f>'02 Oil Price Analysis'!AI$64*'01 Major Assumptions'!$D$191</f>
        <v>42122.792249999991</v>
      </c>
      <c r="AJ91" s="90">
        <f>'02 Oil Price Analysis'!AJ$64*'01 Major Assumptions'!$D$191</f>
        <v>42122.792249999991</v>
      </c>
      <c r="AK91" s="90">
        <f>'02 Oil Price Analysis'!AK$64*'01 Major Assumptions'!$D$191</f>
        <v>42122.792249999991</v>
      </c>
      <c r="AL91" s="90">
        <f>'02 Oil Price Analysis'!AL$64*'01 Major Assumptions'!$D$191</f>
        <v>42122.792249999991</v>
      </c>
      <c r="AM91" s="90">
        <f>'02 Oil Price Analysis'!AM$64*'01 Major Assumptions'!$D$191</f>
        <v>42122.792249999991</v>
      </c>
      <c r="AN91" s="90">
        <f>'02 Oil Price Analysis'!AN$64*'01 Major Assumptions'!$D$191</f>
        <v>42122.792249999991</v>
      </c>
      <c r="AO91" s="90">
        <f>'02 Oil Price Analysis'!AO$64*'01 Major Assumptions'!$D$191</f>
        <v>42122.792249999991</v>
      </c>
      <c r="AP91" s="90">
        <f>'02 Oil Price Analysis'!AP$64*'01 Major Assumptions'!$D$191</f>
        <v>42122.792249999991</v>
      </c>
      <c r="AQ91" s="90">
        <f>'02 Oil Price Analysis'!AQ$64*'01 Major Assumptions'!$D$191</f>
        <v>43091.616471749985</v>
      </c>
      <c r="AR91" s="90">
        <f>'02 Oil Price Analysis'!AR$64*'01 Major Assumptions'!$D$191</f>
        <v>43091.616471749985</v>
      </c>
      <c r="AS91" s="90">
        <f>'02 Oil Price Analysis'!AS$64*'01 Major Assumptions'!$D$191</f>
        <v>43091.616471749985</v>
      </c>
      <c r="AT91" s="90">
        <f>'02 Oil Price Analysis'!AT$64*'01 Major Assumptions'!$D$191</f>
        <v>43091.616471749985</v>
      </c>
      <c r="AU91" s="90">
        <f>'02 Oil Price Analysis'!AU$64*'01 Major Assumptions'!$D$191</f>
        <v>43091.616471749985</v>
      </c>
      <c r="AV91" s="90">
        <f>'02 Oil Price Analysis'!AV$64*'01 Major Assumptions'!$D$191</f>
        <v>43091.616471749985</v>
      </c>
      <c r="AW91" s="90">
        <f>'02 Oil Price Analysis'!AW$64*'01 Major Assumptions'!$D$191</f>
        <v>43091.616471749985</v>
      </c>
      <c r="AX91" s="90">
        <f>'02 Oil Price Analysis'!AX$64*'01 Major Assumptions'!$D$191</f>
        <v>43091.616471749985</v>
      </c>
      <c r="AY91" s="90">
        <f>'02 Oil Price Analysis'!AY$64*'01 Major Assumptions'!$D$191</f>
        <v>43091.616471749985</v>
      </c>
      <c r="AZ91" s="90">
        <f>'02 Oil Price Analysis'!AZ$64*'01 Major Assumptions'!$D$191</f>
        <v>43091.616471749985</v>
      </c>
      <c r="BA91" s="90">
        <f>'02 Oil Price Analysis'!BA$64*'01 Major Assumptions'!$D$191</f>
        <v>43091.616471749985</v>
      </c>
      <c r="BB91" s="90">
        <f>'02 Oil Price Analysis'!BB$64*'01 Major Assumptions'!$D$191</f>
        <v>43091.616471749985</v>
      </c>
      <c r="BC91" s="90">
        <f>'02 Oil Price Analysis'!BC$64*'01 Major Assumptions'!$D$191</f>
        <v>44082.72365060023</v>
      </c>
      <c r="BD91" s="90">
        <f>'02 Oil Price Analysis'!BD$64*'01 Major Assumptions'!$D$191</f>
        <v>44082.72365060023</v>
      </c>
      <c r="BE91" s="90">
        <f>'02 Oil Price Analysis'!BE$64*'01 Major Assumptions'!$D$191</f>
        <v>44082.72365060023</v>
      </c>
      <c r="BF91" s="90">
        <f>'02 Oil Price Analysis'!BF$64*'01 Major Assumptions'!$D$191</f>
        <v>44082.72365060023</v>
      </c>
      <c r="BG91" s="90">
        <f>'02 Oil Price Analysis'!BG$64*'01 Major Assumptions'!$D$191</f>
        <v>44082.72365060023</v>
      </c>
      <c r="BH91" s="90">
        <f>'02 Oil Price Analysis'!BH$64*'01 Major Assumptions'!$D$191</f>
        <v>44082.72365060023</v>
      </c>
      <c r="BI91" s="90">
        <f>'02 Oil Price Analysis'!BI$64*'01 Major Assumptions'!$D$191</f>
        <v>45096.626294564034</v>
      </c>
      <c r="BJ91" s="90">
        <f>'02 Oil Price Analysis'!BJ$64*'01 Major Assumptions'!$D$191</f>
        <v>46133.848699339003</v>
      </c>
      <c r="BK91" s="90">
        <f>'02 Oil Price Analysis'!BK$64*'01 Major Assumptions'!$D$191</f>
        <v>47194.927219423793</v>
      </c>
      <c r="BL91" s="90">
        <f>'02 Oil Price Analysis'!BL$64*'01 Major Assumptions'!$D$191</f>
        <v>48280.410545470535</v>
      </c>
      <c r="BM91" s="90">
        <f>'02 Oil Price Analysis'!BM$64*'01 Major Assumptions'!$D$191</f>
        <v>49390.859988016346</v>
      </c>
      <c r="BN91" s="90">
        <f>'02 Oil Price Analysis'!BN$64*'01 Major Assumptions'!$D$191</f>
        <v>50526.849767740721</v>
      </c>
      <c r="BO91" s="90">
        <f>'02 Oil Price Analysis'!BO$64*'01 Major Assumptions'!$D$191</f>
        <v>51688.96731239876</v>
      </c>
    </row>
    <row r="92" spans="1:67">
      <c r="A92" s="11"/>
      <c r="B92" s="11"/>
      <c r="C92" s="11" t="s">
        <v>75</v>
      </c>
      <c r="D92" s="33"/>
      <c r="E92" s="10" t="s">
        <v>70</v>
      </c>
      <c r="F92" s="10"/>
      <c r="G92" s="90">
        <f>'02 Oil Price Analysis'!G$65*'01 Major Assumptions'!$D$191</f>
        <v>4500</v>
      </c>
      <c r="H92" s="90">
        <f>'02 Oil Price Analysis'!H$65*'01 Major Assumptions'!$D$191</f>
        <v>4500</v>
      </c>
      <c r="I92" s="90">
        <f>'02 Oil Price Analysis'!I$65*'01 Major Assumptions'!$D$191</f>
        <v>4500</v>
      </c>
      <c r="J92" s="90">
        <f>'02 Oil Price Analysis'!J$65*'01 Major Assumptions'!$D$191</f>
        <v>4500</v>
      </c>
      <c r="K92" s="90">
        <f>'02 Oil Price Analysis'!K$65*'01 Major Assumptions'!$D$191</f>
        <v>4500</v>
      </c>
      <c r="L92" s="90">
        <f>'02 Oil Price Analysis'!L$65*'01 Major Assumptions'!$D$191</f>
        <v>4500</v>
      </c>
      <c r="M92" s="90">
        <f>'02 Oil Price Analysis'!M$65*'01 Major Assumptions'!$D$191</f>
        <v>4500</v>
      </c>
      <c r="N92" s="90">
        <f>'02 Oil Price Analysis'!N$65*'01 Major Assumptions'!$D$191</f>
        <v>4500</v>
      </c>
      <c r="O92" s="90">
        <f>'02 Oil Price Analysis'!O$65*'01 Major Assumptions'!$D$191</f>
        <v>4500</v>
      </c>
      <c r="P92" s="90">
        <f>'02 Oil Price Analysis'!P$65*'01 Major Assumptions'!$D$191</f>
        <v>4500</v>
      </c>
      <c r="Q92" s="90">
        <f>'02 Oil Price Analysis'!Q$65*'01 Major Assumptions'!$D$191</f>
        <v>4500</v>
      </c>
      <c r="R92" s="90">
        <f>'02 Oil Price Analysis'!R$65*'01 Major Assumptions'!$D$191</f>
        <v>4500</v>
      </c>
      <c r="S92" s="90">
        <f>'02 Oil Price Analysis'!S$65*'01 Major Assumptions'!$D$191</f>
        <v>4603.5</v>
      </c>
      <c r="T92" s="90">
        <f>'02 Oil Price Analysis'!T$65*'01 Major Assumptions'!$D$191</f>
        <v>4603.5</v>
      </c>
      <c r="U92" s="90">
        <f>'02 Oil Price Analysis'!U$65*'01 Major Assumptions'!$D$191</f>
        <v>4603.5</v>
      </c>
      <c r="V92" s="90">
        <f>'02 Oil Price Analysis'!V$65*'01 Major Assumptions'!$D$191</f>
        <v>4603.5</v>
      </c>
      <c r="W92" s="90">
        <f>'02 Oil Price Analysis'!W$65*'01 Major Assumptions'!$D$191</f>
        <v>4603.5</v>
      </c>
      <c r="X92" s="90">
        <f>'02 Oil Price Analysis'!X$65*'01 Major Assumptions'!$D$191</f>
        <v>4603.5</v>
      </c>
      <c r="Y92" s="90">
        <f>'02 Oil Price Analysis'!Y$65*'01 Major Assumptions'!$D$191</f>
        <v>4603.5</v>
      </c>
      <c r="Z92" s="90">
        <f>'02 Oil Price Analysis'!Z$65*'01 Major Assumptions'!$D$191</f>
        <v>4603.5</v>
      </c>
      <c r="AA92" s="90">
        <f>'02 Oil Price Analysis'!AA$65*'01 Major Assumptions'!$D$191</f>
        <v>4603.5</v>
      </c>
      <c r="AB92" s="90">
        <f>'02 Oil Price Analysis'!AB$65*'01 Major Assumptions'!$D$191</f>
        <v>4603.5</v>
      </c>
      <c r="AC92" s="90">
        <f>'02 Oil Price Analysis'!AC$65*'01 Major Assumptions'!$D$191</f>
        <v>4603.5</v>
      </c>
      <c r="AD92" s="90">
        <f>'02 Oil Price Analysis'!AD$65*'01 Major Assumptions'!$D$191</f>
        <v>4603.5</v>
      </c>
      <c r="AE92" s="90">
        <f>'02 Oil Price Analysis'!AE$65*'01 Major Assumptions'!$D$191</f>
        <v>4709.3804999999993</v>
      </c>
      <c r="AF92" s="90">
        <f>'02 Oil Price Analysis'!AF$65*'01 Major Assumptions'!$D$191</f>
        <v>4709.3804999999993</v>
      </c>
      <c r="AG92" s="90">
        <f>'02 Oil Price Analysis'!AG$65*'01 Major Assumptions'!$D$191</f>
        <v>4709.3804999999993</v>
      </c>
      <c r="AH92" s="90">
        <f>'02 Oil Price Analysis'!AH$65*'01 Major Assumptions'!$D$191</f>
        <v>4709.3804999999993</v>
      </c>
      <c r="AI92" s="90">
        <f>'02 Oil Price Analysis'!AI$65*'01 Major Assumptions'!$D$191</f>
        <v>4709.3804999999993</v>
      </c>
      <c r="AJ92" s="90">
        <f>'02 Oil Price Analysis'!AJ$65*'01 Major Assumptions'!$D$191</f>
        <v>4709.3804999999993</v>
      </c>
      <c r="AK92" s="90">
        <f>'02 Oil Price Analysis'!AK$65*'01 Major Assumptions'!$D$191</f>
        <v>4709.3804999999993</v>
      </c>
      <c r="AL92" s="90">
        <f>'02 Oil Price Analysis'!AL$65*'01 Major Assumptions'!$D$191</f>
        <v>4709.3804999999993</v>
      </c>
      <c r="AM92" s="90">
        <f>'02 Oil Price Analysis'!AM$65*'01 Major Assumptions'!$D$191</f>
        <v>4709.3804999999993</v>
      </c>
      <c r="AN92" s="90">
        <f>'02 Oil Price Analysis'!AN$65*'01 Major Assumptions'!$D$191</f>
        <v>4709.3804999999993</v>
      </c>
      <c r="AO92" s="90">
        <f>'02 Oil Price Analysis'!AO$65*'01 Major Assumptions'!$D$191</f>
        <v>4709.3804999999993</v>
      </c>
      <c r="AP92" s="90">
        <f>'02 Oil Price Analysis'!AP$65*'01 Major Assumptions'!$D$191</f>
        <v>4709.3804999999993</v>
      </c>
      <c r="AQ92" s="90">
        <f>'02 Oil Price Analysis'!AQ$65*'01 Major Assumptions'!$D$191</f>
        <v>4817.6962514999987</v>
      </c>
      <c r="AR92" s="90">
        <f>'02 Oil Price Analysis'!AR$65*'01 Major Assumptions'!$D$191</f>
        <v>4817.6962514999987</v>
      </c>
      <c r="AS92" s="90">
        <f>'02 Oil Price Analysis'!AS$65*'01 Major Assumptions'!$D$191</f>
        <v>4817.6962514999987</v>
      </c>
      <c r="AT92" s="90">
        <f>'02 Oil Price Analysis'!AT$65*'01 Major Assumptions'!$D$191</f>
        <v>4817.6962514999987</v>
      </c>
      <c r="AU92" s="90">
        <f>'02 Oil Price Analysis'!AU$65*'01 Major Assumptions'!$D$191</f>
        <v>4817.6962514999987</v>
      </c>
      <c r="AV92" s="90">
        <f>'02 Oil Price Analysis'!AV$65*'01 Major Assumptions'!$D$191</f>
        <v>4817.6962514999987</v>
      </c>
      <c r="AW92" s="90">
        <f>'02 Oil Price Analysis'!AW$65*'01 Major Assumptions'!$D$191</f>
        <v>4817.6962514999987</v>
      </c>
      <c r="AX92" s="90">
        <f>'02 Oil Price Analysis'!AX$65*'01 Major Assumptions'!$D$191</f>
        <v>4817.6962514999987</v>
      </c>
      <c r="AY92" s="90">
        <f>'02 Oil Price Analysis'!AY$65*'01 Major Assumptions'!$D$191</f>
        <v>4817.6962514999987</v>
      </c>
      <c r="AZ92" s="90">
        <f>'02 Oil Price Analysis'!AZ$65*'01 Major Assumptions'!$D$191</f>
        <v>4817.6962514999987</v>
      </c>
      <c r="BA92" s="90">
        <f>'02 Oil Price Analysis'!BA$65*'01 Major Assumptions'!$D$191</f>
        <v>4817.6962514999987</v>
      </c>
      <c r="BB92" s="90">
        <f>'02 Oil Price Analysis'!BB$65*'01 Major Assumptions'!$D$191</f>
        <v>4817.6962514999987</v>
      </c>
      <c r="BC92" s="90">
        <f>'02 Oil Price Analysis'!BC$65*'01 Major Assumptions'!$D$191</f>
        <v>4928.5032652844984</v>
      </c>
      <c r="BD92" s="90">
        <f>'02 Oil Price Analysis'!BD$65*'01 Major Assumptions'!$D$191</f>
        <v>4928.5032652844984</v>
      </c>
      <c r="BE92" s="90">
        <f>'02 Oil Price Analysis'!BE$65*'01 Major Assumptions'!$D$191</f>
        <v>4928.5032652844984</v>
      </c>
      <c r="BF92" s="90">
        <f>'02 Oil Price Analysis'!BF$65*'01 Major Assumptions'!$D$191</f>
        <v>4928.5032652844984</v>
      </c>
      <c r="BG92" s="90">
        <f>'02 Oil Price Analysis'!BG$65*'01 Major Assumptions'!$D$191</f>
        <v>4928.5032652844984</v>
      </c>
      <c r="BH92" s="90">
        <f>'02 Oil Price Analysis'!BH$65*'01 Major Assumptions'!$D$191</f>
        <v>4928.5032652844984</v>
      </c>
      <c r="BI92" s="90">
        <f>'02 Oil Price Analysis'!BI$65*'01 Major Assumptions'!$D$191</f>
        <v>5041.8588403860413</v>
      </c>
      <c r="BJ92" s="90">
        <f>'02 Oil Price Analysis'!BJ$65*'01 Major Assumptions'!$D$191</f>
        <v>5157.8215937149198</v>
      </c>
      <c r="BK92" s="90">
        <f>'02 Oil Price Analysis'!BK$65*'01 Major Assumptions'!$D$191</f>
        <v>5276.4514903703621</v>
      </c>
      <c r="BL92" s="90">
        <f>'02 Oil Price Analysis'!BL$65*'01 Major Assumptions'!$D$191</f>
        <v>5397.8098746488804</v>
      </c>
      <c r="BM92" s="90">
        <f>'02 Oil Price Analysis'!BM$65*'01 Major Assumptions'!$D$191</f>
        <v>5521.9595017658039</v>
      </c>
      <c r="BN92" s="90">
        <f>'02 Oil Price Analysis'!BN$65*'01 Major Assumptions'!$D$191</f>
        <v>5648.9645703064161</v>
      </c>
      <c r="BO92" s="90">
        <f>'02 Oil Price Analysis'!BO$65*'01 Major Assumptions'!$D$191</f>
        <v>5778.8907554234638</v>
      </c>
    </row>
    <row r="93" spans="1:67">
      <c r="A93" s="11"/>
      <c r="B93" s="11" t="s">
        <v>766</v>
      </c>
      <c r="C93" s="11" t="s">
        <v>78</v>
      </c>
      <c r="D93" s="33"/>
      <c r="E93" s="10" t="s">
        <v>70</v>
      </c>
      <c r="F93" s="10"/>
      <c r="G93" s="90">
        <f>-'01 Major Assumptions'!$D$199*(1+'01 Major Assumptions'!$D$23)^'02 Oil Price Analysis'!G$57</f>
        <v>-2500</v>
      </c>
      <c r="H93" s="90">
        <f>-'01 Major Assumptions'!$D$199*(1+'01 Major Assumptions'!$D$23)^'02 Oil Price Analysis'!H$57</f>
        <v>-2500</v>
      </c>
      <c r="I93" s="90">
        <f>-'01 Major Assumptions'!$D$199*(1+'01 Major Assumptions'!$D$23)^'02 Oil Price Analysis'!I$57</f>
        <v>-2500</v>
      </c>
      <c r="J93" s="90">
        <f>-'01 Major Assumptions'!$D$199*(1+'01 Major Assumptions'!$D$23)^'02 Oil Price Analysis'!J$57</f>
        <v>-2500</v>
      </c>
      <c r="K93" s="90">
        <f>-'01 Major Assumptions'!$D$199*(1+'01 Major Assumptions'!$D$23)^'02 Oil Price Analysis'!K$57</f>
        <v>-2500</v>
      </c>
      <c r="L93" s="90">
        <f>-'01 Major Assumptions'!$D$199*(1+'01 Major Assumptions'!$D$23)^'02 Oil Price Analysis'!L$57</f>
        <v>-2500</v>
      </c>
      <c r="M93" s="90">
        <f>-'01 Major Assumptions'!$D$199*(1+'01 Major Assumptions'!$D$23)^'02 Oil Price Analysis'!M$57</f>
        <v>-2500</v>
      </c>
      <c r="N93" s="90">
        <f>-'01 Major Assumptions'!$D$199*(1+'01 Major Assumptions'!$D$23)^'02 Oil Price Analysis'!N$57</f>
        <v>-2500</v>
      </c>
      <c r="O93" s="90">
        <f>-'01 Major Assumptions'!$D$199*(1+'01 Major Assumptions'!$D$23)^'02 Oil Price Analysis'!O$57</f>
        <v>-2500</v>
      </c>
      <c r="P93" s="90">
        <f>-'01 Major Assumptions'!$D$199*(1+'01 Major Assumptions'!$D$23)^'02 Oil Price Analysis'!P$57</f>
        <v>-2500</v>
      </c>
      <c r="Q93" s="90">
        <f>-'01 Major Assumptions'!$D$199*(1+'01 Major Assumptions'!$D$23)^'02 Oil Price Analysis'!Q$57</f>
        <v>-2500</v>
      </c>
      <c r="R93" s="90">
        <f>-'01 Major Assumptions'!$D$199*(1+'01 Major Assumptions'!$D$23)^'02 Oil Price Analysis'!R$57</f>
        <v>-2500</v>
      </c>
      <c r="S93" s="90">
        <f>-'01 Major Assumptions'!$D$199*(1+'01 Major Assumptions'!$D$23)^'02 Oil Price Analysis'!S$57</f>
        <v>-2557.5</v>
      </c>
      <c r="T93" s="90">
        <f>-'01 Major Assumptions'!$D$199*(1+'01 Major Assumptions'!$D$23)^'02 Oil Price Analysis'!T$57</f>
        <v>-2557.5</v>
      </c>
      <c r="U93" s="90">
        <f>-'01 Major Assumptions'!$D$199*(1+'01 Major Assumptions'!$D$23)^'02 Oil Price Analysis'!U$57</f>
        <v>-2557.5</v>
      </c>
      <c r="V93" s="90">
        <f>-'01 Major Assumptions'!$D$199*(1+'01 Major Assumptions'!$D$23)^'02 Oil Price Analysis'!V$57</f>
        <v>-2557.5</v>
      </c>
      <c r="W93" s="90">
        <f>-'01 Major Assumptions'!$D$199*(1+'01 Major Assumptions'!$D$23)^'02 Oil Price Analysis'!W$57</f>
        <v>-2557.5</v>
      </c>
      <c r="X93" s="90">
        <f>-'01 Major Assumptions'!$D$199*(1+'01 Major Assumptions'!$D$23)^'02 Oil Price Analysis'!X$57</f>
        <v>-2557.5</v>
      </c>
      <c r="Y93" s="90">
        <f>-'01 Major Assumptions'!$D$199*(1+'01 Major Assumptions'!$D$23)^'02 Oil Price Analysis'!Y$57</f>
        <v>-2557.5</v>
      </c>
      <c r="Z93" s="90">
        <f>-'01 Major Assumptions'!$D$199*(1+'01 Major Assumptions'!$D$23)^'02 Oil Price Analysis'!Z$57</f>
        <v>-2557.5</v>
      </c>
      <c r="AA93" s="90">
        <f>-'01 Major Assumptions'!$D$199*(1+'01 Major Assumptions'!$D$23)^'02 Oil Price Analysis'!AA$57</f>
        <v>-2557.5</v>
      </c>
      <c r="AB93" s="90">
        <f>-'01 Major Assumptions'!$D$199*(1+'01 Major Assumptions'!$D$23)^'02 Oil Price Analysis'!AB$57</f>
        <v>-2557.5</v>
      </c>
      <c r="AC93" s="90">
        <f>-'01 Major Assumptions'!$D$199*(1+'01 Major Assumptions'!$D$23)^'02 Oil Price Analysis'!AC$57</f>
        <v>-2557.5</v>
      </c>
      <c r="AD93" s="90">
        <f>-'01 Major Assumptions'!$D$199*(1+'01 Major Assumptions'!$D$23)^'02 Oil Price Analysis'!AD$57</f>
        <v>-2557.5</v>
      </c>
      <c r="AE93" s="90">
        <f>-'01 Major Assumptions'!$D$199*(1+'01 Major Assumptions'!$D$23)^'02 Oil Price Analysis'!AE$57</f>
        <v>-2616.3224999999998</v>
      </c>
      <c r="AF93" s="90">
        <f>-'01 Major Assumptions'!$D$199*(1+'01 Major Assumptions'!$D$23)^'02 Oil Price Analysis'!AF$57</f>
        <v>-2616.3224999999998</v>
      </c>
      <c r="AG93" s="90">
        <f>-'01 Major Assumptions'!$D$199*(1+'01 Major Assumptions'!$D$23)^'02 Oil Price Analysis'!AG$57</f>
        <v>-2616.3224999999998</v>
      </c>
      <c r="AH93" s="90">
        <f>-'01 Major Assumptions'!$D$199*(1+'01 Major Assumptions'!$D$23)^'02 Oil Price Analysis'!AH$57</f>
        <v>-2616.3224999999998</v>
      </c>
      <c r="AI93" s="90">
        <f>-'01 Major Assumptions'!$D$199*(1+'01 Major Assumptions'!$D$23)^'02 Oil Price Analysis'!AI$57</f>
        <v>-2616.3224999999998</v>
      </c>
      <c r="AJ93" s="90">
        <f>-'01 Major Assumptions'!$D$199*(1+'01 Major Assumptions'!$D$23)^'02 Oil Price Analysis'!AJ$57</f>
        <v>-2616.3224999999998</v>
      </c>
      <c r="AK93" s="90">
        <f>-'01 Major Assumptions'!$D$199*(1+'01 Major Assumptions'!$D$23)^'02 Oil Price Analysis'!AK$57</f>
        <v>-2616.3224999999998</v>
      </c>
      <c r="AL93" s="90">
        <f>-'01 Major Assumptions'!$D$199*(1+'01 Major Assumptions'!$D$23)^'02 Oil Price Analysis'!AL$57</f>
        <v>-2616.3224999999998</v>
      </c>
      <c r="AM93" s="90">
        <f>-'01 Major Assumptions'!$D$199*(1+'01 Major Assumptions'!$D$23)^'02 Oil Price Analysis'!AM$57</f>
        <v>-2616.3224999999998</v>
      </c>
      <c r="AN93" s="90">
        <f>-'01 Major Assumptions'!$D$199*(1+'01 Major Assumptions'!$D$23)^'02 Oil Price Analysis'!AN$57</f>
        <v>-2616.3224999999998</v>
      </c>
      <c r="AO93" s="90">
        <f>-'01 Major Assumptions'!$D$199*(1+'01 Major Assumptions'!$D$23)^'02 Oil Price Analysis'!AO$57</f>
        <v>-2616.3224999999998</v>
      </c>
      <c r="AP93" s="90">
        <f>-'01 Major Assumptions'!$D$199*(1+'01 Major Assumptions'!$D$23)^'02 Oil Price Analysis'!AP$57</f>
        <v>-2616.3224999999998</v>
      </c>
      <c r="AQ93" s="90">
        <f>-'01 Major Assumptions'!$D$199*(1+'01 Major Assumptions'!$D$23)^'02 Oil Price Analysis'!AQ$57</f>
        <v>-2676.4979174999994</v>
      </c>
      <c r="AR93" s="90">
        <f>-'01 Major Assumptions'!$D$199*(1+'01 Major Assumptions'!$D$23)^'02 Oil Price Analysis'!AR$57</f>
        <v>-2676.4979174999994</v>
      </c>
      <c r="AS93" s="90">
        <f>-'01 Major Assumptions'!$D$199*(1+'01 Major Assumptions'!$D$23)^'02 Oil Price Analysis'!AS$57</f>
        <v>-2676.4979174999994</v>
      </c>
      <c r="AT93" s="90">
        <f>-'01 Major Assumptions'!$D$199*(1+'01 Major Assumptions'!$D$23)^'02 Oil Price Analysis'!AT$57</f>
        <v>-2676.4979174999994</v>
      </c>
      <c r="AU93" s="90">
        <f>-'01 Major Assumptions'!$D$199*(1+'01 Major Assumptions'!$D$23)^'02 Oil Price Analysis'!AU$57</f>
        <v>-2676.4979174999994</v>
      </c>
      <c r="AV93" s="90">
        <f>-'01 Major Assumptions'!$D$199*(1+'01 Major Assumptions'!$D$23)^'02 Oil Price Analysis'!AV$57</f>
        <v>-2676.4979174999994</v>
      </c>
      <c r="AW93" s="90">
        <f>-'01 Major Assumptions'!$D$199*(1+'01 Major Assumptions'!$D$23)^'02 Oil Price Analysis'!AW$57</f>
        <v>-2676.4979174999994</v>
      </c>
      <c r="AX93" s="90">
        <f>-'01 Major Assumptions'!$D$199*(1+'01 Major Assumptions'!$D$23)^'02 Oil Price Analysis'!AX$57</f>
        <v>-2676.4979174999994</v>
      </c>
      <c r="AY93" s="90">
        <f>-'01 Major Assumptions'!$D$199*(1+'01 Major Assumptions'!$D$23)^'02 Oil Price Analysis'!AY$57</f>
        <v>-2676.4979174999994</v>
      </c>
      <c r="AZ93" s="90">
        <f>-'01 Major Assumptions'!$D$199*(1+'01 Major Assumptions'!$D$23)^'02 Oil Price Analysis'!AZ$57</f>
        <v>-2676.4979174999994</v>
      </c>
      <c r="BA93" s="90">
        <f>-'01 Major Assumptions'!$D$199*(1+'01 Major Assumptions'!$D$23)^'02 Oil Price Analysis'!BA$57</f>
        <v>-2676.4979174999994</v>
      </c>
      <c r="BB93" s="90">
        <f>-'01 Major Assumptions'!$D$199*(1+'01 Major Assumptions'!$D$23)^'02 Oil Price Analysis'!BB$57</f>
        <v>-2676.4979174999994</v>
      </c>
      <c r="BC93" s="90">
        <f>-'01 Major Assumptions'!$D$199*(1+'01 Major Assumptions'!$D$23)^'02 Oil Price Analysis'!BC$57</f>
        <v>-2738.057369602499</v>
      </c>
      <c r="BD93" s="90">
        <f>-'01 Major Assumptions'!$D$199*(1+'01 Major Assumptions'!$D$23)^'02 Oil Price Analysis'!BD$57</f>
        <v>-2738.057369602499</v>
      </c>
      <c r="BE93" s="90">
        <f>-'01 Major Assumptions'!$D$199*(1+'01 Major Assumptions'!$D$23)^'02 Oil Price Analysis'!BE$57</f>
        <v>-2738.057369602499</v>
      </c>
      <c r="BF93" s="90">
        <f>-'01 Major Assumptions'!$D$199*(1+'01 Major Assumptions'!$D$23)^'02 Oil Price Analysis'!BF$57</f>
        <v>-2738.057369602499</v>
      </c>
      <c r="BG93" s="90">
        <f>-'01 Major Assumptions'!$D$199*(1+'01 Major Assumptions'!$D$23)^'02 Oil Price Analysis'!BG$57</f>
        <v>-2738.057369602499</v>
      </c>
      <c r="BH93" s="90">
        <f>-'01 Major Assumptions'!$D$199*(1+'01 Major Assumptions'!$D$23)^'02 Oil Price Analysis'!BH$57</f>
        <v>-2738.057369602499</v>
      </c>
      <c r="BI93" s="90">
        <f>-'01 Major Assumptions'!$D$199*(1+'01 Major Assumptions'!$D$23)^'02 Oil Price Analysis'!BI$57</f>
        <v>-2801.032689103356</v>
      </c>
      <c r="BJ93" s="90">
        <f>-'01 Major Assumptions'!$D$199*(1+'01 Major Assumptions'!$D$23)^'02 Oil Price Analysis'!BJ$57</f>
        <v>-2865.4564409527334</v>
      </c>
      <c r="BK93" s="90">
        <f>-'01 Major Assumptions'!$D$199*(1+'01 Major Assumptions'!$D$23)^'02 Oil Price Analysis'!BK$57</f>
        <v>-2931.3619390946455</v>
      </c>
      <c r="BL93" s="90">
        <f>-'01 Major Assumptions'!$D$199*(1+'01 Major Assumptions'!$D$23)^'02 Oil Price Analysis'!BL$57</f>
        <v>-2998.7832636938224</v>
      </c>
      <c r="BM93" s="90">
        <f>-'01 Major Assumptions'!$D$199*(1+'01 Major Assumptions'!$D$23)^'02 Oil Price Analysis'!BM$57</f>
        <v>-3067.7552787587797</v>
      </c>
      <c r="BN93" s="90">
        <f>-'01 Major Assumptions'!$D$199*(1+'01 Major Assumptions'!$D$23)^'02 Oil Price Analysis'!BN$57</f>
        <v>-3138.3136501702315</v>
      </c>
      <c r="BO93" s="90">
        <f>-'01 Major Assumptions'!$D$199*(1+'01 Major Assumptions'!$D$23)^'02 Oil Price Analysis'!BO$57</f>
        <v>-3210.4948641241467</v>
      </c>
    </row>
    <row r="94" spans="1:67">
      <c r="A94" s="11"/>
      <c r="B94" s="11"/>
      <c r="C94" s="11"/>
      <c r="D94" s="33"/>
      <c r="E94" s="43"/>
      <c r="F94" s="4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c r="BG94" s="33"/>
      <c r="BH94" s="33"/>
      <c r="BI94" s="33"/>
      <c r="BJ94" s="33"/>
      <c r="BK94" s="33"/>
      <c r="BL94" s="33"/>
      <c r="BM94" s="33"/>
      <c r="BN94" s="33"/>
      <c r="BO94" s="33"/>
    </row>
    <row r="95" spans="1:67">
      <c r="A95" s="18" t="s">
        <v>383</v>
      </c>
      <c r="B95" s="18"/>
      <c r="C95" s="18"/>
      <c r="D95" s="39"/>
      <c r="E95" s="39"/>
      <c r="F95" s="39"/>
      <c r="G95" s="39"/>
      <c r="H95" s="39"/>
      <c r="I95" s="39"/>
      <c r="J95" s="39"/>
      <c r="K95" s="39"/>
      <c r="L95" s="39"/>
      <c r="M95" s="39"/>
      <c r="N95" s="39"/>
      <c r="O95" s="39"/>
      <c r="P95" s="39"/>
      <c r="Q95" s="39"/>
      <c r="R95" s="39"/>
      <c r="S95" s="39"/>
      <c r="T95" s="39"/>
      <c r="U95" s="39"/>
      <c r="V95" s="39"/>
      <c r="W95" s="39"/>
      <c r="X95" s="39"/>
      <c r="Y95" s="39"/>
      <c r="Z95" s="39"/>
      <c r="AA95" s="39"/>
      <c r="AB95" s="39"/>
      <c r="AC95" s="39"/>
      <c r="AD95" s="39"/>
      <c r="AE95" s="39"/>
      <c r="AF95" s="39"/>
      <c r="AG95" s="39"/>
      <c r="AH95" s="39"/>
      <c r="AI95" s="39"/>
      <c r="AJ95" s="39"/>
      <c r="AK95" s="39"/>
      <c r="AL95" s="39"/>
      <c r="AM95" s="39"/>
      <c r="AN95" s="39"/>
      <c r="AO95" s="39"/>
      <c r="AP95" s="39"/>
      <c r="AQ95" s="39"/>
      <c r="AR95" s="39"/>
      <c r="AS95" s="39"/>
      <c r="AT95" s="39"/>
      <c r="AU95" s="39"/>
      <c r="AV95" s="39"/>
      <c r="AW95" s="39"/>
      <c r="AX95" s="39"/>
      <c r="AY95" s="39"/>
      <c r="AZ95" s="39"/>
      <c r="BA95" s="39"/>
      <c r="BB95" s="39"/>
      <c r="BC95" s="39"/>
      <c r="BD95" s="39"/>
      <c r="BE95" s="39"/>
      <c r="BF95" s="39"/>
      <c r="BG95" s="39"/>
      <c r="BH95" s="39"/>
      <c r="BI95" s="39"/>
      <c r="BJ95" s="39"/>
      <c r="BK95" s="39"/>
      <c r="BL95" s="39"/>
      <c r="BM95" s="39"/>
      <c r="BN95" s="39"/>
      <c r="BO95" s="39"/>
    </row>
    <row r="96" spans="1:67">
      <c r="A96" s="11"/>
      <c r="B96" s="11"/>
      <c r="C96" s="11" t="s">
        <v>72</v>
      </c>
      <c r="D96" s="33"/>
      <c r="E96" s="10" t="s">
        <v>13</v>
      </c>
      <c r="F96" s="10"/>
      <c r="G96" s="90">
        <f>G80*G89</f>
        <v>0</v>
      </c>
      <c r="H96" s="90">
        <f t="shared" ref="H96:BI96" si="95">H80*H89</f>
        <v>0</v>
      </c>
      <c r="I96" s="90">
        <f t="shared" si="95"/>
        <v>0</v>
      </c>
      <c r="J96" s="90">
        <f t="shared" si="95"/>
        <v>0</v>
      </c>
      <c r="K96" s="90">
        <f t="shared" si="95"/>
        <v>0</v>
      </c>
      <c r="L96" s="90">
        <f t="shared" si="95"/>
        <v>0</v>
      </c>
      <c r="M96" s="90">
        <f t="shared" si="95"/>
        <v>0</v>
      </c>
      <c r="N96" s="90">
        <f t="shared" si="95"/>
        <v>0</v>
      </c>
      <c r="O96" s="90">
        <f t="shared" si="95"/>
        <v>0</v>
      </c>
      <c r="P96" s="90">
        <f t="shared" si="95"/>
        <v>0</v>
      </c>
      <c r="Q96" s="90">
        <f t="shared" si="95"/>
        <v>0</v>
      </c>
      <c r="R96" s="90">
        <f t="shared" si="95"/>
        <v>0</v>
      </c>
      <c r="S96" s="90">
        <f t="shared" si="95"/>
        <v>0</v>
      </c>
      <c r="T96" s="90">
        <f t="shared" si="95"/>
        <v>0</v>
      </c>
      <c r="U96" s="90">
        <f t="shared" si="95"/>
        <v>0</v>
      </c>
      <c r="V96" s="90">
        <f t="shared" si="95"/>
        <v>0</v>
      </c>
      <c r="W96" s="90">
        <f t="shared" si="95"/>
        <v>0</v>
      </c>
      <c r="X96" s="90">
        <f t="shared" si="95"/>
        <v>0</v>
      </c>
      <c r="Y96" s="90">
        <f t="shared" si="95"/>
        <v>0</v>
      </c>
      <c r="Z96" s="90">
        <f t="shared" si="95"/>
        <v>0</v>
      </c>
      <c r="AA96" s="90">
        <f t="shared" si="95"/>
        <v>0</v>
      </c>
      <c r="AB96" s="90">
        <f t="shared" si="95"/>
        <v>4288598.739697719</v>
      </c>
      <c r="AC96" s="90">
        <f t="shared" si="95"/>
        <v>5682393.3300994765</v>
      </c>
      <c r="AD96" s="90">
        <f t="shared" si="95"/>
        <v>7076187.9205012368</v>
      </c>
      <c r="AE96" s="90">
        <f t="shared" si="95"/>
        <v>8639382.1611210573</v>
      </c>
      <c r="AF96" s="90">
        <f t="shared" si="95"/>
        <v>10061052.64333085</v>
      </c>
      <c r="AG96" s="90">
        <f t="shared" si="95"/>
        <v>11482723.125540644</v>
      </c>
      <c r="AH96" s="90">
        <f t="shared" si="95"/>
        <v>12904393.607750434</v>
      </c>
      <c r="AI96" s="90">
        <f t="shared" si="95"/>
        <v>14326064.089960229</v>
      </c>
      <c r="AJ96" s="90">
        <f t="shared" si="95"/>
        <v>15747734.572170025</v>
      </c>
      <c r="AK96" s="90">
        <f t="shared" si="95"/>
        <v>17169405.054379821</v>
      </c>
      <c r="AL96" s="90">
        <f t="shared" si="95"/>
        <v>18591075.536589611</v>
      </c>
      <c r="AM96" s="90">
        <f t="shared" si="95"/>
        <v>20012746.018799409</v>
      </c>
      <c r="AN96" s="90">
        <f t="shared" si="95"/>
        <v>21434416.5010092</v>
      </c>
      <c r="AO96" s="90">
        <f t="shared" si="95"/>
        <v>21434416.5010092</v>
      </c>
      <c r="AP96" s="90">
        <f t="shared" si="95"/>
        <v>21434416.5010092</v>
      </c>
      <c r="AQ96" s="90">
        <f t="shared" si="95"/>
        <v>21863104.831029385</v>
      </c>
      <c r="AR96" s="90">
        <f t="shared" si="95"/>
        <v>21863104.831029385</v>
      </c>
      <c r="AS96" s="90">
        <f t="shared" si="95"/>
        <v>21863104.831029385</v>
      </c>
      <c r="AT96" s="90">
        <f t="shared" si="95"/>
        <v>21863104.831029385</v>
      </c>
      <c r="AU96" s="90">
        <f t="shared" si="95"/>
        <v>21863104.831029385</v>
      </c>
      <c r="AV96" s="90">
        <f t="shared" si="95"/>
        <v>21863104.831029385</v>
      </c>
      <c r="AW96" s="90">
        <f t="shared" si="95"/>
        <v>21863104.831029385</v>
      </c>
      <c r="AX96" s="90">
        <f t="shared" si="95"/>
        <v>21863104.831029385</v>
      </c>
      <c r="AY96" s="90">
        <f t="shared" si="95"/>
        <v>21863104.831029385</v>
      </c>
      <c r="AZ96" s="90">
        <f t="shared" si="95"/>
        <v>21863104.831029385</v>
      </c>
      <c r="BA96" s="90">
        <f t="shared" si="95"/>
        <v>21863104.831029385</v>
      </c>
      <c r="BB96" s="90">
        <f t="shared" si="95"/>
        <v>21863104.831029385</v>
      </c>
      <c r="BC96" s="90">
        <f t="shared" si="95"/>
        <v>22300366.927649975</v>
      </c>
      <c r="BD96" s="90">
        <f t="shared" si="95"/>
        <v>22300366.927649975</v>
      </c>
      <c r="BE96" s="90">
        <f t="shared" si="95"/>
        <v>22300366.927649975</v>
      </c>
      <c r="BF96" s="90">
        <f t="shared" si="95"/>
        <v>22300366.927649975</v>
      </c>
      <c r="BG96" s="90">
        <f t="shared" si="95"/>
        <v>22300366.927649975</v>
      </c>
      <c r="BH96" s="90">
        <f t="shared" si="95"/>
        <v>22300366.927649975</v>
      </c>
      <c r="BI96" s="90">
        <f t="shared" si="95"/>
        <v>272956491.19443566</v>
      </c>
      <c r="BJ96" s="90">
        <f t="shared" ref="BJ96:BO96" si="96">BJ80*BJ89</f>
        <v>278415621.01832443</v>
      </c>
      <c r="BK96" s="90">
        <f t="shared" si="96"/>
        <v>283983933.4386909</v>
      </c>
      <c r="BL96" s="90">
        <f t="shared" si="96"/>
        <v>289663612.10746473</v>
      </c>
      <c r="BM96" s="90">
        <f t="shared" si="96"/>
        <v>295456884.34961402</v>
      </c>
      <c r="BN96" s="90">
        <f t="shared" si="96"/>
        <v>301366022.03660631</v>
      </c>
      <c r="BO96" s="90">
        <f t="shared" si="96"/>
        <v>301366022.03660631</v>
      </c>
    </row>
    <row r="97" spans="1:67">
      <c r="A97" s="11"/>
      <c r="B97" s="11"/>
      <c r="C97" s="11" t="s">
        <v>252</v>
      </c>
      <c r="D97" s="33"/>
      <c r="E97" s="10" t="s">
        <v>13</v>
      </c>
      <c r="F97" s="10"/>
      <c r="G97" s="90">
        <f>G81*G90</f>
        <v>0</v>
      </c>
      <c r="H97" s="90">
        <f t="shared" ref="H97:BI97" si="97">H81*H90</f>
        <v>0</v>
      </c>
      <c r="I97" s="90">
        <f t="shared" si="97"/>
        <v>0</v>
      </c>
      <c r="J97" s="90">
        <f t="shared" si="97"/>
        <v>0</v>
      </c>
      <c r="K97" s="90">
        <f t="shared" si="97"/>
        <v>0</v>
      </c>
      <c r="L97" s="90">
        <f t="shared" si="97"/>
        <v>0</v>
      </c>
      <c r="M97" s="90">
        <f t="shared" si="97"/>
        <v>0</v>
      </c>
      <c r="N97" s="90">
        <f t="shared" si="97"/>
        <v>0</v>
      </c>
      <c r="O97" s="90">
        <f t="shared" si="97"/>
        <v>0</v>
      </c>
      <c r="P97" s="90">
        <f t="shared" si="97"/>
        <v>0</v>
      </c>
      <c r="Q97" s="90">
        <f t="shared" si="97"/>
        <v>0</v>
      </c>
      <c r="R97" s="90">
        <f t="shared" si="97"/>
        <v>0</v>
      </c>
      <c r="S97" s="90">
        <f t="shared" si="97"/>
        <v>0</v>
      </c>
      <c r="T97" s="90">
        <f t="shared" si="97"/>
        <v>0</v>
      </c>
      <c r="U97" s="90">
        <f t="shared" si="97"/>
        <v>0</v>
      </c>
      <c r="V97" s="90">
        <f t="shared" si="97"/>
        <v>0</v>
      </c>
      <c r="W97" s="90">
        <f t="shared" si="97"/>
        <v>0</v>
      </c>
      <c r="X97" s="90">
        <f t="shared" si="97"/>
        <v>0</v>
      </c>
      <c r="Y97" s="90">
        <f t="shared" si="97"/>
        <v>0</v>
      </c>
      <c r="Z97" s="90">
        <f t="shared" si="97"/>
        <v>0</v>
      </c>
      <c r="AA97" s="90">
        <f t="shared" si="97"/>
        <v>0</v>
      </c>
      <c r="AB97" s="90">
        <f t="shared" si="97"/>
        <v>0</v>
      </c>
      <c r="AC97" s="90">
        <f t="shared" si="97"/>
        <v>0</v>
      </c>
      <c r="AD97" s="90">
        <f t="shared" si="97"/>
        <v>0</v>
      </c>
      <c r="AE97" s="90">
        <f t="shared" si="97"/>
        <v>0</v>
      </c>
      <c r="AF97" s="90">
        <f t="shared" si="97"/>
        <v>0</v>
      </c>
      <c r="AG97" s="90">
        <f t="shared" si="97"/>
        <v>0</v>
      </c>
      <c r="AH97" s="90">
        <f t="shared" si="97"/>
        <v>0</v>
      </c>
      <c r="AI97" s="90">
        <f t="shared" si="97"/>
        <v>0</v>
      </c>
      <c r="AJ97" s="90">
        <f t="shared" si="97"/>
        <v>0</v>
      </c>
      <c r="AK97" s="90">
        <f t="shared" si="97"/>
        <v>0</v>
      </c>
      <c r="AL97" s="90">
        <f t="shared" si="97"/>
        <v>0</v>
      </c>
      <c r="AM97" s="90">
        <f t="shared" si="97"/>
        <v>0</v>
      </c>
      <c r="AN97" s="90">
        <f t="shared" si="97"/>
        <v>0</v>
      </c>
      <c r="AO97" s="90">
        <f t="shared" si="97"/>
        <v>0</v>
      </c>
      <c r="AP97" s="90">
        <f t="shared" si="97"/>
        <v>0</v>
      </c>
      <c r="AQ97" s="90">
        <f t="shared" si="97"/>
        <v>0</v>
      </c>
      <c r="AR97" s="90">
        <f t="shared" si="97"/>
        <v>0</v>
      </c>
      <c r="AS97" s="90">
        <f t="shared" si="97"/>
        <v>0</v>
      </c>
      <c r="AT97" s="90">
        <f t="shared" si="97"/>
        <v>0</v>
      </c>
      <c r="AU97" s="90">
        <f t="shared" si="97"/>
        <v>0</v>
      </c>
      <c r="AV97" s="90">
        <f t="shared" si="97"/>
        <v>0</v>
      </c>
      <c r="AW97" s="90">
        <f t="shared" si="97"/>
        <v>0</v>
      </c>
      <c r="AX97" s="90">
        <f t="shared" si="97"/>
        <v>0</v>
      </c>
      <c r="AY97" s="90">
        <f t="shared" si="97"/>
        <v>0</v>
      </c>
      <c r="AZ97" s="90">
        <f t="shared" si="97"/>
        <v>0</v>
      </c>
      <c r="BA97" s="90">
        <f t="shared" si="97"/>
        <v>0</v>
      </c>
      <c r="BB97" s="90">
        <f t="shared" si="97"/>
        <v>0</v>
      </c>
      <c r="BC97" s="90">
        <f t="shared" si="97"/>
        <v>0</v>
      </c>
      <c r="BD97" s="90">
        <f t="shared" si="97"/>
        <v>0</v>
      </c>
      <c r="BE97" s="90">
        <f t="shared" si="97"/>
        <v>0</v>
      </c>
      <c r="BF97" s="90">
        <f t="shared" si="97"/>
        <v>0</v>
      </c>
      <c r="BG97" s="90">
        <f t="shared" si="97"/>
        <v>0</v>
      </c>
      <c r="BH97" s="90">
        <f t="shared" si="97"/>
        <v>0</v>
      </c>
      <c r="BI97" s="90">
        <f t="shared" si="97"/>
        <v>0</v>
      </c>
      <c r="BJ97" s="90">
        <f t="shared" ref="BJ97:BO97" si="98">BJ81*BJ90</f>
        <v>0</v>
      </c>
      <c r="BK97" s="90">
        <f t="shared" si="98"/>
        <v>0</v>
      </c>
      <c r="BL97" s="90">
        <f t="shared" si="98"/>
        <v>0</v>
      </c>
      <c r="BM97" s="90">
        <f t="shared" si="98"/>
        <v>0</v>
      </c>
      <c r="BN97" s="90">
        <f t="shared" si="98"/>
        <v>0</v>
      </c>
      <c r="BO97" s="90">
        <f t="shared" si="98"/>
        <v>0</v>
      </c>
    </row>
    <row r="98" spans="1:67">
      <c r="A98" s="11"/>
      <c r="B98" s="11"/>
      <c r="C98" s="11" t="s">
        <v>253</v>
      </c>
      <c r="D98" s="33"/>
      <c r="E98" s="10" t="s">
        <v>13</v>
      </c>
      <c r="F98" s="10"/>
      <c r="G98" s="90">
        <f>G82*G91</f>
        <v>0</v>
      </c>
      <c r="H98" s="90">
        <f t="shared" ref="H98:BI98" si="99">H82*H91</f>
        <v>0</v>
      </c>
      <c r="I98" s="90">
        <f t="shared" si="99"/>
        <v>0</v>
      </c>
      <c r="J98" s="90">
        <f t="shared" si="99"/>
        <v>0</v>
      </c>
      <c r="K98" s="90">
        <f t="shared" si="99"/>
        <v>0</v>
      </c>
      <c r="L98" s="90">
        <f t="shared" si="99"/>
        <v>0</v>
      </c>
      <c r="M98" s="90">
        <f t="shared" si="99"/>
        <v>0</v>
      </c>
      <c r="N98" s="90">
        <f t="shared" si="99"/>
        <v>0</v>
      </c>
      <c r="O98" s="90">
        <f t="shared" si="99"/>
        <v>0</v>
      </c>
      <c r="P98" s="90">
        <f t="shared" si="99"/>
        <v>0</v>
      </c>
      <c r="Q98" s="90">
        <f t="shared" si="99"/>
        <v>0</v>
      </c>
      <c r="R98" s="90">
        <f t="shared" si="99"/>
        <v>0</v>
      </c>
      <c r="S98" s="90">
        <f t="shared" si="99"/>
        <v>0</v>
      </c>
      <c r="T98" s="90">
        <f t="shared" si="99"/>
        <v>0</v>
      </c>
      <c r="U98" s="90">
        <f t="shared" si="99"/>
        <v>0</v>
      </c>
      <c r="V98" s="90">
        <f t="shared" si="99"/>
        <v>0</v>
      </c>
      <c r="W98" s="90">
        <f t="shared" si="99"/>
        <v>0</v>
      </c>
      <c r="X98" s="90">
        <f t="shared" si="99"/>
        <v>0</v>
      </c>
      <c r="Y98" s="90">
        <f t="shared" si="99"/>
        <v>0</v>
      </c>
      <c r="Z98" s="90">
        <f t="shared" si="99"/>
        <v>0</v>
      </c>
      <c r="AA98" s="90">
        <f t="shared" si="99"/>
        <v>0</v>
      </c>
      <c r="AB98" s="90">
        <f t="shared" si="99"/>
        <v>8340312.8655000003</v>
      </c>
      <c r="AC98" s="90">
        <f t="shared" si="99"/>
        <v>11050914.546787499</v>
      </c>
      <c r="AD98" s="90">
        <f t="shared" si="99"/>
        <v>13761516.228075001</v>
      </c>
      <c r="AE98" s="90">
        <f t="shared" si="99"/>
        <v>16850976.621277843</v>
      </c>
      <c r="AF98" s="90">
        <f t="shared" si="99"/>
        <v>19623922.141234946</v>
      </c>
      <c r="AG98" s="90">
        <f t="shared" si="99"/>
        <v>22396867.66119206</v>
      </c>
      <c r="AH98" s="90">
        <f t="shared" si="99"/>
        <v>25169813.181149166</v>
      </c>
      <c r="AI98" s="90">
        <f t="shared" si="99"/>
        <v>27942758.70110628</v>
      </c>
      <c r="AJ98" s="90">
        <f t="shared" si="99"/>
        <v>30715704.221063398</v>
      </c>
      <c r="AK98" s="90">
        <f t="shared" si="99"/>
        <v>33488649.741020504</v>
      </c>
      <c r="AL98" s="90">
        <f t="shared" si="99"/>
        <v>36261595.260977611</v>
      </c>
      <c r="AM98" s="90">
        <f t="shared" si="99"/>
        <v>39034540.780934729</v>
      </c>
      <c r="AN98" s="90">
        <f t="shared" si="99"/>
        <v>41807486.300891839</v>
      </c>
      <c r="AO98" s="90">
        <f t="shared" si="99"/>
        <v>41807486.300891839</v>
      </c>
      <c r="AP98" s="90">
        <f t="shared" si="99"/>
        <v>41807486.300891839</v>
      </c>
      <c r="AQ98" s="90">
        <f t="shared" si="99"/>
        <v>42769058.485812344</v>
      </c>
      <c r="AR98" s="90">
        <f t="shared" si="99"/>
        <v>42769058.485812344</v>
      </c>
      <c r="AS98" s="90">
        <f t="shared" si="99"/>
        <v>42769058.485812344</v>
      </c>
      <c r="AT98" s="90">
        <f t="shared" si="99"/>
        <v>42769058.485812344</v>
      </c>
      <c r="AU98" s="90">
        <f t="shared" si="99"/>
        <v>42769058.485812344</v>
      </c>
      <c r="AV98" s="90">
        <f t="shared" si="99"/>
        <v>42769058.485812344</v>
      </c>
      <c r="AW98" s="90">
        <f t="shared" si="99"/>
        <v>42769058.485812344</v>
      </c>
      <c r="AX98" s="90">
        <f t="shared" si="99"/>
        <v>42769058.485812344</v>
      </c>
      <c r="AY98" s="90">
        <f t="shared" si="99"/>
        <v>42769058.485812344</v>
      </c>
      <c r="AZ98" s="90">
        <f t="shared" si="99"/>
        <v>42769058.485812344</v>
      </c>
      <c r="BA98" s="90">
        <f t="shared" si="99"/>
        <v>42769058.485812344</v>
      </c>
      <c r="BB98" s="90">
        <f t="shared" si="99"/>
        <v>42769058.485812344</v>
      </c>
      <c r="BC98" s="90">
        <f t="shared" si="99"/>
        <v>43752746.830986023</v>
      </c>
      <c r="BD98" s="90">
        <f t="shared" si="99"/>
        <v>43752746.830986023</v>
      </c>
      <c r="BE98" s="90">
        <f t="shared" si="99"/>
        <v>43752746.830986023</v>
      </c>
      <c r="BF98" s="90">
        <f t="shared" si="99"/>
        <v>43752746.830986023</v>
      </c>
      <c r="BG98" s="90">
        <f t="shared" si="99"/>
        <v>43752746.830986023</v>
      </c>
      <c r="BH98" s="90">
        <f t="shared" si="99"/>
        <v>43752746.830986023</v>
      </c>
      <c r="BI98" s="90">
        <f t="shared" si="99"/>
        <v>537108720.09718442</v>
      </c>
      <c r="BJ98" s="90">
        <f t="shared" ref="BJ98:BO98" si="100">BJ82*BJ91</f>
        <v>549462220.65941966</v>
      </c>
      <c r="BK98" s="90">
        <f t="shared" si="100"/>
        <v>562099851.73458624</v>
      </c>
      <c r="BL98" s="90">
        <f t="shared" si="100"/>
        <v>575028148.32448161</v>
      </c>
      <c r="BM98" s="90">
        <f t="shared" si="100"/>
        <v>588253795.73594451</v>
      </c>
      <c r="BN98" s="90">
        <f t="shared" si="100"/>
        <v>601783633.03787124</v>
      </c>
      <c r="BO98" s="90">
        <f t="shared" si="100"/>
        <v>615624656.59774232</v>
      </c>
    </row>
    <row r="99" spans="1:67">
      <c r="A99" s="11"/>
      <c r="B99" s="11"/>
      <c r="C99" s="11" t="s">
        <v>75</v>
      </c>
      <c r="D99" s="33"/>
      <c r="E99" s="10" t="s">
        <v>13</v>
      </c>
      <c r="F99" s="10"/>
      <c r="G99" s="90">
        <f>G83*G92</f>
        <v>0</v>
      </c>
      <c r="H99" s="90">
        <f t="shared" ref="H99:BI99" si="101">H83*H92</f>
        <v>0</v>
      </c>
      <c r="I99" s="90">
        <f t="shared" si="101"/>
        <v>0</v>
      </c>
      <c r="J99" s="90">
        <f t="shared" si="101"/>
        <v>0</v>
      </c>
      <c r="K99" s="90">
        <f t="shared" si="101"/>
        <v>0</v>
      </c>
      <c r="L99" s="90">
        <f t="shared" si="101"/>
        <v>0</v>
      </c>
      <c r="M99" s="90">
        <f t="shared" si="101"/>
        <v>0</v>
      </c>
      <c r="N99" s="90">
        <f t="shared" si="101"/>
        <v>0</v>
      </c>
      <c r="O99" s="90">
        <f t="shared" si="101"/>
        <v>0</v>
      </c>
      <c r="P99" s="90">
        <f t="shared" si="101"/>
        <v>0</v>
      </c>
      <c r="Q99" s="90">
        <f t="shared" si="101"/>
        <v>0</v>
      </c>
      <c r="R99" s="90">
        <f t="shared" si="101"/>
        <v>0</v>
      </c>
      <c r="S99" s="90">
        <f t="shared" si="101"/>
        <v>0</v>
      </c>
      <c r="T99" s="90">
        <f t="shared" si="101"/>
        <v>0</v>
      </c>
      <c r="U99" s="90">
        <f t="shared" si="101"/>
        <v>0</v>
      </c>
      <c r="V99" s="90">
        <f t="shared" si="101"/>
        <v>0</v>
      </c>
      <c r="W99" s="90">
        <f t="shared" si="101"/>
        <v>0</v>
      </c>
      <c r="X99" s="90">
        <f t="shared" si="101"/>
        <v>0</v>
      </c>
      <c r="Y99" s="90">
        <f t="shared" si="101"/>
        <v>0</v>
      </c>
      <c r="Z99" s="90">
        <f t="shared" si="101"/>
        <v>0</v>
      </c>
      <c r="AA99" s="90">
        <f t="shared" si="101"/>
        <v>0</v>
      </c>
      <c r="AB99" s="90">
        <f t="shared" si="101"/>
        <v>345354.57</v>
      </c>
      <c r="AC99" s="90">
        <f t="shared" si="101"/>
        <v>457594.80524999992</v>
      </c>
      <c r="AD99" s="90">
        <f t="shared" si="101"/>
        <v>569835.04050000012</v>
      </c>
      <c r="AE99" s="90">
        <f t="shared" si="101"/>
        <v>697763.00709225016</v>
      </c>
      <c r="AF99" s="90">
        <f t="shared" si="101"/>
        <v>812584.76775300002</v>
      </c>
      <c r="AG99" s="90">
        <f t="shared" si="101"/>
        <v>927406.52841375</v>
      </c>
      <c r="AH99" s="90">
        <f t="shared" si="101"/>
        <v>1042228.2890744999</v>
      </c>
      <c r="AI99" s="90">
        <f t="shared" si="101"/>
        <v>1157050.0497352497</v>
      </c>
      <c r="AJ99" s="90">
        <f t="shared" si="101"/>
        <v>1271871.810396</v>
      </c>
      <c r="AK99" s="90">
        <f t="shared" si="101"/>
        <v>1386693.5710567499</v>
      </c>
      <c r="AL99" s="90">
        <f t="shared" si="101"/>
        <v>1501515.3317174998</v>
      </c>
      <c r="AM99" s="90">
        <f t="shared" si="101"/>
        <v>1616337.0923782501</v>
      </c>
      <c r="AN99" s="90">
        <f t="shared" si="101"/>
        <v>1731158.8530389995</v>
      </c>
      <c r="AO99" s="90">
        <f t="shared" si="101"/>
        <v>1731158.8530389995</v>
      </c>
      <c r="AP99" s="90">
        <f t="shared" si="101"/>
        <v>1731158.8530389995</v>
      </c>
      <c r="AQ99" s="90">
        <f t="shared" si="101"/>
        <v>1770975.5066588963</v>
      </c>
      <c r="AR99" s="90">
        <f t="shared" si="101"/>
        <v>1770975.5066588963</v>
      </c>
      <c r="AS99" s="90">
        <f t="shared" si="101"/>
        <v>1770975.5066588963</v>
      </c>
      <c r="AT99" s="90">
        <f t="shared" si="101"/>
        <v>1770975.5066588963</v>
      </c>
      <c r="AU99" s="90">
        <f t="shared" si="101"/>
        <v>1770975.5066588963</v>
      </c>
      <c r="AV99" s="90">
        <f t="shared" si="101"/>
        <v>1770975.5066588963</v>
      </c>
      <c r="AW99" s="90">
        <f t="shared" si="101"/>
        <v>1770975.5066588963</v>
      </c>
      <c r="AX99" s="90">
        <f t="shared" si="101"/>
        <v>1770975.5066588963</v>
      </c>
      <c r="AY99" s="90">
        <f t="shared" si="101"/>
        <v>1770975.5066588963</v>
      </c>
      <c r="AZ99" s="90">
        <f t="shared" si="101"/>
        <v>1770975.5066588963</v>
      </c>
      <c r="BA99" s="90">
        <f t="shared" si="101"/>
        <v>1770975.5066588963</v>
      </c>
      <c r="BB99" s="90">
        <f t="shared" si="101"/>
        <v>1770975.5066588963</v>
      </c>
      <c r="BC99" s="90">
        <f t="shared" si="101"/>
        <v>1811707.9433120508</v>
      </c>
      <c r="BD99" s="90">
        <f t="shared" si="101"/>
        <v>1811707.9433120508</v>
      </c>
      <c r="BE99" s="90">
        <f t="shared" si="101"/>
        <v>1811707.9433120508</v>
      </c>
      <c r="BF99" s="90">
        <f t="shared" si="101"/>
        <v>1811707.9433120508</v>
      </c>
      <c r="BG99" s="90">
        <f t="shared" si="101"/>
        <v>1811707.9433120508</v>
      </c>
      <c r="BH99" s="90">
        <f t="shared" si="101"/>
        <v>1811707.9433120508</v>
      </c>
      <c r="BI99" s="90">
        <f t="shared" si="101"/>
        <v>22240526.712098733</v>
      </c>
      <c r="BJ99" s="90">
        <f t="shared" ref="BJ99:BO99" si="102">BJ83*BJ92</f>
        <v>22752058.826477002</v>
      </c>
      <c r="BK99" s="90">
        <f t="shared" si="102"/>
        <v>23275356.179485969</v>
      </c>
      <c r="BL99" s="90">
        <f t="shared" si="102"/>
        <v>23810689.371614147</v>
      </c>
      <c r="BM99" s="90">
        <f t="shared" si="102"/>
        <v>24358335.22716127</v>
      </c>
      <c r="BN99" s="90">
        <f t="shared" si="102"/>
        <v>24918576.937385973</v>
      </c>
      <c r="BO99" s="90">
        <f t="shared" si="102"/>
        <v>25491704.206945851</v>
      </c>
    </row>
    <row r="100" spans="1:67">
      <c r="A100" s="11"/>
      <c r="B100" s="11" t="s">
        <v>767</v>
      </c>
      <c r="C100" s="11" t="s">
        <v>78</v>
      </c>
      <c r="D100" s="33"/>
      <c r="E100" s="10" t="s">
        <v>13</v>
      </c>
      <c r="F100" s="10"/>
      <c r="G100" s="90">
        <f>0</f>
        <v>0</v>
      </c>
      <c r="H100" s="90">
        <f>0</f>
        <v>0</v>
      </c>
      <c r="I100" s="90">
        <f>0</f>
        <v>0</v>
      </c>
      <c r="J100" s="90">
        <f>0</f>
        <v>0</v>
      </c>
      <c r="K100" s="90">
        <f>0</f>
        <v>0</v>
      </c>
      <c r="L100" s="90">
        <f>0</f>
        <v>0</v>
      </c>
      <c r="M100" s="90">
        <f>0</f>
        <v>0</v>
      </c>
      <c r="N100" s="90">
        <f>0</f>
        <v>0</v>
      </c>
      <c r="O100" s="90">
        <f>0</f>
        <v>0</v>
      </c>
      <c r="P100" s="90">
        <f>0</f>
        <v>0</v>
      </c>
      <c r="Q100" s="90">
        <f>0</f>
        <v>0</v>
      </c>
      <c r="R100" s="90">
        <f>0</f>
        <v>0</v>
      </c>
      <c r="S100" s="90">
        <f>0</f>
        <v>0</v>
      </c>
      <c r="T100" s="90">
        <f>0</f>
        <v>0</v>
      </c>
      <c r="U100" s="90">
        <f>0</f>
        <v>0</v>
      </c>
      <c r="V100" s="90">
        <f>0</f>
        <v>0</v>
      </c>
      <c r="W100" s="90">
        <f>0</f>
        <v>0</v>
      </c>
      <c r="X100" s="90">
        <f>0</f>
        <v>0</v>
      </c>
      <c r="Y100" s="90">
        <f>0</f>
        <v>0</v>
      </c>
      <c r="Z100" s="90">
        <f>0</f>
        <v>0</v>
      </c>
      <c r="AA100" s="90">
        <f>0</f>
        <v>0</v>
      </c>
      <c r="AB100" s="90">
        <f>0</f>
        <v>0</v>
      </c>
      <c r="AC100" s="90">
        <f>0</f>
        <v>0</v>
      </c>
      <c r="AD100" s="90">
        <f>0</f>
        <v>0</v>
      </c>
      <c r="AE100" s="90">
        <f>0</f>
        <v>0</v>
      </c>
      <c r="AF100" s="90">
        <f>0</f>
        <v>0</v>
      </c>
      <c r="AG100" s="90">
        <f>0</f>
        <v>0</v>
      </c>
      <c r="AH100" s="90">
        <f>0</f>
        <v>0</v>
      </c>
      <c r="AI100" s="90">
        <f>0</f>
        <v>0</v>
      </c>
      <c r="AJ100" s="90">
        <f>0</f>
        <v>0</v>
      </c>
      <c r="AK100" s="90">
        <f>0</f>
        <v>0</v>
      </c>
      <c r="AL100" s="90">
        <f>0</f>
        <v>0</v>
      </c>
      <c r="AM100" s="90">
        <f>0</f>
        <v>0</v>
      </c>
      <c r="AN100" s="90">
        <f>0</f>
        <v>0</v>
      </c>
      <c r="AO100" s="90">
        <f>0</f>
        <v>0</v>
      </c>
      <c r="AP100" s="90">
        <f>0</f>
        <v>0</v>
      </c>
      <c r="AQ100" s="90">
        <f>0</f>
        <v>0</v>
      </c>
      <c r="AR100" s="90">
        <f>0</f>
        <v>0</v>
      </c>
      <c r="AS100" s="90">
        <f>0</f>
        <v>0</v>
      </c>
      <c r="AT100" s="90">
        <f>0</f>
        <v>0</v>
      </c>
      <c r="AU100" s="90">
        <f>0</f>
        <v>0</v>
      </c>
      <c r="AV100" s="90">
        <f>0</f>
        <v>0</v>
      </c>
      <c r="AW100" s="90">
        <f>0</f>
        <v>0</v>
      </c>
      <c r="AX100" s="90">
        <f>0</f>
        <v>0</v>
      </c>
      <c r="AY100" s="90">
        <f>0</f>
        <v>0</v>
      </c>
      <c r="AZ100" s="90">
        <f>0</f>
        <v>0</v>
      </c>
      <c r="BA100" s="90">
        <f>0</f>
        <v>0</v>
      </c>
      <c r="BB100" s="90">
        <f>0</f>
        <v>0</v>
      </c>
      <c r="BC100" s="90">
        <f>0</f>
        <v>0</v>
      </c>
      <c r="BD100" s="90">
        <f>0</f>
        <v>0</v>
      </c>
      <c r="BE100" s="90">
        <f>0</f>
        <v>0</v>
      </c>
      <c r="BF100" s="90">
        <f>0</f>
        <v>0</v>
      </c>
      <c r="BG100" s="90">
        <f>0</f>
        <v>0</v>
      </c>
      <c r="BH100" s="90">
        <f>0</f>
        <v>0</v>
      </c>
      <c r="BI100" s="90">
        <f>0</f>
        <v>0</v>
      </c>
      <c r="BJ100" s="90">
        <f>0</f>
        <v>0</v>
      </c>
      <c r="BK100" s="90">
        <f>0</f>
        <v>0</v>
      </c>
      <c r="BL100" s="90">
        <f>0</f>
        <v>0</v>
      </c>
      <c r="BM100" s="90">
        <f>0</f>
        <v>0</v>
      </c>
      <c r="BN100" s="90">
        <f>0</f>
        <v>0</v>
      </c>
      <c r="BO100" s="90">
        <f>0</f>
        <v>0</v>
      </c>
    </row>
    <row r="101" spans="1:67">
      <c r="A101" s="11"/>
      <c r="B101" s="22" t="s">
        <v>8</v>
      </c>
      <c r="C101" s="11"/>
      <c r="D101" s="33"/>
      <c r="E101" s="10" t="s">
        <v>13</v>
      </c>
      <c r="F101" s="10"/>
      <c r="G101" s="89">
        <f>SUM(G96:G100)</f>
        <v>0</v>
      </c>
      <c r="H101" s="89">
        <f t="shared" ref="H101:BI101" si="103">SUM(H96:H100)</f>
        <v>0</v>
      </c>
      <c r="I101" s="89">
        <f t="shared" si="103"/>
        <v>0</v>
      </c>
      <c r="J101" s="89">
        <f t="shared" si="103"/>
        <v>0</v>
      </c>
      <c r="K101" s="89">
        <f t="shared" si="103"/>
        <v>0</v>
      </c>
      <c r="L101" s="89">
        <f t="shared" si="103"/>
        <v>0</v>
      </c>
      <c r="M101" s="89">
        <f t="shared" si="103"/>
        <v>0</v>
      </c>
      <c r="N101" s="89">
        <f t="shared" si="103"/>
        <v>0</v>
      </c>
      <c r="O101" s="89">
        <f t="shared" si="103"/>
        <v>0</v>
      </c>
      <c r="P101" s="89">
        <f t="shared" si="103"/>
        <v>0</v>
      </c>
      <c r="Q101" s="89">
        <f t="shared" si="103"/>
        <v>0</v>
      </c>
      <c r="R101" s="89">
        <f t="shared" si="103"/>
        <v>0</v>
      </c>
      <c r="S101" s="89">
        <f t="shared" si="103"/>
        <v>0</v>
      </c>
      <c r="T101" s="89">
        <f t="shared" si="103"/>
        <v>0</v>
      </c>
      <c r="U101" s="89">
        <f t="shared" si="103"/>
        <v>0</v>
      </c>
      <c r="V101" s="89">
        <f t="shared" si="103"/>
        <v>0</v>
      </c>
      <c r="W101" s="89">
        <f t="shared" si="103"/>
        <v>0</v>
      </c>
      <c r="X101" s="89">
        <f t="shared" si="103"/>
        <v>0</v>
      </c>
      <c r="Y101" s="89">
        <f t="shared" si="103"/>
        <v>0</v>
      </c>
      <c r="Z101" s="89">
        <f t="shared" si="103"/>
        <v>0</v>
      </c>
      <c r="AA101" s="89">
        <f t="shared" si="103"/>
        <v>0</v>
      </c>
      <c r="AB101" s="89">
        <f t="shared" si="103"/>
        <v>12974266.175197721</v>
      </c>
      <c r="AC101" s="89">
        <f t="shared" si="103"/>
        <v>17190902.682136975</v>
      </c>
      <c r="AD101" s="89">
        <f t="shared" si="103"/>
        <v>21407539.189076237</v>
      </c>
      <c r="AE101" s="89">
        <f t="shared" si="103"/>
        <v>26188121.789491151</v>
      </c>
      <c r="AF101" s="89">
        <f t="shared" si="103"/>
        <v>30497559.552318797</v>
      </c>
      <c r="AG101" s="89">
        <f t="shared" si="103"/>
        <v>34806997.315146454</v>
      </c>
      <c r="AH101" s="89">
        <f t="shared" si="103"/>
        <v>39116435.077974103</v>
      </c>
      <c r="AI101" s="89">
        <f t="shared" si="103"/>
        <v>43425872.840801761</v>
      </c>
      <c r="AJ101" s="89">
        <f t="shared" si="103"/>
        <v>47735310.603629425</v>
      </c>
      <c r="AK101" s="89">
        <f t="shared" si="103"/>
        <v>52044748.366457075</v>
      </c>
      <c r="AL101" s="89">
        <f t="shared" si="103"/>
        <v>56354186.129284717</v>
      </c>
      <c r="AM101" s="89">
        <f t="shared" si="103"/>
        <v>60663623.892112389</v>
      </c>
      <c r="AN101" s="89">
        <f t="shared" si="103"/>
        <v>64973061.654940039</v>
      </c>
      <c r="AO101" s="89">
        <f t="shared" si="103"/>
        <v>64973061.654940039</v>
      </c>
      <c r="AP101" s="89">
        <f t="shared" si="103"/>
        <v>64973061.654940039</v>
      </c>
      <c r="AQ101" s="89">
        <f t="shared" si="103"/>
        <v>66403138.823500626</v>
      </c>
      <c r="AR101" s="89">
        <f t="shared" si="103"/>
        <v>66403138.823500626</v>
      </c>
      <c r="AS101" s="89">
        <f t="shared" si="103"/>
        <v>66403138.823500626</v>
      </c>
      <c r="AT101" s="89">
        <f t="shared" si="103"/>
        <v>66403138.823500626</v>
      </c>
      <c r="AU101" s="89">
        <f t="shared" si="103"/>
        <v>66403138.823500626</v>
      </c>
      <c r="AV101" s="89">
        <f t="shared" si="103"/>
        <v>66403138.823500626</v>
      </c>
      <c r="AW101" s="89">
        <f t="shared" si="103"/>
        <v>66403138.823500626</v>
      </c>
      <c r="AX101" s="89">
        <f t="shared" si="103"/>
        <v>66403138.823500626</v>
      </c>
      <c r="AY101" s="89">
        <f t="shared" si="103"/>
        <v>66403138.823500626</v>
      </c>
      <c r="AZ101" s="89">
        <f t="shared" si="103"/>
        <v>66403138.823500626</v>
      </c>
      <c r="BA101" s="89">
        <f t="shared" si="103"/>
        <v>66403138.823500626</v>
      </c>
      <c r="BB101" s="89">
        <f t="shared" si="103"/>
        <v>66403138.823500626</v>
      </c>
      <c r="BC101" s="89">
        <f t="shared" si="103"/>
        <v>67864821.701948047</v>
      </c>
      <c r="BD101" s="89">
        <f t="shared" si="103"/>
        <v>67864821.701948047</v>
      </c>
      <c r="BE101" s="89">
        <f t="shared" si="103"/>
        <v>67864821.701948047</v>
      </c>
      <c r="BF101" s="89">
        <f t="shared" si="103"/>
        <v>67864821.701948047</v>
      </c>
      <c r="BG101" s="89">
        <f t="shared" si="103"/>
        <v>67864821.701948047</v>
      </c>
      <c r="BH101" s="89">
        <f t="shared" si="103"/>
        <v>67864821.701948047</v>
      </c>
      <c r="BI101" s="89">
        <f t="shared" si="103"/>
        <v>832305738.00371873</v>
      </c>
      <c r="BJ101" s="89">
        <f t="shared" ref="BJ101" si="104">SUM(BJ96:BJ100)</f>
        <v>850629900.5042212</v>
      </c>
      <c r="BK101" s="89">
        <f t="shared" ref="BK101" si="105">SUM(BK96:BK100)</f>
        <v>869359141.35276306</v>
      </c>
      <c r="BL101" s="89">
        <f t="shared" ref="BL101" si="106">SUM(BL96:BL100)</f>
        <v>888502449.80356038</v>
      </c>
      <c r="BM101" s="89">
        <f t="shared" ref="BM101" si="107">SUM(BM96:BM100)</f>
        <v>908069015.31271982</v>
      </c>
      <c r="BN101" s="89">
        <f t="shared" ref="BN101" si="108">SUM(BN96:BN100)</f>
        <v>928068232.01186347</v>
      </c>
      <c r="BO101" s="89">
        <f t="shared" ref="BO101" si="109">SUM(BO96:BO100)</f>
        <v>942482382.84129453</v>
      </c>
    </row>
    <row r="102" spans="1:67">
      <c r="A102" s="11"/>
      <c r="B102" s="11"/>
      <c r="C102" s="11"/>
      <c r="D102" s="33"/>
      <c r="E102" s="43"/>
      <c r="F102" s="43"/>
      <c r="G102" s="33"/>
      <c r="H102" s="33"/>
      <c r="I102" s="33"/>
      <c r="J102" s="33"/>
      <c r="K102" s="33"/>
      <c r="L102" s="33"/>
      <c r="M102" s="33"/>
      <c r="N102" s="33"/>
      <c r="O102" s="33"/>
      <c r="P102" s="33"/>
      <c r="Q102" s="33"/>
      <c r="R102" s="33"/>
      <c r="S102" s="33"/>
      <c r="T102" s="33"/>
      <c r="U102" s="33"/>
      <c r="V102" s="33"/>
      <c r="W102" s="33"/>
      <c r="X102" s="33"/>
      <c r="Y102" s="33"/>
      <c r="Z102" s="33"/>
      <c r="AA102" s="33"/>
      <c r="AB102" s="33"/>
      <c r="AC102" s="33"/>
      <c r="AD102" s="33"/>
      <c r="AE102" s="33"/>
      <c r="AF102" s="33"/>
      <c r="AG102" s="33"/>
      <c r="AH102" s="33"/>
      <c r="AI102" s="33"/>
      <c r="AJ102" s="33"/>
      <c r="AK102" s="33"/>
      <c r="AL102" s="33"/>
      <c r="AM102" s="33"/>
      <c r="AN102" s="33"/>
      <c r="AO102" s="33"/>
      <c r="AP102" s="33"/>
      <c r="AQ102" s="33"/>
      <c r="AR102" s="33"/>
      <c r="AS102" s="33"/>
      <c r="AT102" s="33"/>
      <c r="AU102" s="33"/>
      <c r="AV102" s="33"/>
      <c r="AW102" s="33"/>
      <c r="AX102" s="33"/>
      <c r="AY102" s="33"/>
      <c r="AZ102" s="33"/>
      <c r="BA102" s="33"/>
      <c r="BB102" s="33"/>
      <c r="BC102" s="33"/>
      <c r="BD102" s="33"/>
      <c r="BE102" s="33"/>
      <c r="BF102" s="33"/>
      <c r="BG102" s="33"/>
      <c r="BH102" s="33"/>
      <c r="BI102" s="33"/>
      <c r="BJ102" s="33"/>
      <c r="BK102" s="33"/>
      <c r="BL102" s="33"/>
      <c r="BM102" s="33"/>
      <c r="BN102" s="33"/>
      <c r="BO102" s="33"/>
    </row>
    <row r="103" spans="1:67">
      <c r="A103" s="18" t="s">
        <v>384</v>
      </c>
      <c r="B103" s="18"/>
      <c r="C103" s="18"/>
      <c r="D103" s="39"/>
      <c r="E103" s="39"/>
      <c r="F103" s="39"/>
      <c r="G103" s="39"/>
      <c r="H103" s="39"/>
      <c r="I103" s="39"/>
      <c r="J103" s="39"/>
      <c r="K103" s="39"/>
      <c r="L103" s="39"/>
      <c r="M103" s="39"/>
      <c r="N103" s="39"/>
      <c r="O103" s="39"/>
      <c r="P103" s="39"/>
      <c r="Q103" s="39"/>
      <c r="R103" s="39"/>
      <c r="S103" s="39"/>
      <c r="T103" s="39"/>
      <c r="U103" s="39"/>
      <c r="V103" s="39"/>
      <c r="W103" s="39"/>
      <c r="X103" s="39"/>
      <c r="Y103" s="39"/>
      <c r="Z103" s="39"/>
      <c r="AA103" s="39"/>
      <c r="AB103" s="39"/>
      <c r="AC103" s="39"/>
      <c r="AD103" s="39"/>
      <c r="AE103" s="39"/>
      <c r="AF103" s="39"/>
      <c r="AG103" s="39"/>
      <c r="AH103" s="39"/>
      <c r="AI103" s="39"/>
      <c r="AJ103" s="39"/>
      <c r="AK103" s="39"/>
      <c r="AL103" s="39"/>
      <c r="AM103" s="39"/>
      <c r="AN103" s="39"/>
      <c r="AO103" s="39"/>
      <c r="AP103" s="39"/>
      <c r="AQ103" s="39"/>
      <c r="AR103" s="39"/>
      <c r="AS103" s="39"/>
      <c r="AT103" s="39"/>
      <c r="AU103" s="39"/>
      <c r="AV103" s="39"/>
      <c r="AW103" s="39"/>
      <c r="AX103" s="39"/>
      <c r="AY103" s="39"/>
      <c r="AZ103" s="39"/>
      <c r="BA103" s="39"/>
      <c r="BB103" s="39"/>
      <c r="BC103" s="39"/>
      <c r="BD103" s="39"/>
      <c r="BE103" s="39"/>
      <c r="BF103" s="39"/>
      <c r="BG103" s="39"/>
      <c r="BH103" s="39"/>
      <c r="BI103" s="39"/>
      <c r="BJ103" s="39"/>
      <c r="BK103" s="39"/>
      <c r="BL103" s="39"/>
      <c r="BM103" s="39"/>
      <c r="BN103" s="39"/>
      <c r="BO103" s="39"/>
    </row>
    <row r="104" spans="1:67">
      <c r="A104" s="11"/>
      <c r="B104" s="11"/>
      <c r="C104" s="11" t="s">
        <v>385</v>
      </c>
      <c r="D104" s="33"/>
      <c r="E104" s="10" t="s">
        <v>68</v>
      </c>
      <c r="F104" s="10"/>
      <c r="G104" s="90">
        <f>'01 Major Assumptions'!$D$33</f>
        <v>40920</v>
      </c>
      <c r="H104" s="90">
        <f>'01 Major Assumptions'!$D$33</f>
        <v>40920</v>
      </c>
      <c r="I104" s="90">
        <f>'01 Major Assumptions'!$D$33</f>
        <v>40920</v>
      </c>
      <c r="J104" s="90">
        <f>'01 Major Assumptions'!$D$33</f>
        <v>40920</v>
      </c>
      <c r="K104" s="90">
        <f>'01 Major Assumptions'!$D$33</f>
        <v>40920</v>
      </c>
      <c r="L104" s="90">
        <f>'01 Major Assumptions'!$D$33</f>
        <v>40920</v>
      </c>
      <c r="M104" s="90">
        <f>'01 Major Assumptions'!$D$33</f>
        <v>40920</v>
      </c>
      <c r="N104" s="90">
        <f>'01 Major Assumptions'!$D$33</f>
        <v>40920</v>
      </c>
      <c r="O104" s="90">
        <f>'01 Major Assumptions'!$D$33</f>
        <v>40920</v>
      </c>
      <c r="P104" s="90">
        <f>'01 Major Assumptions'!$D$33</f>
        <v>40920</v>
      </c>
      <c r="Q104" s="90">
        <f>'01 Major Assumptions'!$D$33</f>
        <v>40920</v>
      </c>
      <c r="R104" s="90">
        <f>'01 Major Assumptions'!$D$33</f>
        <v>40920</v>
      </c>
      <c r="S104" s="90">
        <f>'01 Major Assumptions'!$D$33</f>
        <v>40920</v>
      </c>
      <c r="T104" s="90">
        <f>'01 Major Assumptions'!$D$33</f>
        <v>40920</v>
      </c>
      <c r="U104" s="90">
        <f>'01 Major Assumptions'!$D$33</f>
        <v>40920</v>
      </c>
      <c r="V104" s="90">
        <f>'01 Major Assumptions'!$D$33</f>
        <v>40920</v>
      </c>
      <c r="W104" s="90">
        <f>'01 Major Assumptions'!$D$33</f>
        <v>40920</v>
      </c>
      <c r="X104" s="90">
        <f>'01 Major Assumptions'!$D$33</f>
        <v>40920</v>
      </c>
      <c r="Y104" s="90">
        <f>'01 Major Assumptions'!$D$33</f>
        <v>40920</v>
      </c>
      <c r="Z104" s="90">
        <f>'01 Major Assumptions'!$D$33</f>
        <v>40920</v>
      </c>
      <c r="AA104" s="90">
        <f>'01 Major Assumptions'!$D$33</f>
        <v>40920</v>
      </c>
      <c r="AB104" s="90">
        <f>'01 Major Assumptions'!$D$33</f>
        <v>40920</v>
      </c>
      <c r="AC104" s="90">
        <f>'01 Major Assumptions'!$D$33</f>
        <v>40920</v>
      </c>
      <c r="AD104" s="90">
        <f>'01 Major Assumptions'!$D$33</f>
        <v>40920</v>
      </c>
      <c r="AE104" s="90">
        <f>'01 Major Assumptions'!$D$33</f>
        <v>40920</v>
      </c>
      <c r="AF104" s="90">
        <f>'01 Major Assumptions'!$D$33</f>
        <v>40920</v>
      </c>
      <c r="AG104" s="90">
        <f>'01 Major Assumptions'!$D$33</f>
        <v>40920</v>
      </c>
      <c r="AH104" s="90">
        <f>'01 Major Assumptions'!$D$33</f>
        <v>40920</v>
      </c>
      <c r="AI104" s="90">
        <f>'01 Major Assumptions'!$D$33</f>
        <v>40920</v>
      </c>
      <c r="AJ104" s="90">
        <f>'01 Major Assumptions'!$D$33</f>
        <v>40920</v>
      </c>
      <c r="AK104" s="90">
        <f>'01 Major Assumptions'!$D$33</f>
        <v>40920</v>
      </c>
      <c r="AL104" s="90">
        <f>'01 Major Assumptions'!$D$33</f>
        <v>40920</v>
      </c>
      <c r="AM104" s="90">
        <f>'01 Major Assumptions'!$D$33</f>
        <v>40920</v>
      </c>
      <c r="AN104" s="90">
        <f>'01 Major Assumptions'!$D$33</f>
        <v>40920</v>
      </c>
      <c r="AO104" s="90">
        <f>'01 Major Assumptions'!$D$33</f>
        <v>40920</v>
      </c>
      <c r="AP104" s="90">
        <f>'01 Major Assumptions'!$D$33</f>
        <v>40920</v>
      </c>
      <c r="AQ104" s="90">
        <f>'01 Major Assumptions'!$D$33</f>
        <v>40920</v>
      </c>
      <c r="AR104" s="90">
        <f>'01 Major Assumptions'!$D$33</f>
        <v>40920</v>
      </c>
      <c r="AS104" s="90">
        <f>'01 Major Assumptions'!$D$33</f>
        <v>40920</v>
      </c>
      <c r="AT104" s="90">
        <f>'01 Major Assumptions'!$D$33</f>
        <v>40920</v>
      </c>
      <c r="AU104" s="90">
        <f>'01 Major Assumptions'!$D$33</f>
        <v>40920</v>
      </c>
      <c r="AV104" s="90">
        <f>'01 Major Assumptions'!$D$33</f>
        <v>40920</v>
      </c>
      <c r="AW104" s="90">
        <f>'01 Major Assumptions'!$D$33</f>
        <v>40920</v>
      </c>
      <c r="AX104" s="90">
        <f>'01 Major Assumptions'!$D$33</f>
        <v>40920</v>
      </c>
      <c r="AY104" s="90">
        <f>'01 Major Assumptions'!$D$33</f>
        <v>40920</v>
      </c>
      <c r="AZ104" s="90">
        <f>'01 Major Assumptions'!$D$33</f>
        <v>40920</v>
      </c>
      <c r="BA104" s="90">
        <f>'01 Major Assumptions'!$D$33</f>
        <v>40920</v>
      </c>
      <c r="BB104" s="90">
        <f>'01 Major Assumptions'!$D$33</f>
        <v>40920</v>
      </c>
      <c r="BC104" s="90">
        <f>'01 Major Assumptions'!$D$33</f>
        <v>40920</v>
      </c>
      <c r="BD104" s="90">
        <f>'01 Major Assumptions'!$D$33</f>
        <v>40920</v>
      </c>
      <c r="BE104" s="90">
        <f>'01 Major Assumptions'!$D$33</f>
        <v>40920</v>
      </c>
      <c r="BF104" s="90">
        <f>'01 Major Assumptions'!$D$33</f>
        <v>40920</v>
      </c>
      <c r="BG104" s="90">
        <f>'01 Major Assumptions'!$D$33</f>
        <v>40920</v>
      </c>
      <c r="BH104" s="90">
        <f>'01 Major Assumptions'!$D$33</f>
        <v>40920</v>
      </c>
      <c r="BI104" s="90">
        <f>'01 Major Assumptions'!$D$33</f>
        <v>40920</v>
      </c>
      <c r="BJ104" s="90">
        <f>'01 Major Assumptions'!$D$33</f>
        <v>40920</v>
      </c>
      <c r="BK104" s="90">
        <f>'01 Major Assumptions'!$D$33</f>
        <v>40920</v>
      </c>
      <c r="BL104" s="90">
        <f>'01 Major Assumptions'!$D$33</f>
        <v>40920</v>
      </c>
      <c r="BM104" s="90">
        <f>'01 Major Assumptions'!$D$33</f>
        <v>40920</v>
      </c>
      <c r="BN104" s="90">
        <f>'01 Major Assumptions'!$D$33</f>
        <v>40920</v>
      </c>
      <c r="BO104" s="90">
        <f>'01 Major Assumptions'!$D$33</f>
        <v>40920</v>
      </c>
    </row>
    <row r="105" spans="1:67">
      <c r="A105" s="11"/>
      <c r="B105" s="11"/>
      <c r="C105" s="11" t="s">
        <v>386</v>
      </c>
      <c r="D105" s="33"/>
      <c r="E105" s="10" t="s">
        <v>7</v>
      </c>
      <c r="F105" s="10"/>
      <c r="G105" s="6">
        <f>IF(G28=0,0,G49/($D$24*G28))</f>
        <v>0</v>
      </c>
      <c r="H105" s="6">
        <f t="shared" ref="H105:BI105" si="110">IF(H28=0,0,H49/($D$24*H28))</f>
        <v>0</v>
      </c>
      <c r="I105" s="6">
        <f t="shared" si="110"/>
        <v>0</v>
      </c>
      <c r="J105" s="6">
        <f t="shared" si="110"/>
        <v>0</v>
      </c>
      <c r="K105" s="6">
        <f t="shared" si="110"/>
        <v>0</v>
      </c>
      <c r="L105" s="6">
        <f t="shared" si="110"/>
        <v>0</v>
      </c>
      <c r="M105" s="6">
        <f t="shared" si="110"/>
        <v>0</v>
      </c>
      <c r="N105" s="6">
        <f t="shared" si="110"/>
        <v>0</v>
      </c>
      <c r="O105" s="6">
        <f t="shared" si="110"/>
        <v>0</v>
      </c>
      <c r="P105" s="6">
        <f t="shared" si="110"/>
        <v>0</v>
      </c>
      <c r="Q105" s="6">
        <f t="shared" si="110"/>
        <v>0</v>
      </c>
      <c r="R105" s="6">
        <f t="shared" si="110"/>
        <v>0</v>
      </c>
      <c r="S105" s="6">
        <f t="shared" si="110"/>
        <v>0</v>
      </c>
      <c r="T105" s="6">
        <f t="shared" si="110"/>
        <v>0</v>
      </c>
      <c r="U105" s="6">
        <f t="shared" si="110"/>
        <v>0</v>
      </c>
      <c r="V105" s="6">
        <f t="shared" si="110"/>
        <v>0</v>
      </c>
      <c r="W105" s="6">
        <f t="shared" si="110"/>
        <v>0</v>
      </c>
      <c r="X105" s="6">
        <f t="shared" si="110"/>
        <v>0</v>
      </c>
      <c r="Y105" s="6">
        <f t="shared" si="110"/>
        <v>0</v>
      </c>
      <c r="Z105" s="6">
        <f t="shared" si="110"/>
        <v>0</v>
      </c>
      <c r="AA105" s="6">
        <f t="shared" si="110"/>
        <v>0</v>
      </c>
      <c r="AB105" s="6">
        <f t="shared" si="110"/>
        <v>0.2</v>
      </c>
      <c r="AC105" s="6">
        <f t="shared" si="110"/>
        <v>0.26499999999999996</v>
      </c>
      <c r="AD105" s="6">
        <f t="shared" si="110"/>
        <v>0.33000000000000007</v>
      </c>
      <c r="AE105" s="6">
        <f t="shared" si="110"/>
        <v>0.39500000000000013</v>
      </c>
      <c r="AF105" s="6">
        <f t="shared" si="110"/>
        <v>0.46</v>
      </c>
      <c r="AG105" s="6">
        <f t="shared" si="110"/>
        <v>0.52500000000000002</v>
      </c>
      <c r="AH105" s="6">
        <f t="shared" si="110"/>
        <v>0.59</v>
      </c>
      <c r="AI105" s="6">
        <f t="shared" si="110"/>
        <v>0.65499999999999992</v>
      </c>
      <c r="AJ105" s="6">
        <f t="shared" si="110"/>
        <v>0.72000000000000008</v>
      </c>
      <c r="AK105" s="6">
        <f t="shared" si="110"/>
        <v>0.78500000000000014</v>
      </c>
      <c r="AL105" s="6">
        <f t="shared" si="110"/>
        <v>0.85</v>
      </c>
      <c r="AM105" s="6">
        <f t="shared" si="110"/>
        <v>0.91500000000000015</v>
      </c>
      <c r="AN105" s="6">
        <f t="shared" si="110"/>
        <v>0.97999999999999987</v>
      </c>
      <c r="AO105" s="6">
        <f t="shared" si="110"/>
        <v>0.97999999999999987</v>
      </c>
      <c r="AP105" s="6">
        <f t="shared" si="110"/>
        <v>0.97999999999999987</v>
      </c>
      <c r="AQ105" s="6">
        <f t="shared" si="110"/>
        <v>0.97999999999999987</v>
      </c>
      <c r="AR105" s="6">
        <f t="shared" si="110"/>
        <v>0.97999999999999987</v>
      </c>
      <c r="AS105" s="6">
        <f t="shared" si="110"/>
        <v>0.97999999999999987</v>
      </c>
      <c r="AT105" s="6">
        <f t="shared" si="110"/>
        <v>0.97999999999999987</v>
      </c>
      <c r="AU105" s="6">
        <f t="shared" si="110"/>
        <v>0.97999999999999987</v>
      </c>
      <c r="AV105" s="6">
        <f t="shared" si="110"/>
        <v>0.97999999999999987</v>
      </c>
      <c r="AW105" s="6">
        <f t="shared" si="110"/>
        <v>0.97999999999999987</v>
      </c>
      <c r="AX105" s="6">
        <f t="shared" si="110"/>
        <v>0.97999999999999987</v>
      </c>
      <c r="AY105" s="6">
        <f t="shared" si="110"/>
        <v>0.97999999999999987</v>
      </c>
      <c r="AZ105" s="6">
        <f t="shared" si="110"/>
        <v>0.97999999999999987</v>
      </c>
      <c r="BA105" s="6">
        <f t="shared" si="110"/>
        <v>0.97999999999999987</v>
      </c>
      <c r="BB105" s="6">
        <f t="shared" si="110"/>
        <v>0.97999999999999987</v>
      </c>
      <c r="BC105" s="6">
        <f t="shared" si="110"/>
        <v>0.97999999999999987</v>
      </c>
      <c r="BD105" s="6">
        <f t="shared" si="110"/>
        <v>0.97999999999999987</v>
      </c>
      <c r="BE105" s="6">
        <f t="shared" si="110"/>
        <v>0.97999999999999987</v>
      </c>
      <c r="BF105" s="6">
        <f t="shared" si="110"/>
        <v>0.97999999999999987</v>
      </c>
      <c r="BG105" s="6">
        <f t="shared" si="110"/>
        <v>0.97999999999999987</v>
      </c>
      <c r="BH105" s="6">
        <f t="shared" si="110"/>
        <v>0.97999999999999987</v>
      </c>
      <c r="BI105" s="6">
        <f t="shared" si="110"/>
        <v>0.98</v>
      </c>
      <c r="BJ105" s="6">
        <f t="shared" ref="BJ105:BO105" si="111">IF(BJ28=0,0,BJ49/($D$24*BJ28))</f>
        <v>0.98</v>
      </c>
      <c r="BK105" s="6">
        <f t="shared" si="111"/>
        <v>0.98</v>
      </c>
      <c r="BL105" s="6">
        <f t="shared" si="111"/>
        <v>0.98</v>
      </c>
      <c r="BM105" s="6">
        <f t="shared" si="111"/>
        <v>0.98</v>
      </c>
      <c r="BN105" s="6">
        <f t="shared" si="111"/>
        <v>0.98</v>
      </c>
      <c r="BO105" s="6">
        <f t="shared" si="111"/>
        <v>0.98</v>
      </c>
    </row>
    <row r="106" spans="1:67">
      <c r="A106" s="11"/>
      <c r="B106" s="11"/>
      <c r="C106" s="11" t="s">
        <v>387</v>
      </c>
      <c r="D106" s="33"/>
      <c r="E106" s="10" t="s">
        <v>64</v>
      </c>
      <c r="F106" s="10"/>
      <c r="G106" s="90">
        <f>IF(G30=0,0,G49/G30)</f>
        <v>0</v>
      </c>
      <c r="H106" s="90">
        <f t="shared" ref="H106:BI106" si="112">IF(H30=0,0,H49/H30)</f>
        <v>0</v>
      </c>
      <c r="I106" s="90">
        <f t="shared" si="112"/>
        <v>0</v>
      </c>
      <c r="J106" s="90">
        <f t="shared" si="112"/>
        <v>0</v>
      </c>
      <c r="K106" s="90">
        <f t="shared" si="112"/>
        <v>0</v>
      </c>
      <c r="L106" s="90">
        <f t="shared" si="112"/>
        <v>0</v>
      </c>
      <c r="M106" s="90">
        <f t="shared" si="112"/>
        <v>0</v>
      </c>
      <c r="N106" s="90">
        <f t="shared" si="112"/>
        <v>0</v>
      </c>
      <c r="O106" s="90">
        <f t="shared" si="112"/>
        <v>0</v>
      </c>
      <c r="P106" s="90">
        <f t="shared" si="112"/>
        <v>0</v>
      </c>
      <c r="Q106" s="90">
        <f t="shared" si="112"/>
        <v>0</v>
      </c>
      <c r="R106" s="90">
        <f t="shared" si="112"/>
        <v>0</v>
      </c>
      <c r="S106" s="90">
        <f t="shared" si="112"/>
        <v>0</v>
      </c>
      <c r="T106" s="90">
        <f t="shared" si="112"/>
        <v>0</v>
      </c>
      <c r="U106" s="90">
        <f t="shared" si="112"/>
        <v>0</v>
      </c>
      <c r="V106" s="90">
        <f t="shared" si="112"/>
        <v>0</v>
      </c>
      <c r="W106" s="90">
        <f t="shared" si="112"/>
        <v>0</v>
      </c>
      <c r="X106" s="90">
        <f t="shared" si="112"/>
        <v>0</v>
      </c>
      <c r="Y106" s="90">
        <f t="shared" si="112"/>
        <v>0</v>
      </c>
      <c r="Z106" s="90">
        <f t="shared" si="112"/>
        <v>0</v>
      </c>
      <c r="AA106" s="90">
        <f t="shared" si="112"/>
        <v>0</v>
      </c>
      <c r="AB106" s="90">
        <f t="shared" si="112"/>
        <v>120</v>
      </c>
      <c r="AC106" s="90">
        <f t="shared" si="112"/>
        <v>119.99999999999997</v>
      </c>
      <c r="AD106" s="90">
        <f t="shared" si="112"/>
        <v>120</v>
      </c>
      <c r="AE106" s="90">
        <f t="shared" si="112"/>
        <v>120.00000000000003</v>
      </c>
      <c r="AF106" s="90">
        <f t="shared" si="112"/>
        <v>120</v>
      </c>
      <c r="AG106" s="90">
        <f t="shared" si="112"/>
        <v>120</v>
      </c>
      <c r="AH106" s="90">
        <f t="shared" si="112"/>
        <v>120</v>
      </c>
      <c r="AI106" s="90">
        <f t="shared" si="112"/>
        <v>119.99999999999999</v>
      </c>
      <c r="AJ106" s="90">
        <f t="shared" si="112"/>
        <v>120.00000000000001</v>
      </c>
      <c r="AK106" s="90">
        <f t="shared" si="112"/>
        <v>119.99999999999999</v>
      </c>
      <c r="AL106" s="90">
        <f t="shared" si="112"/>
        <v>119.99999999999999</v>
      </c>
      <c r="AM106" s="90">
        <f t="shared" si="112"/>
        <v>120.00000000000001</v>
      </c>
      <c r="AN106" s="90">
        <f t="shared" si="112"/>
        <v>119.99999999999999</v>
      </c>
      <c r="AO106" s="90">
        <f t="shared" si="112"/>
        <v>119.99999999999999</v>
      </c>
      <c r="AP106" s="90">
        <f t="shared" si="112"/>
        <v>119.99999999999999</v>
      </c>
      <c r="AQ106" s="90">
        <f t="shared" si="112"/>
        <v>119.99999999999999</v>
      </c>
      <c r="AR106" s="90">
        <f t="shared" si="112"/>
        <v>119.99999999999999</v>
      </c>
      <c r="AS106" s="90">
        <f t="shared" si="112"/>
        <v>119.99999999999999</v>
      </c>
      <c r="AT106" s="90">
        <f t="shared" si="112"/>
        <v>119.99999999999999</v>
      </c>
      <c r="AU106" s="90">
        <f t="shared" si="112"/>
        <v>119.99999999999999</v>
      </c>
      <c r="AV106" s="90">
        <f t="shared" si="112"/>
        <v>119.99999999999999</v>
      </c>
      <c r="AW106" s="90">
        <f t="shared" si="112"/>
        <v>119.99999999999999</v>
      </c>
      <c r="AX106" s="90">
        <f t="shared" si="112"/>
        <v>119.99999999999999</v>
      </c>
      <c r="AY106" s="90">
        <f t="shared" si="112"/>
        <v>119.99999999999999</v>
      </c>
      <c r="AZ106" s="90">
        <f t="shared" si="112"/>
        <v>119.99999999999999</v>
      </c>
      <c r="BA106" s="90">
        <f t="shared" si="112"/>
        <v>119.99999999999999</v>
      </c>
      <c r="BB106" s="90">
        <f t="shared" si="112"/>
        <v>119.99999999999999</v>
      </c>
      <c r="BC106" s="90">
        <f t="shared" si="112"/>
        <v>119.99999999999999</v>
      </c>
      <c r="BD106" s="90">
        <f t="shared" si="112"/>
        <v>119.99999999999999</v>
      </c>
      <c r="BE106" s="90">
        <f t="shared" si="112"/>
        <v>119.99999999999999</v>
      </c>
      <c r="BF106" s="90">
        <f t="shared" si="112"/>
        <v>119.99999999999999</v>
      </c>
      <c r="BG106" s="90">
        <f t="shared" si="112"/>
        <v>119.99999999999999</v>
      </c>
      <c r="BH106" s="90">
        <f t="shared" si="112"/>
        <v>119.99999999999999</v>
      </c>
      <c r="BI106" s="90">
        <f t="shared" si="112"/>
        <v>120</v>
      </c>
      <c r="BJ106" s="90">
        <f t="shared" ref="BJ106:BO106" si="113">IF(BJ30=0,0,BJ49/BJ30)</f>
        <v>120</v>
      </c>
      <c r="BK106" s="90">
        <f t="shared" si="113"/>
        <v>120</v>
      </c>
      <c r="BL106" s="90">
        <f t="shared" si="113"/>
        <v>120</v>
      </c>
      <c r="BM106" s="90">
        <f t="shared" si="113"/>
        <v>120</v>
      </c>
      <c r="BN106" s="90">
        <f t="shared" si="113"/>
        <v>120</v>
      </c>
      <c r="BO106" s="90">
        <f t="shared" si="113"/>
        <v>120</v>
      </c>
    </row>
    <row r="107" spans="1:67">
      <c r="A107" s="11"/>
      <c r="B107" s="11"/>
      <c r="C107" s="11" t="s">
        <v>388</v>
      </c>
      <c r="D107" s="33"/>
      <c r="E107" s="10" t="s">
        <v>358</v>
      </c>
      <c r="F107" s="10"/>
      <c r="G107" s="90">
        <f>G65</f>
        <v>0</v>
      </c>
      <c r="H107" s="90">
        <f t="shared" ref="H107:BI107" si="114">H65</f>
        <v>0</v>
      </c>
      <c r="I107" s="90">
        <f t="shared" si="114"/>
        <v>0</v>
      </c>
      <c r="J107" s="90">
        <f t="shared" si="114"/>
        <v>0</v>
      </c>
      <c r="K107" s="90">
        <f t="shared" si="114"/>
        <v>0</v>
      </c>
      <c r="L107" s="90">
        <f t="shared" si="114"/>
        <v>0</v>
      </c>
      <c r="M107" s="90">
        <f t="shared" si="114"/>
        <v>0</v>
      </c>
      <c r="N107" s="90">
        <f t="shared" si="114"/>
        <v>0</v>
      </c>
      <c r="O107" s="90">
        <f t="shared" si="114"/>
        <v>0</v>
      </c>
      <c r="P107" s="90">
        <f t="shared" si="114"/>
        <v>0</v>
      </c>
      <c r="Q107" s="90">
        <f t="shared" si="114"/>
        <v>0</v>
      </c>
      <c r="R107" s="90">
        <f t="shared" si="114"/>
        <v>0</v>
      </c>
      <c r="S107" s="90">
        <f t="shared" si="114"/>
        <v>0</v>
      </c>
      <c r="T107" s="90">
        <f t="shared" si="114"/>
        <v>0</v>
      </c>
      <c r="U107" s="90">
        <f t="shared" si="114"/>
        <v>0</v>
      </c>
      <c r="V107" s="90">
        <f t="shared" si="114"/>
        <v>0</v>
      </c>
      <c r="W107" s="90">
        <f t="shared" si="114"/>
        <v>0</v>
      </c>
      <c r="X107" s="90">
        <f t="shared" si="114"/>
        <v>0</v>
      </c>
      <c r="Y107" s="63">
        <f t="shared" si="114"/>
        <v>0</v>
      </c>
      <c r="Z107" s="63">
        <f t="shared" si="114"/>
        <v>0</v>
      </c>
      <c r="AA107" s="63">
        <f t="shared" si="114"/>
        <v>0</v>
      </c>
      <c r="AB107" s="63">
        <f t="shared" si="114"/>
        <v>97.992631578947382</v>
      </c>
      <c r="AC107" s="63">
        <f t="shared" si="114"/>
        <v>129.84023684210527</v>
      </c>
      <c r="AD107" s="63">
        <f t="shared" si="114"/>
        <v>161.6878421052632</v>
      </c>
      <c r="AE107" s="63">
        <f t="shared" si="114"/>
        <v>193.53544736842113</v>
      </c>
      <c r="AF107" s="63">
        <f t="shared" si="114"/>
        <v>225.38305263157898</v>
      </c>
      <c r="AG107" s="63">
        <f t="shared" si="114"/>
        <v>257.23065789473691</v>
      </c>
      <c r="AH107" s="63">
        <f t="shared" si="114"/>
        <v>289.07826315789475</v>
      </c>
      <c r="AI107" s="63">
        <f t="shared" si="114"/>
        <v>320.9258684210526</v>
      </c>
      <c r="AJ107" s="63">
        <f t="shared" si="114"/>
        <v>352.77347368421061</v>
      </c>
      <c r="AK107" s="63">
        <f t="shared" si="114"/>
        <v>384.62107894736852</v>
      </c>
      <c r="AL107" s="63">
        <f t="shared" si="114"/>
        <v>416.46868421052636</v>
      </c>
      <c r="AM107" s="63">
        <f t="shared" si="114"/>
        <v>448.31628947368432</v>
      </c>
      <c r="AN107" s="63">
        <f t="shared" si="114"/>
        <v>480.16389473684211</v>
      </c>
      <c r="AO107" s="63">
        <f t="shared" si="114"/>
        <v>480.16389473684211</v>
      </c>
      <c r="AP107" s="63">
        <f t="shared" si="114"/>
        <v>480.16389473684211</v>
      </c>
      <c r="AQ107" s="63">
        <f t="shared" si="114"/>
        <v>480.16389473684211</v>
      </c>
      <c r="AR107" s="63">
        <f t="shared" si="114"/>
        <v>480.16389473684211</v>
      </c>
      <c r="AS107" s="63">
        <f t="shared" si="114"/>
        <v>480.16389473684211</v>
      </c>
      <c r="AT107" s="63">
        <f t="shared" si="114"/>
        <v>480.16389473684211</v>
      </c>
      <c r="AU107" s="63">
        <f t="shared" si="114"/>
        <v>480.16389473684211</v>
      </c>
      <c r="AV107" s="63">
        <f t="shared" si="114"/>
        <v>480.16389473684211</v>
      </c>
      <c r="AW107" s="63">
        <f t="shared" si="114"/>
        <v>480.16389473684211</v>
      </c>
      <c r="AX107" s="63">
        <f t="shared" si="114"/>
        <v>480.16389473684211</v>
      </c>
      <c r="AY107" s="63">
        <f t="shared" si="114"/>
        <v>480.16389473684211</v>
      </c>
      <c r="AZ107" s="63">
        <f t="shared" si="114"/>
        <v>480.16389473684211</v>
      </c>
      <c r="BA107" s="63">
        <f t="shared" si="114"/>
        <v>480.16389473684211</v>
      </c>
      <c r="BB107" s="63">
        <f t="shared" si="114"/>
        <v>480.16389473684211</v>
      </c>
      <c r="BC107" s="63">
        <f t="shared" si="114"/>
        <v>480.16389473684211</v>
      </c>
      <c r="BD107" s="63">
        <f t="shared" si="114"/>
        <v>480.16389473684211</v>
      </c>
      <c r="BE107" s="63">
        <f t="shared" si="114"/>
        <v>480.16389473684211</v>
      </c>
      <c r="BF107" s="63">
        <f t="shared" si="114"/>
        <v>480.16389473684211</v>
      </c>
      <c r="BG107" s="63">
        <f t="shared" si="114"/>
        <v>480.16389473684211</v>
      </c>
      <c r="BH107" s="63">
        <f t="shared" si="114"/>
        <v>480.16389473684211</v>
      </c>
      <c r="BI107" s="90">
        <f t="shared" si="114"/>
        <v>5761.966736842106</v>
      </c>
      <c r="BJ107" s="90">
        <f t="shared" ref="BJ107:BO107" si="115">BJ65</f>
        <v>5761.966736842106</v>
      </c>
      <c r="BK107" s="90">
        <f t="shared" si="115"/>
        <v>5761.966736842106</v>
      </c>
      <c r="BL107" s="90">
        <f t="shared" si="115"/>
        <v>5761.966736842106</v>
      </c>
      <c r="BM107" s="90">
        <f t="shared" si="115"/>
        <v>5761.966736842106</v>
      </c>
      <c r="BN107" s="90">
        <f t="shared" si="115"/>
        <v>5761.966736842106</v>
      </c>
      <c r="BO107" s="90">
        <f t="shared" si="115"/>
        <v>5761.966736842106</v>
      </c>
    </row>
    <row r="108" spans="1:67">
      <c r="A108" s="11"/>
      <c r="B108" s="11"/>
      <c r="C108" s="11" t="s">
        <v>389</v>
      </c>
      <c r="D108" s="33"/>
      <c r="E108" s="10" t="s">
        <v>70</v>
      </c>
      <c r="F108" s="10"/>
      <c r="G108" s="90">
        <f>IF(G49=0,0,G101/G49)</f>
        <v>0</v>
      </c>
      <c r="H108" s="90">
        <f t="shared" ref="H108:BI108" si="116">IF(H49=0,0,H101/H49)</f>
        <v>0</v>
      </c>
      <c r="I108" s="90">
        <f t="shared" si="116"/>
        <v>0</v>
      </c>
      <c r="J108" s="90">
        <f t="shared" si="116"/>
        <v>0</v>
      </c>
      <c r="K108" s="90">
        <f t="shared" si="116"/>
        <v>0</v>
      </c>
      <c r="L108" s="90">
        <f t="shared" si="116"/>
        <v>0</v>
      </c>
      <c r="M108" s="90">
        <f t="shared" si="116"/>
        <v>0</v>
      </c>
      <c r="N108" s="90">
        <f t="shared" si="116"/>
        <v>0</v>
      </c>
      <c r="O108" s="90">
        <f t="shared" si="116"/>
        <v>0</v>
      </c>
      <c r="P108" s="90">
        <f t="shared" si="116"/>
        <v>0</v>
      </c>
      <c r="Q108" s="90">
        <f t="shared" si="116"/>
        <v>0</v>
      </c>
      <c r="R108" s="90">
        <f t="shared" si="116"/>
        <v>0</v>
      </c>
      <c r="S108" s="90">
        <f t="shared" si="116"/>
        <v>0</v>
      </c>
      <c r="T108" s="90">
        <f t="shared" si="116"/>
        <v>0</v>
      </c>
      <c r="U108" s="90">
        <f t="shared" si="116"/>
        <v>0</v>
      </c>
      <c r="V108" s="90">
        <f t="shared" si="116"/>
        <v>0</v>
      </c>
      <c r="W108" s="90">
        <f t="shared" si="116"/>
        <v>0</v>
      </c>
      <c r="X108" s="90">
        <f t="shared" si="116"/>
        <v>0</v>
      </c>
      <c r="Y108" s="90">
        <f t="shared" si="116"/>
        <v>0</v>
      </c>
      <c r="Z108" s="90">
        <f t="shared" si="116"/>
        <v>0</v>
      </c>
      <c r="AA108" s="90">
        <f t="shared" si="116"/>
        <v>0</v>
      </c>
      <c r="AB108" s="90">
        <f t="shared" si="116"/>
        <v>19023.850696770853</v>
      </c>
      <c r="AC108" s="90">
        <f t="shared" si="116"/>
        <v>19023.850696770849</v>
      </c>
      <c r="AD108" s="90">
        <f t="shared" si="116"/>
        <v>19023.850696770845</v>
      </c>
      <c r="AE108" s="90">
        <f t="shared" si="116"/>
        <v>19442.534458956266</v>
      </c>
      <c r="AF108" s="90">
        <f t="shared" si="116"/>
        <v>19442.534458956263</v>
      </c>
      <c r="AG108" s="90">
        <f t="shared" si="116"/>
        <v>19442.534458956263</v>
      </c>
      <c r="AH108" s="90">
        <f t="shared" si="116"/>
        <v>19442.534458956263</v>
      </c>
      <c r="AI108" s="90">
        <f t="shared" si="116"/>
        <v>19442.534458956266</v>
      </c>
      <c r="AJ108" s="90">
        <f t="shared" si="116"/>
        <v>19442.534458956263</v>
      </c>
      <c r="AK108" s="90">
        <f t="shared" si="116"/>
        <v>19442.534458956263</v>
      </c>
      <c r="AL108" s="90">
        <f t="shared" si="116"/>
        <v>19442.534458956259</v>
      </c>
      <c r="AM108" s="90">
        <f t="shared" si="116"/>
        <v>19442.534458956263</v>
      </c>
      <c r="AN108" s="90">
        <f t="shared" si="116"/>
        <v>19442.534458956263</v>
      </c>
      <c r="AO108" s="90">
        <f t="shared" si="116"/>
        <v>19442.534458956263</v>
      </c>
      <c r="AP108" s="90">
        <f t="shared" si="116"/>
        <v>19442.534458956263</v>
      </c>
      <c r="AQ108" s="90">
        <f t="shared" si="116"/>
        <v>19870.470651595137</v>
      </c>
      <c r="AR108" s="90">
        <f t="shared" si="116"/>
        <v>19870.470651595137</v>
      </c>
      <c r="AS108" s="90">
        <f t="shared" si="116"/>
        <v>19870.470651595137</v>
      </c>
      <c r="AT108" s="90">
        <f t="shared" si="116"/>
        <v>19870.470651595137</v>
      </c>
      <c r="AU108" s="90">
        <f t="shared" si="116"/>
        <v>19870.470651595137</v>
      </c>
      <c r="AV108" s="90">
        <f t="shared" si="116"/>
        <v>19870.470651595137</v>
      </c>
      <c r="AW108" s="90">
        <f t="shared" si="116"/>
        <v>19870.470651595137</v>
      </c>
      <c r="AX108" s="90">
        <f t="shared" si="116"/>
        <v>19870.470651595137</v>
      </c>
      <c r="AY108" s="90">
        <f t="shared" si="116"/>
        <v>19870.470651595137</v>
      </c>
      <c r="AZ108" s="90">
        <f t="shared" si="116"/>
        <v>19870.470651595137</v>
      </c>
      <c r="BA108" s="90">
        <f t="shared" si="116"/>
        <v>19870.470651595137</v>
      </c>
      <c r="BB108" s="90">
        <f t="shared" si="116"/>
        <v>19870.470651595137</v>
      </c>
      <c r="BC108" s="90">
        <f t="shared" si="116"/>
        <v>20307.864534666362</v>
      </c>
      <c r="BD108" s="90">
        <f t="shared" si="116"/>
        <v>20307.864534666362</v>
      </c>
      <c r="BE108" s="90">
        <f t="shared" si="116"/>
        <v>20307.864534666362</v>
      </c>
      <c r="BF108" s="90">
        <f t="shared" si="116"/>
        <v>20307.864534666362</v>
      </c>
      <c r="BG108" s="90">
        <f t="shared" si="116"/>
        <v>20307.864534666362</v>
      </c>
      <c r="BH108" s="90">
        <f t="shared" si="116"/>
        <v>20307.864534666362</v>
      </c>
      <c r="BI108" s="90">
        <f t="shared" si="116"/>
        <v>20754.925938209915</v>
      </c>
      <c r="BJ108" s="90">
        <f t="shared" ref="BJ108:BO108" si="117">IF(BJ49=0,0,BJ101/BJ49)</f>
        <v>21211.869364419905</v>
      </c>
      <c r="BK108" s="90">
        <f t="shared" si="117"/>
        <v>21678.914092025334</v>
      </c>
      <c r="BL108" s="90">
        <f t="shared" si="117"/>
        <v>22156.284283010165</v>
      </c>
      <c r="BM108" s="90">
        <f t="shared" si="117"/>
        <v>22644.209091725013</v>
      </c>
      <c r="BN108" s="90">
        <f t="shared" si="117"/>
        <v>23142.922776444419</v>
      </c>
      <c r="BO108" s="90">
        <f t="shared" si="117"/>
        <v>23502.363567570734</v>
      </c>
    </row>
    <row r="109" spans="1:67">
      <c r="A109" s="11"/>
      <c r="B109" s="11"/>
      <c r="C109" s="11"/>
      <c r="D109" s="33"/>
      <c r="E109" s="43"/>
      <c r="F109" s="43"/>
      <c r="G109" s="33"/>
      <c r="H109" s="33"/>
      <c r="I109" s="33"/>
      <c r="J109" s="33"/>
      <c r="K109" s="33"/>
      <c r="L109" s="33"/>
      <c r="M109" s="33"/>
      <c r="N109" s="33"/>
      <c r="O109" s="33"/>
      <c r="P109" s="33"/>
      <c r="Q109" s="33"/>
      <c r="R109" s="33"/>
      <c r="S109" s="33"/>
      <c r="T109" s="33"/>
      <c r="U109" s="33"/>
      <c r="V109" s="33"/>
      <c r="W109" s="33"/>
      <c r="X109" s="33"/>
      <c r="Y109" s="33"/>
      <c r="Z109" s="33"/>
      <c r="AA109" s="33"/>
      <c r="AB109" s="33"/>
      <c r="AC109" s="33"/>
      <c r="AD109" s="33"/>
      <c r="AE109" s="33"/>
      <c r="AF109" s="33"/>
      <c r="AG109" s="33"/>
      <c r="AH109" s="33"/>
      <c r="AI109" s="33"/>
      <c r="AJ109" s="33"/>
      <c r="AK109" s="33"/>
      <c r="AL109" s="33"/>
      <c r="AM109" s="33"/>
      <c r="AN109" s="33"/>
      <c r="AO109" s="33"/>
      <c r="AP109" s="33"/>
      <c r="AQ109" s="33"/>
      <c r="AR109" s="33"/>
      <c r="AS109" s="33"/>
      <c r="AT109" s="33"/>
      <c r="AU109" s="33"/>
      <c r="AV109" s="33"/>
      <c r="AW109" s="33"/>
      <c r="AX109" s="33"/>
      <c r="AY109" s="33"/>
      <c r="AZ109" s="33"/>
      <c r="BA109" s="33"/>
      <c r="BB109" s="33"/>
      <c r="BC109" s="33"/>
      <c r="BD109" s="33"/>
      <c r="BE109" s="33"/>
      <c r="BF109" s="33"/>
      <c r="BG109" s="33"/>
      <c r="BH109" s="33"/>
      <c r="BI109" s="33"/>
      <c r="BJ109" s="44"/>
      <c r="BK109" s="44"/>
      <c r="BL109" s="44"/>
      <c r="BM109" s="44"/>
      <c r="BN109" s="44"/>
      <c r="BO109" s="44"/>
    </row>
    <row r="110" spans="1:67">
      <c r="A110" s="18" t="s">
        <v>768</v>
      </c>
      <c r="B110" s="18"/>
      <c r="C110" s="18"/>
      <c r="D110" s="39"/>
      <c r="E110" s="39"/>
      <c r="F110" s="39"/>
      <c r="G110" s="39"/>
      <c r="H110" s="39"/>
      <c r="I110" s="39"/>
      <c r="J110" s="39"/>
      <c r="K110" s="39"/>
      <c r="L110" s="39"/>
      <c r="M110" s="39"/>
      <c r="N110" s="39"/>
      <c r="O110" s="39"/>
      <c r="P110" s="39"/>
      <c r="Q110" s="39"/>
      <c r="R110" s="39"/>
      <c r="S110" s="39"/>
      <c r="T110" s="39"/>
      <c r="U110" s="39"/>
      <c r="V110" s="39"/>
      <c r="W110" s="39"/>
      <c r="X110" s="39"/>
      <c r="Y110" s="39"/>
      <c r="Z110" s="39"/>
      <c r="AA110" s="39"/>
      <c r="AB110" s="39"/>
      <c r="AC110" s="39"/>
      <c r="AD110" s="39"/>
      <c r="AE110" s="39"/>
      <c r="AF110" s="39"/>
      <c r="AG110" s="39"/>
      <c r="AH110" s="39"/>
      <c r="AI110" s="39"/>
      <c r="AJ110" s="39"/>
      <c r="AK110" s="39"/>
      <c r="AL110" s="39"/>
      <c r="AM110" s="39"/>
      <c r="AN110" s="39"/>
      <c r="AO110" s="39"/>
      <c r="AP110" s="39"/>
      <c r="AQ110" s="39"/>
      <c r="AR110" s="39"/>
      <c r="AS110" s="39"/>
      <c r="AT110" s="39"/>
      <c r="AU110" s="39"/>
      <c r="AV110" s="39"/>
      <c r="AW110" s="39"/>
      <c r="AX110" s="39"/>
      <c r="AY110" s="39"/>
      <c r="AZ110" s="39"/>
      <c r="BA110" s="39"/>
      <c r="BB110" s="39"/>
      <c r="BC110" s="39"/>
      <c r="BD110" s="39"/>
      <c r="BE110" s="39"/>
      <c r="BF110" s="39"/>
      <c r="BG110" s="39"/>
      <c r="BH110" s="39"/>
      <c r="BI110" s="39"/>
      <c r="BJ110" s="45"/>
      <c r="BK110" s="45"/>
      <c r="BL110" s="45"/>
      <c r="BM110" s="45"/>
      <c r="BN110" s="45"/>
      <c r="BO110" s="45"/>
    </row>
    <row r="111" spans="1:67">
      <c r="A111" s="11"/>
      <c r="B111" s="11"/>
      <c r="C111" s="11" t="s">
        <v>769</v>
      </c>
      <c r="D111" s="33"/>
      <c r="E111" s="10" t="s">
        <v>358</v>
      </c>
      <c r="F111" s="10"/>
      <c r="G111" s="90">
        <f>$D$24*G$28*'01 Major Assumptions'!$D$40</f>
        <v>1295.8</v>
      </c>
      <c r="H111" s="90">
        <f>$D$24*H$28*'01 Major Assumptions'!$D$40</f>
        <v>1295.8</v>
      </c>
      <c r="I111" s="90">
        <f>$D$24*I$28*'01 Major Assumptions'!$D$40</f>
        <v>1295.8</v>
      </c>
      <c r="J111" s="90">
        <f>$D$24*J$28*'01 Major Assumptions'!$D$40</f>
        <v>1295.8</v>
      </c>
      <c r="K111" s="90">
        <f>$D$24*K$28*'01 Major Assumptions'!$D$40</f>
        <v>1295.8</v>
      </c>
      <c r="L111" s="90">
        <f>$D$24*L$28*'01 Major Assumptions'!$D$40</f>
        <v>1295.8</v>
      </c>
      <c r="M111" s="90">
        <f>$D$24*M$28*'01 Major Assumptions'!$D$40</f>
        <v>1295.8</v>
      </c>
      <c r="N111" s="90">
        <f>$D$24*N$28*'01 Major Assumptions'!$D$40</f>
        <v>1295.8</v>
      </c>
      <c r="O111" s="90">
        <f>$D$24*O$28*'01 Major Assumptions'!$D$40</f>
        <v>1295.8</v>
      </c>
      <c r="P111" s="90">
        <f>$D$24*P$28*'01 Major Assumptions'!$D$40</f>
        <v>1295.8</v>
      </c>
      <c r="Q111" s="90">
        <f>$D$24*Q$28*'01 Major Assumptions'!$D$40</f>
        <v>1295.8</v>
      </c>
      <c r="R111" s="90">
        <f>$D$24*R$28*'01 Major Assumptions'!$D$40</f>
        <v>1295.8</v>
      </c>
      <c r="S111" s="90">
        <f>$D$24*S$28*'01 Major Assumptions'!$D$40</f>
        <v>1295.8</v>
      </c>
      <c r="T111" s="90">
        <f>$D$24*T$28*'01 Major Assumptions'!$D$40</f>
        <v>1295.8</v>
      </c>
      <c r="U111" s="90">
        <f>$D$24*U$28*'01 Major Assumptions'!$D$40</f>
        <v>1295.8</v>
      </c>
      <c r="V111" s="90">
        <f>$D$24*V$28*'01 Major Assumptions'!$D$40</f>
        <v>1295.8</v>
      </c>
      <c r="W111" s="90">
        <f>$D$24*W$28*'01 Major Assumptions'!$D$40</f>
        <v>1295.8</v>
      </c>
      <c r="X111" s="90">
        <f>$D$24*X$28*'01 Major Assumptions'!$D$40</f>
        <v>1295.8</v>
      </c>
      <c r="Y111" s="90">
        <f>$D$24*Y$28*'01 Major Assumptions'!$D$40</f>
        <v>1295.8</v>
      </c>
      <c r="Z111" s="90">
        <f>$D$24*Z$28*'01 Major Assumptions'!$D$40</f>
        <v>1295.8</v>
      </c>
      <c r="AA111" s="90">
        <f>$D$24*AA$28*'01 Major Assumptions'!$D$40</f>
        <v>1295.8</v>
      </c>
      <c r="AB111" s="90">
        <f>$D$24*AB$28*'01 Major Assumptions'!$D$40</f>
        <v>1295.8</v>
      </c>
      <c r="AC111" s="90">
        <f>$D$24*AC$28*'01 Major Assumptions'!$D$40</f>
        <v>1295.8</v>
      </c>
      <c r="AD111" s="90">
        <f>$D$24*AD$28*'01 Major Assumptions'!$D$40</f>
        <v>1295.8</v>
      </c>
      <c r="AE111" s="90">
        <f>$D$24*AE$28*'01 Major Assumptions'!$D$40</f>
        <v>1295.8</v>
      </c>
      <c r="AF111" s="90">
        <f>$D$24*AF$28*'01 Major Assumptions'!$D$40</f>
        <v>1295.8</v>
      </c>
      <c r="AG111" s="90">
        <f>$D$24*AG$28*'01 Major Assumptions'!$D$40</f>
        <v>1295.8</v>
      </c>
      <c r="AH111" s="90">
        <f>$D$24*AH$28*'01 Major Assumptions'!$D$40</f>
        <v>1295.8</v>
      </c>
      <c r="AI111" s="90">
        <f>$D$24*AI$28*'01 Major Assumptions'!$D$40</f>
        <v>1295.8</v>
      </c>
      <c r="AJ111" s="90">
        <f>$D$24*AJ$28*'01 Major Assumptions'!$D$40</f>
        <v>1295.8</v>
      </c>
      <c r="AK111" s="90">
        <f>$D$24*AK$28*'01 Major Assumptions'!$D$40</f>
        <v>1295.8</v>
      </c>
      <c r="AL111" s="90">
        <f>$D$24*AL$28*'01 Major Assumptions'!$D$40</f>
        <v>1295.8</v>
      </c>
      <c r="AM111" s="90">
        <f>$D$24*AM$28*'01 Major Assumptions'!$D$40</f>
        <v>1295.8</v>
      </c>
      <c r="AN111" s="90">
        <f>$D$24*AN$28*'01 Major Assumptions'!$D$40</f>
        <v>1295.8</v>
      </c>
      <c r="AO111" s="90">
        <f>$D$24*AO$28*'01 Major Assumptions'!$D$40</f>
        <v>1295.8</v>
      </c>
      <c r="AP111" s="90">
        <f>$D$24*AP$28*'01 Major Assumptions'!$D$40</f>
        <v>1295.8</v>
      </c>
      <c r="AQ111" s="90">
        <f>$D$24*AQ$28*'01 Major Assumptions'!$D$40</f>
        <v>1295.8</v>
      </c>
      <c r="AR111" s="90">
        <f>$D$24*AR$28*'01 Major Assumptions'!$D$40</f>
        <v>1295.8</v>
      </c>
      <c r="AS111" s="90">
        <f>$D$24*AS$28*'01 Major Assumptions'!$D$40</f>
        <v>1295.8</v>
      </c>
      <c r="AT111" s="90">
        <f>$D$24*AT$28*'01 Major Assumptions'!$D$40</f>
        <v>1295.8</v>
      </c>
      <c r="AU111" s="90">
        <f>$D$24*AU$28*'01 Major Assumptions'!$D$40</f>
        <v>1295.8</v>
      </c>
      <c r="AV111" s="90">
        <f>$D$24*AV$28*'01 Major Assumptions'!$D$40</f>
        <v>1295.8</v>
      </c>
      <c r="AW111" s="90">
        <f>$D$24*AW$28*'01 Major Assumptions'!$D$40</f>
        <v>1295.8</v>
      </c>
      <c r="AX111" s="90">
        <f>$D$24*AX$28*'01 Major Assumptions'!$D$40</f>
        <v>1295.8</v>
      </c>
      <c r="AY111" s="90">
        <f>$D$24*AY$28*'01 Major Assumptions'!$D$40</f>
        <v>1295.8</v>
      </c>
      <c r="AZ111" s="90">
        <f>$D$24*AZ$28*'01 Major Assumptions'!$D$40</f>
        <v>1295.8</v>
      </c>
      <c r="BA111" s="90">
        <f>$D$24*BA$28*'01 Major Assumptions'!$D$40</f>
        <v>1295.8</v>
      </c>
      <c r="BB111" s="90">
        <f>$D$24*BB$28*'01 Major Assumptions'!$D$40</f>
        <v>1295.8</v>
      </c>
      <c r="BC111" s="90">
        <f>$D$24*BC$28*'01 Major Assumptions'!$D$40</f>
        <v>1295.8</v>
      </c>
      <c r="BD111" s="90">
        <f>$D$24*BD$28*'01 Major Assumptions'!$D$40</f>
        <v>1295.8</v>
      </c>
      <c r="BE111" s="90">
        <f>$D$24*BE$28*'01 Major Assumptions'!$D$40</f>
        <v>1295.8</v>
      </c>
      <c r="BF111" s="90">
        <f>$D$24*BF$28*'01 Major Assumptions'!$D$40</f>
        <v>1295.8</v>
      </c>
      <c r="BG111" s="90">
        <f>$D$24*BG$28*'01 Major Assumptions'!$D$40</f>
        <v>1295.8</v>
      </c>
      <c r="BH111" s="90">
        <f>$D$24*BH$28*'01 Major Assumptions'!$D$40</f>
        <v>1295.8</v>
      </c>
      <c r="BI111" s="90">
        <f>$D$24*BI$28*'01 Major Assumptions'!$D$40</f>
        <v>15549.6</v>
      </c>
      <c r="BJ111" s="96">
        <f>$D$24*BJ$28*'01 Major Assumptions'!$D$40</f>
        <v>15549.6</v>
      </c>
      <c r="BK111" s="96">
        <f>$D$24*BK$28*'01 Major Assumptions'!$D$40</f>
        <v>15549.6</v>
      </c>
      <c r="BL111" s="96">
        <f>$D$24*BL$28*'01 Major Assumptions'!$D$40</f>
        <v>15549.6</v>
      </c>
      <c r="BM111" s="96">
        <f>$D$24*BM$28*'01 Major Assumptions'!$D$40</f>
        <v>15549.6</v>
      </c>
      <c r="BN111" s="96">
        <f>$D$24*BN$28*'01 Major Assumptions'!$D$40</f>
        <v>15549.6</v>
      </c>
      <c r="BO111" s="96">
        <f>$D$24*BO$28*'01 Major Assumptions'!$D$40</f>
        <v>15549.6</v>
      </c>
    </row>
    <row r="112" spans="1:67">
      <c r="A112" s="11"/>
      <c r="B112" s="11"/>
      <c r="C112" s="11" t="s">
        <v>770</v>
      </c>
      <c r="D112" s="33"/>
      <c r="E112" s="10" t="s">
        <v>358</v>
      </c>
      <c r="F112" s="10"/>
      <c r="G112" s="90">
        <f>$D$24*G$28*'01 Major Assumptions'!$D$41</f>
        <v>1023</v>
      </c>
      <c r="H112" s="90">
        <f>$D$24*H$28*'01 Major Assumptions'!$D$41</f>
        <v>1023</v>
      </c>
      <c r="I112" s="90">
        <f>$D$24*I$28*'01 Major Assumptions'!$D$41</f>
        <v>1023</v>
      </c>
      <c r="J112" s="90">
        <f>$D$24*J$28*'01 Major Assumptions'!$D$41</f>
        <v>1023</v>
      </c>
      <c r="K112" s="90">
        <f>$D$24*K$28*'01 Major Assumptions'!$D$41</f>
        <v>1023</v>
      </c>
      <c r="L112" s="90">
        <f>$D$24*L$28*'01 Major Assumptions'!$D$41</f>
        <v>1023</v>
      </c>
      <c r="M112" s="90">
        <f>$D$24*M$28*'01 Major Assumptions'!$D$41</f>
        <v>1023</v>
      </c>
      <c r="N112" s="90">
        <f>$D$24*N$28*'01 Major Assumptions'!$D$41</f>
        <v>1023</v>
      </c>
      <c r="O112" s="90">
        <f>$D$24*O$28*'01 Major Assumptions'!$D$41</f>
        <v>1023</v>
      </c>
      <c r="P112" s="90">
        <f>$D$24*P$28*'01 Major Assumptions'!$D$41</f>
        <v>1023</v>
      </c>
      <c r="Q112" s="90">
        <f>$D$24*Q$28*'01 Major Assumptions'!$D$41</f>
        <v>1023</v>
      </c>
      <c r="R112" s="90">
        <f>$D$24*R$28*'01 Major Assumptions'!$D$41</f>
        <v>1023</v>
      </c>
      <c r="S112" s="90">
        <f>$D$24*S$28*'01 Major Assumptions'!$D$41</f>
        <v>1023</v>
      </c>
      <c r="T112" s="90">
        <f>$D$24*T$28*'01 Major Assumptions'!$D$41</f>
        <v>1023</v>
      </c>
      <c r="U112" s="90">
        <f>$D$24*U$28*'01 Major Assumptions'!$D$41</f>
        <v>1023</v>
      </c>
      <c r="V112" s="90">
        <f>$D$24*V$28*'01 Major Assumptions'!$D$41</f>
        <v>1023</v>
      </c>
      <c r="W112" s="90">
        <f>$D$24*W$28*'01 Major Assumptions'!$D$41</f>
        <v>1023</v>
      </c>
      <c r="X112" s="90">
        <f>$D$24*X$28*'01 Major Assumptions'!$D$41</f>
        <v>1023</v>
      </c>
      <c r="Y112" s="90">
        <f>$D$24*Y$28*'01 Major Assumptions'!$D$41</f>
        <v>1023</v>
      </c>
      <c r="Z112" s="90">
        <f>$D$24*Z$28*'01 Major Assumptions'!$D$41</f>
        <v>1023</v>
      </c>
      <c r="AA112" s="90">
        <f>$D$24*AA$28*'01 Major Assumptions'!$D$41</f>
        <v>1023</v>
      </c>
      <c r="AB112" s="90">
        <f>$D$24*AB$28*'01 Major Assumptions'!$D$41</f>
        <v>1023</v>
      </c>
      <c r="AC112" s="90">
        <f>$D$24*AC$28*'01 Major Assumptions'!$D$41</f>
        <v>1023</v>
      </c>
      <c r="AD112" s="90">
        <f>$D$24*AD$28*'01 Major Assumptions'!$D$41</f>
        <v>1023</v>
      </c>
      <c r="AE112" s="90">
        <f>$D$24*AE$28*'01 Major Assumptions'!$D$41</f>
        <v>1023</v>
      </c>
      <c r="AF112" s="90">
        <f>$D$24*AF$28*'01 Major Assumptions'!$D$41</f>
        <v>1023</v>
      </c>
      <c r="AG112" s="90">
        <f>$D$24*AG$28*'01 Major Assumptions'!$D$41</f>
        <v>1023</v>
      </c>
      <c r="AH112" s="90">
        <f>$D$24*AH$28*'01 Major Assumptions'!$D$41</f>
        <v>1023</v>
      </c>
      <c r="AI112" s="90">
        <f>$D$24*AI$28*'01 Major Assumptions'!$D$41</f>
        <v>1023</v>
      </c>
      <c r="AJ112" s="90">
        <f>$D$24*AJ$28*'01 Major Assumptions'!$D$41</f>
        <v>1023</v>
      </c>
      <c r="AK112" s="90">
        <f>$D$24*AK$28*'01 Major Assumptions'!$D$41</f>
        <v>1023</v>
      </c>
      <c r="AL112" s="90">
        <f>$D$24*AL$28*'01 Major Assumptions'!$D$41</f>
        <v>1023</v>
      </c>
      <c r="AM112" s="90">
        <f>$D$24*AM$28*'01 Major Assumptions'!$D$41</f>
        <v>1023</v>
      </c>
      <c r="AN112" s="90">
        <f>$D$24*AN$28*'01 Major Assumptions'!$D$41</f>
        <v>1023</v>
      </c>
      <c r="AO112" s="90">
        <f>$D$24*AO$28*'01 Major Assumptions'!$D$41</f>
        <v>1023</v>
      </c>
      <c r="AP112" s="90">
        <f>$D$24*AP$28*'01 Major Assumptions'!$D$41</f>
        <v>1023</v>
      </c>
      <c r="AQ112" s="90">
        <f>$D$24*AQ$28*'01 Major Assumptions'!$D$41</f>
        <v>1023</v>
      </c>
      <c r="AR112" s="90">
        <f>$D$24*AR$28*'01 Major Assumptions'!$D$41</f>
        <v>1023</v>
      </c>
      <c r="AS112" s="90">
        <f>$D$24*AS$28*'01 Major Assumptions'!$D$41</f>
        <v>1023</v>
      </c>
      <c r="AT112" s="90">
        <f>$D$24*AT$28*'01 Major Assumptions'!$D$41</f>
        <v>1023</v>
      </c>
      <c r="AU112" s="90">
        <f>$D$24*AU$28*'01 Major Assumptions'!$D$41</f>
        <v>1023</v>
      </c>
      <c r="AV112" s="90">
        <f>$D$24*AV$28*'01 Major Assumptions'!$D$41</f>
        <v>1023</v>
      </c>
      <c r="AW112" s="90">
        <f>$D$24*AW$28*'01 Major Assumptions'!$D$41</f>
        <v>1023</v>
      </c>
      <c r="AX112" s="90">
        <f>$D$24*AX$28*'01 Major Assumptions'!$D$41</f>
        <v>1023</v>
      </c>
      <c r="AY112" s="90">
        <f>$D$24*AY$28*'01 Major Assumptions'!$D$41</f>
        <v>1023</v>
      </c>
      <c r="AZ112" s="90">
        <f>$D$24*AZ$28*'01 Major Assumptions'!$D$41</f>
        <v>1023</v>
      </c>
      <c r="BA112" s="90">
        <f>$D$24*BA$28*'01 Major Assumptions'!$D$41</f>
        <v>1023</v>
      </c>
      <c r="BB112" s="90">
        <f>$D$24*BB$28*'01 Major Assumptions'!$D$41</f>
        <v>1023</v>
      </c>
      <c r="BC112" s="90">
        <f>$D$24*BC$28*'01 Major Assumptions'!$D$41</f>
        <v>1023</v>
      </c>
      <c r="BD112" s="90">
        <f>$D$24*BD$28*'01 Major Assumptions'!$D$41</f>
        <v>1023</v>
      </c>
      <c r="BE112" s="90">
        <f>$D$24*BE$28*'01 Major Assumptions'!$D$41</f>
        <v>1023</v>
      </c>
      <c r="BF112" s="90">
        <f>$D$24*BF$28*'01 Major Assumptions'!$D$41</f>
        <v>1023</v>
      </c>
      <c r="BG112" s="90">
        <f>$D$24*BG$28*'01 Major Assumptions'!$D$41</f>
        <v>1023</v>
      </c>
      <c r="BH112" s="90">
        <f>$D$24*BH$28*'01 Major Assumptions'!$D$41</f>
        <v>1023</v>
      </c>
      <c r="BI112" s="90">
        <f>$D$24*BI$28*'01 Major Assumptions'!$D$41</f>
        <v>12276</v>
      </c>
      <c r="BJ112" s="96">
        <f>$D$24*BJ$28*'01 Major Assumptions'!$D$41</f>
        <v>12276</v>
      </c>
      <c r="BK112" s="96">
        <f>$D$24*BK$28*'01 Major Assumptions'!$D$41</f>
        <v>12276</v>
      </c>
      <c r="BL112" s="96">
        <f>$D$24*BL$28*'01 Major Assumptions'!$D$41</f>
        <v>12276</v>
      </c>
      <c r="BM112" s="96">
        <f>$D$24*BM$28*'01 Major Assumptions'!$D$41</f>
        <v>12276</v>
      </c>
      <c r="BN112" s="96">
        <f>$D$24*BN$28*'01 Major Assumptions'!$D$41</f>
        <v>12276</v>
      </c>
      <c r="BO112" s="96">
        <f>$D$24*BO$28*'01 Major Assumptions'!$D$41</f>
        <v>12276</v>
      </c>
    </row>
    <row r="113" spans="1:67">
      <c r="A113" s="11"/>
      <c r="B113" s="11"/>
      <c r="C113" s="11" t="s">
        <v>771</v>
      </c>
      <c r="D113" s="33"/>
      <c r="E113" s="10" t="s">
        <v>358</v>
      </c>
      <c r="F113" s="10"/>
      <c r="G113" s="63">
        <f>$D$24*G$28*'01 Major Assumptions'!$D$42</f>
        <v>375.1</v>
      </c>
      <c r="H113" s="63">
        <f>$D$24*H$28*'01 Major Assumptions'!$D$42</f>
        <v>375.1</v>
      </c>
      <c r="I113" s="63">
        <f>$D$24*I$28*'01 Major Assumptions'!$D$42</f>
        <v>375.1</v>
      </c>
      <c r="J113" s="63">
        <f>$D$24*J$28*'01 Major Assumptions'!$D$42</f>
        <v>375.1</v>
      </c>
      <c r="K113" s="63">
        <f>$D$24*K$28*'01 Major Assumptions'!$D$42</f>
        <v>375.1</v>
      </c>
      <c r="L113" s="63">
        <f>$D$24*L$28*'01 Major Assumptions'!$D$42</f>
        <v>375.1</v>
      </c>
      <c r="M113" s="63">
        <f>$D$24*M$28*'01 Major Assumptions'!$D$42</f>
        <v>375.1</v>
      </c>
      <c r="N113" s="63">
        <f>$D$24*N$28*'01 Major Assumptions'!$D$42</f>
        <v>375.1</v>
      </c>
      <c r="O113" s="63">
        <f>$D$24*O$28*'01 Major Assumptions'!$D$42</f>
        <v>375.1</v>
      </c>
      <c r="P113" s="63">
        <f>$D$24*P$28*'01 Major Assumptions'!$D$42</f>
        <v>375.1</v>
      </c>
      <c r="Q113" s="63">
        <f>$D$24*Q$28*'01 Major Assumptions'!$D$42</f>
        <v>375.1</v>
      </c>
      <c r="R113" s="63">
        <f>$D$24*R$28*'01 Major Assumptions'!$D$42</f>
        <v>375.1</v>
      </c>
      <c r="S113" s="63">
        <f>$D$24*S$28*'01 Major Assumptions'!$D$42</f>
        <v>375.1</v>
      </c>
      <c r="T113" s="63">
        <f>$D$24*T$28*'01 Major Assumptions'!$D$42</f>
        <v>375.1</v>
      </c>
      <c r="U113" s="63">
        <f>$D$24*U$28*'01 Major Assumptions'!$D$42</f>
        <v>375.1</v>
      </c>
      <c r="V113" s="63">
        <f>$D$24*V$28*'01 Major Assumptions'!$D$42</f>
        <v>375.1</v>
      </c>
      <c r="W113" s="63">
        <f>$D$24*W$28*'01 Major Assumptions'!$D$42</f>
        <v>375.1</v>
      </c>
      <c r="X113" s="63">
        <f>$D$24*X$28*'01 Major Assumptions'!$D$42</f>
        <v>375.1</v>
      </c>
      <c r="Y113" s="63">
        <f>$D$24*Y$28*'01 Major Assumptions'!$D$42</f>
        <v>375.1</v>
      </c>
      <c r="Z113" s="63">
        <f>$D$24*Z$28*'01 Major Assumptions'!$D$42</f>
        <v>375.1</v>
      </c>
      <c r="AA113" s="63">
        <f>$D$24*AA$28*'01 Major Assumptions'!$D$42</f>
        <v>375.1</v>
      </c>
      <c r="AB113" s="63">
        <f>$D$24*AB$28*'01 Major Assumptions'!$D$42</f>
        <v>375.1</v>
      </c>
      <c r="AC113" s="63">
        <f>$D$24*AC$28*'01 Major Assumptions'!$D$42</f>
        <v>375.1</v>
      </c>
      <c r="AD113" s="63">
        <f>$D$24*AD$28*'01 Major Assumptions'!$D$42</f>
        <v>375.1</v>
      </c>
      <c r="AE113" s="63">
        <f>$D$24*AE$28*'01 Major Assumptions'!$D$42</f>
        <v>375.1</v>
      </c>
      <c r="AF113" s="63">
        <f>$D$24*AF$28*'01 Major Assumptions'!$D$42</f>
        <v>375.1</v>
      </c>
      <c r="AG113" s="63">
        <f>$D$24*AG$28*'01 Major Assumptions'!$D$42</f>
        <v>375.1</v>
      </c>
      <c r="AH113" s="63">
        <f>$D$24*AH$28*'01 Major Assumptions'!$D$42</f>
        <v>375.1</v>
      </c>
      <c r="AI113" s="63">
        <f>$D$24*AI$28*'01 Major Assumptions'!$D$42</f>
        <v>375.1</v>
      </c>
      <c r="AJ113" s="63">
        <f>$D$24*AJ$28*'01 Major Assumptions'!$D$42</f>
        <v>375.1</v>
      </c>
      <c r="AK113" s="63">
        <f>$D$24*AK$28*'01 Major Assumptions'!$D$42</f>
        <v>375.1</v>
      </c>
      <c r="AL113" s="63">
        <f>$D$24*AL$28*'01 Major Assumptions'!$D$42</f>
        <v>375.1</v>
      </c>
      <c r="AM113" s="63">
        <f>$D$24*AM$28*'01 Major Assumptions'!$D$42</f>
        <v>375.1</v>
      </c>
      <c r="AN113" s="63">
        <f>$D$24*AN$28*'01 Major Assumptions'!$D$42</f>
        <v>375.1</v>
      </c>
      <c r="AO113" s="63">
        <f>$D$24*AO$28*'01 Major Assumptions'!$D$42</f>
        <v>375.1</v>
      </c>
      <c r="AP113" s="63">
        <f>$D$24*AP$28*'01 Major Assumptions'!$D$42</f>
        <v>375.1</v>
      </c>
      <c r="AQ113" s="63">
        <f>$D$24*AQ$28*'01 Major Assumptions'!$D$42</f>
        <v>375.1</v>
      </c>
      <c r="AR113" s="63">
        <f>$D$24*AR$28*'01 Major Assumptions'!$D$42</f>
        <v>375.1</v>
      </c>
      <c r="AS113" s="63">
        <f>$D$24*AS$28*'01 Major Assumptions'!$D$42</f>
        <v>375.1</v>
      </c>
      <c r="AT113" s="63">
        <f>$D$24*AT$28*'01 Major Assumptions'!$D$42</f>
        <v>375.1</v>
      </c>
      <c r="AU113" s="63">
        <f>$D$24*AU$28*'01 Major Assumptions'!$D$42</f>
        <v>375.1</v>
      </c>
      <c r="AV113" s="63">
        <f>$D$24*AV$28*'01 Major Assumptions'!$D$42</f>
        <v>375.1</v>
      </c>
      <c r="AW113" s="63">
        <f>$D$24*AW$28*'01 Major Assumptions'!$D$42</f>
        <v>375.1</v>
      </c>
      <c r="AX113" s="63">
        <f>$D$24*AX$28*'01 Major Assumptions'!$D$42</f>
        <v>375.1</v>
      </c>
      <c r="AY113" s="63">
        <f>$D$24*AY$28*'01 Major Assumptions'!$D$42</f>
        <v>375.1</v>
      </c>
      <c r="AZ113" s="63">
        <f>$D$24*AZ$28*'01 Major Assumptions'!$D$42</f>
        <v>375.1</v>
      </c>
      <c r="BA113" s="63">
        <f>$D$24*BA$28*'01 Major Assumptions'!$D$42</f>
        <v>375.1</v>
      </c>
      <c r="BB113" s="63">
        <f>$D$24*BB$28*'01 Major Assumptions'!$D$42</f>
        <v>375.1</v>
      </c>
      <c r="BC113" s="63">
        <f>$D$24*BC$28*'01 Major Assumptions'!$D$42</f>
        <v>375.1</v>
      </c>
      <c r="BD113" s="63">
        <f>$D$24*BD$28*'01 Major Assumptions'!$D$42</f>
        <v>375.1</v>
      </c>
      <c r="BE113" s="63">
        <f>$D$24*BE$28*'01 Major Assumptions'!$D$42</f>
        <v>375.1</v>
      </c>
      <c r="BF113" s="63">
        <f>$D$24*BF$28*'01 Major Assumptions'!$D$42</f>
        <v>375.1</v>
      </c>
      <c r="BG113" s="63">
        <f>$D$24*BG$28*'01 Major Assumptions'!$D$42</f>
        <v>375.1</v>
      </c>
      <c r="BH113" s="63">
        <f>$D$24*BH$28*'01 Major Assumptions'!$D$42</f>
        <v>375.1</v>
      </c>
      <c r="BI113" s="90">
        <f>$D$24*BI$28*'01 Major Assumptions'!$D$42</f>
        <v>4501.2</v>
      </c>
      <c r="BJ113" s="96">
        <f>$D$24*BJ$28*'01 Major Assumptions'!$D$42</f>
        <v>4501.2</v>
      </c>
      <c r="BK113" s="96">
        <f>$D$24*BK$28*'01 Major Assumptions'!$D$42</f>
        <v>4501.2</v>
      </c>
      <c r="BL113" s="96">
        <f>$D$24*BL$28*'01 Major Assumptions'!$D$42</f>
        <v>4501.2</v>
      </c>
      <c r="BM113" s="96">
        <f>$D$24*BM$28*'01 Major Assumptions'!$D$42</f>
        <v>4501.2</v>
      </c>
      <c r="BN113" s="96">
        <f>$D$24*BN$28*'01 Major Assumptions'!$D$42</f>
        <v>4501.2</v>
      </c>
      <c r="BO113" s="96">
        <f>$D$24*BO$28*'01 Major Assumptions'!$D$42</f>
        <v>4501.2</v>
      </c>
    </row>
    <row r="114" spans="1:67">
      <c r="A114" s="11"/>
      <c r="B114" s="11"/>
      <c r="C114" s="22" t="s">
        <v>772</v>
      </c>
      <c r="D114" s="33"/>
      <c r="E114" s="10" t="s">
        <v>358</v>
      </c>
      <c r="F114" s="10"/>
      <c r="G114" s="89">
        <f>SUM(G111:G113)</f>
        <v>2693.9</v>
      </c>
      <c r="H114" s="89">
        <f t="shared" ref="H114:BO114" si="118">SUM(H111:H113)</f>
        <v>2693.9</v>
      </c>
      <c r="I114" s="89">
        <f t="shared" si="118"/>
        <v>2693.9</v>
      </c>
      <c r="J114" s="89">
        <f t="shared" si="118"/>
        <v>2693.9</v>
      </c>
      <c r="K114" s="89">
        <f t="shared" si="118"/>
        <v>2693.9</v>
      </c>
      <c r="L114" s="89">
        <f t="shared" si="118"/>
        <v>2693.9</v>
      </c>
      <c r="M114" s="89">
        <f t="shared" si="118"/>
        <v>2693.9</v>
      </c>
      <c r="N114" s="89">
        <f t="shared" si="118"/>
        <v>2693.9</v>
      </c>
      <c r="O114" s="89">
        <f t="shared" si="118"/>
        <v>2693.9</v>
      </c>
      <c r="P114" s="89">
        <f t="shared" si="118"/>
        <v>2693.9</v>
      </c>
      <c r="Q114" s="89">
        <f t="shared" si="118"/>
        <v>2693.9</v>
      </c>
      <c r="R114" s="89">
        <f t="shared" si="118"/>
        <v>2693.9</v>
      </c>
      <c r="S114" s="89">
        <f t="shared" si="118"/>
        <v>2693.9</v>
      </c>
      <c r="T114" s="89">
        <f t="shared" si="118"/>
        <v>2693.9</v>
      </c>
      <c r="U114" s="89">
        <f t="shared" si="118"/>
        <v>2693.9</v>
      </c>
      <c r="V114" s="89">
        <f t="shared" si="118"/>
        <v>2693.9</v>
      </c>
      <c r="W114" s="89">
        <f t="shared" si="118"/>
        <v>2693.9</v>
      </c>
      <c r="X114" s="89">
        <f t="shared" si="118"/>
        <v>2693.9</v>
      </c>
      <c r="Y114" s="89">
        <f t="shared" si="118"/>
        <v>2693.9</v>
      </c>
      <c r="Z114" s="89">
        <f t="shared" si="118"/>
        <v>2693.9</v>
      </c>
      <c r="AA114" s="89">
        <f t="shared" si="118"/>
        <v>2693.9</v>
      </c>
      <c r="AB114" s="89">
        <f t="shared" si="118"/>
        <v>2693.9</v>
      </c>
      <c r="AC114" s="89">
        <f t="shared" si="118"/>
        <v>2693.9</v>
      </c>
      <c r="AD114" s="89">
        <f t="shared" si="118"/>
        <v>2693.9</v>
      </c>
      <c r="AE114" s="89">
        <f t="shared" si="118"/>
        <v>2693.9</v>
      </c>
      <c r="AF114" s="89">
        <f t="shared" si="118"/>
        <v>2693.9</v>
      </c>
      <c r="AG114" s="89">
        <f t="shared" si="118"/>
        <v>2693.9</v>
      </c>
      <c r="AH114" s="89">
        <f t="shared" si="118"/>
        <v>2693.9</v>
      </c>
      <c r="AI114" s="89">
        <f t="shared" si="118"/>
        <v>2693.9</v>
      </c>
      <c r="AJ114" s="89">
        <f t="shared" si="118"/>
        <v>2693.9</v>
      </c>
      <c r="AK114" s="89">
        <f t="shared" si="118"/>
        <v>2693.9</v>
      </c>
      <c r="AL114" s="89">
        <f t="shared" si="118"/>
        <v>2693.9</v>
      </c>
      <c r="AM114" s="89">
        <f t="shared" si="118"/>
        <v>2693.9</v>
      </c>
      <c r="AN114" s="89">
        <f t="shared" si="118"/>
        <v>2693.9</v>
      </c>
      <c r="AO114" s="89">
        <f t="shared" si="118"/>
        <v>2693.9</v>
      </c>
      <c r="AP114" s="89">
        <f t="shared" si="118"/>
        <v>2693.9</v>
      </c>
      <c r="AQ114" s="89">
        <f t="shared" si="118"/>
        <v>2693.9</v>
      </c>
      <c r="AR114" s="89">
        <f t="shared" si="118"/>
        <v>2693.9</v>
      </c>
      <c r="AS114" s="89">
        <f t="shared" si="118"/>
        <v>2693.9</v>
      </c>
      <c r="AT114" s="89">
        <f t="shared" si="118"/>
        <v>2693.9</v>
      </c>
      <c r="AU114" s="89">
        <f t="shared" si="118"/>
        <v>2693.9</v>
      </c>
      <c r="AV114" s="89">
        <f t="shared" si="118"/>
        <v>2693.9</v>
      </c>
      <c r="AW114" s="89">
        <f t="shared" si="118"/>
        <v>2693.9</v>
      </c>
      <c r="AX114" s="89">
        <f t="shared" si="118"/>
        <v>2693.9</v>
      </c>
      <c r="AY114" s="89">
        <f t="shared" si="118"/>
        <v>2693.9</v>
      </c>
      <c r="AZ114" s="89">
        <f t="shared" si="118"/>
        <v>2693.9</v>
      </c>
      <c r="BA114" s="89">
        <f t="shared" si="118"/>
        <v>2693.9</v>
      </c>
      <c r="BB114" s="89">
        <f t="shared" si="118"/>
        <v>2693.9</v>
      </c>
      <c r="BC114" s="89">
        <f t="shared" si="118"/>
        <v>2693.9</v>
      </c>
      <c r="BD114" s="89">
        <f t="shared" si="118"/>
        <v>2693.9</v>
      </c>
      <c r="BE114" s="89">
        <f t="shared" si="118"/>
        <v>2693.9</v>
      </c>
      <c r="BF114" s="89">
        <f t="shared" si="118"/>
        <v>2693.9</v>
      </c>
      <c r="BG114" s="89">
        <f t="shared" si="118"/>
        <v>2693.9</v>
      </c>
      <c r="BH114" s="89">
        <f t="shared" si="118"/>
        <v>2693.9</v>
      </c>
      <c r="BI114" s="89">
        <f t="shared" si="118"/>
        <v>32326.799999999999</v>
      </c>
      <c r="BJ114" s="99">
        <f t="shared" si="118"/>
        <v>32326.799999999999</v>
      </c>
      <c r="BK114" s="99">
        <f t="shared" si="118"/>
        <v>32326.799999999999</v>
      </c>
      <c r="BL114" s="99">
        <f t="shared" si="118"/>
        <v>32326.799999999999</v>
      </c>
      <c r="BM114" s="99">
        <f t="shared" si="118"/>
        <v>32326.799999999999</v>
      </c>
      <c r="BN114" s="99">
        <f t="shared" si="118"/>
        <v>32326.799999999999</v>
      </c>
      <c r="BO114" s="99">
        <f t="shared" si="118"/>
        <v>32326.799999999999</v>
      </c>
    </row>
    <row r="115" spans="1:67">
      <c r="A115" s="11"/>
      <c r="B115" s="11"/>
      <c r="C115" s="11"/>
      <c r="D115" s="33"/>
      <c r="E115" s="43"/>
      <c r="F115" s="4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3"/>
      <c r="BF115" s="3"/>
      <c r="BG115" s="3"/>
      <c r="BH115" s="3"/>
      <c r="BI115" s="3"/>
      <c r="BJ115" s="47"/>
      <c r="BK115" s="47"/>
      <c r="BL115" s="47"/>
      <c r="BM115" s="47"/>
      <c r="BN115" s="47"/>
      <c r="BO115" s="47"/>
    </row>
    <row r="116" spans="1:67">
      <c r="A116" s="11"/>
      <c r="B116" s="11"/>
      <c r="C116" s="11" t="s">
        <v>773</v>
      </c>
      <c r="D116" s="33"/>
      <c r="E116" s="10" t="s">
        <v>358</v>
      </c>
      <c r="F116" s="10"/>
      <c r="G116" s="90">
        <f>G62</f>
        <v>0</v>
      </c>
      <c r="H116" s="90">
        <f t="shared" ref="H116:BO116" si="119">H62</f>
        <v>0</v>
      </c>
      <c r="I116" s="90">
        <f t="shared" si="119"/>
        <v>0</v>
      </c>
      <c r="J116" s="90">
        <f t="shared" si="119"/>
        <v>0</v>
      </c>
      <c r="K116" s="90">
        <f t="shared" si="119"/>
        <v>0</v>
      </c>
      <c r="L116" s="90">
        <f t="shared" si="119"/>
        <v>0</v>
      </c>
      <c r="M116" s="90">
        <f t="shared" si="119"/>
        <v>0</v>
      </c>
      <c r="N116" s="90">
        <f t="shared" si="119"/>
        <v>0</v>
      </c>
      <c r="O116" s="90">
        <f t="shared" si="119"/>
        <v>0</v>
      </c>
      <c r="P116" s="90">
        <f t="shared" si="119"/>
        <v>0</v>
      </c>
      <c r="Q116" s="90">
        <f t="shared" si="119"/>
        <v>0</v>
      </c>
      <c r="R116" s="90">
        <f t="shared" si="119"/>
        <v>0</v>
      </c>
      <c r="S116" s="90">
        <f t="shared" si="119"/>
        <v>0</v>
      </c>
      <c r="T116" s="90">
        <f t="shared" si="119"/>
        <v>0</v>
      </c>
      <c r="U116" s="90">
        <f t="shared" si="119"/>
        <v>0</v>
      </c>
      <c r="V116" s="90">
        <f t="shared" si="119"/>
        <v>0</v>
      </c>
      <c r="W116" s="90">
        <f t="shared" si="119"/>
        <v>0</v>
      </c>
      <c r="X116" s="90">
        <f t="shared" si="119"/>
        <v>0</v>
      </c>
      <c r="Y116" s="63">
        <f t="shared" si="119"/>
        <v>0</v>
      </c>
      <c r="Z116" s="63">
        <f t="shared" si="119"/>
        <v>0</v>
      </c>
      <c r="AA116" s="63">
        <f t="shared" si="119"/>
        <v>0</v>
      </c>
      <c r="AB116" s="63">
        <f t="shared" si="119"/>
        <v>259.16000000000003</v>
      </c>
      <c r="AC116" s="63">
        <f t="shared" si="119"/>
        <v>343.38699999999994</v>
      </c>
      <c r="AD116" s="63">
        <f t="shared" si="119"/>
        <v>427.61400000000009</v>
      </c>
      <c r="AE116" s="63">
        <f t="shared" si="119"/>
        <v>511.84100000000018</v>
      </c>
      <c r="AF116" s="63">
        <f t="shared" si="119"/>
        <v>596.0680000000001</v>
      </c>
      <c r="AG116" s="63">
        <f t="shared" si="119"/>
        <v>680.29500000000007</v>
      </c>
      <c r="AH116" s="63">
        <f t="shared" si="119"/>
        <v>764.52199999999993</v>
      </c>
      <c r="AI116" s="63">
        <f t="shared" si="119"/>
        <v>848.74899999999991</v>
      </c>
      <c r="AJ116" s="90">
        <f t="shared" si="119"/>
        <v>932.97600000000011</v>
      </c>
      <c r="AK116" s="90">
        <f t="shared" si="119"/>
        <v>1017.2030000000002</v>
      </c>
      <c r="AL116" s="90">
        <f t="shared" si="119"/>
        <v>1101.43</v>
      </c>
      <c r="AM116" s="90">
        <f t="shared" si="119"/>
        <v>1185.6570000000002</v>
      </c>
      <c r="AN116" s="90">
        <f t="shared" si="119"/>
        <v>1269.884</v>
      </c>
      <c r="AO116" s="90">
        <f t="shared" si="119"/>
        <v>1269.884</v>
      </c>
      <c r="AP116" s="90">
        <f t="shared" si="119"/>
        <v>1269.884</v>
      </c>
      <c r="AQ116" s="90">
        <f t="shared" si="119"/>
        <v>1269.884</v>
      </c>
      <c r="AR116" s="90">
        <f t="shared" si="119"/>
        <v>1269.884</v>
      </c>
      <c r="AS116" s="90">
        <f t="shared" si="119"/>
        <v>1269.884</v>
      </c>
      <c r="AT116" s="90">
        <f t="shared" si="119"/>
        <v>1269.884</v>
      </c>
      <c r="AU116" s="90">
        <f t="shared" si="119"/>
        <v>1269.884</v>
      </c>
      <c r="AV116" s="90">
        <f t="shared" si="119"/>
        <v>1269.884</v>
      </c>
      <c r="AW116" s="90">
        <f t="shared" si="119"/>
        <v>1269.884</v>
      </c>
      <c r="AX116" s="90">
        <f t="shared" si="119"/>
        <v>1269.884</v>
      </c>
      <c r="AY116" s="90">
        <f t="shared" si="119"/>
        <v>1269.884</v>
      </c>
      <c r="AZ116" s="90">
        <f t="shared" si="119"/>
        <v>1269.884</v>
      </c>
      <c r="BA116" s="90">
        <f t="shared" si="119"/>
        <v>1269.884</v>
      </c>
      <c r="BB116" s="90">
        <f t="shared" si="119"/>
        <v>1269.884</v>
      </c>
      <c r="BC116" s="90">
        <f t="shared" si="119"/>
        <v>1269.884</v>
      </c>
      <c r="BD116" s="90">
        <f t="shared" si="119"/>
        <v>1269.884</v>
      </c>
      <c r="BE116" s="90">
        <f t="shared" si="119"/>
        <v>1269.884</v>
      </c>
      <c r="BF116" s="90">
        <f t="shared" si="119"/>
        <v>1269.884</v>
      </c>
      <c r="BG116" s="90">
        <f t="shared" si="119"/>
        <v>1269.884</v>
      </c>
      <c r="BH116" s="90">
        <f t="shared" si="119"/>
        <v>1269.884</v>
      </c>
      <c r="BI116" s="90">
        <f t="shared" si="119"/>
        <v>15238.608</v>
      </c>
      <c r="BJ116" s="96">
        <f t="shared" si="119"/>
        <v>15238.608</v>
      </c>
      <c r="BK116" s="96">
        <f t="shared" si="119"/>
        <v>15238.608</v>
      </c>
      <c r="BL116" s="96">
        <f t="shared" si="119"/>
        <v>15238.608</v>
      </c>
      <c r="BM116" s="96">
        <f t="shared" si="119"/>
        <v>15238.608</v>
      </c>
      <c r="BN116" s="96">
        <f t="shared" si="119"/>
        <v>15238.608</v>
      </c>
      <c r="BO116" s="96">
        <f t="shared" si="119"/>
        <v>15238.608</v>
      </c>
    </row>
    <row r="117" spans="1:67">
      <c r="A117" s="11"/>
      <c r="B117" s="11"/>
      <c r="C117" s="11" t="s">
        <v>774</v>
      </c>
      <c r="D117" s="33"/>
      <c r="E117" s="10" t="s">
        <v>358</v>
      </c>
      <c r="F117" s="10"/>
      <c r="G117" s="90">
        <f>G63</f>
        <v>0</v>
      </c>
      <c r="H117" s="90">
        <f t="shared" ref="H117:BO117" si="120">H63</f>
        <v>0</v>
      </c>
      <c r="I117" s="90">
        <f t="shared" si="120"/>
        <v>0</v>
      </c>
      <c r="J117" s="90">
        <f t="shared" si="120"/>
        <v>0</v>
      </c>
      <c r="K117" s="90">
        <f t="shared" si="120"/>
        <v>0</v>
      </c>
      <c r="L117" s="90">
        <f t="shared" si="120"/>
        <v>0</v>
      </c>
      <c r="M117" s="90">
        <f t="shared" si="120"/>
        <v>0</v>
      </c>
      <c r="N117" s="90">
        <f t="shared" si="120"/>
        <v>0</v>
      </c>
      <c r="O117" s="90">
        <f t="shared" si="120"/>
        <v>0</v>
      </c>
      <c r="P117" s="90">
        <f t="shared" si="120"/>
        <v>0</v>
      </c>
      <c r="Q117" s="90">
        <f t="shared" si="120"/>
        <v>0</v>
      </c>
      <c r="R117" s="90">
        <f t="shared" si="120"/>
        <v>0</v>
      </c>
      <c r="S117" s="90">
        <f t="shared" si="120"/>
        <v>0</v>
      </c>
      <c r="T117" s="90">
        <f t="shared" si="120"/>
        <v>0</v>
      </c>
      <c r="U117" s="90">
        <f t="shared" si="120"/>
        <v>0</v>
      </c>
      <c r="V117" s="90">
        <f t="shared" si="120"/>
        <v>0</v>
      </c>
      <c r="W117" s="90">
        <f t="shared" si="120"/>
        <v>0</v>
      </c>
      <c r="X117" s="90">
        <f t="shared" si="120"/>
        <v>0</v>
      </c>
      <c r="Y117" s="63">
        <f t="shared" si="120"/>
        <v>0</v>
      </c>
      <c r="Z117" s="63">
        <f t="shared" si="120"/>
        <v>0</v>
      </c>
      <c r="AA117" s="63">
        <f t="shared" si="120"/>
        <v>0</v>
      </c>
      <c r="AB117" s="63">
        <f t="shared" si="120"/>
        <v>204.6</v>
      </c>
      <c r="AC117" s="63">
        <f t="shared" si="120"/>
        <v>271.09499999999997</v>
      </c>
      <c r="AD117" s="63">
        <f t="shared" si="120"/>
        <v>337.59000000000003</v>
      </c>
      <c r="AE117" s="63">
        <f t="shared" si="120"/>
        <v>404.08500000000015</v>
      </c>
      <c r="AF117" s="63">
        <f t="shared" si="120"/>
        <v>470.58000000000004</v>
      </c>
      <c r="AG117" s="63">
        <f t="shared" si="120"/>
        <v>537.07500000000005</v>
      </c>
      <c r="AH117" s="63">
        <f t="shared" si="120"/>
        <v>603.56999999999994</v>
      </c>
      <c r="AI117" s="63">
        <f t="shared" si="120"/>
        <v>670.06499999999994</v>
      </c>
      <c r="AJ117" s="63">
        <f t="shared" si="120"/>
        <v>736.56000000000006</v>
      </c>
      <c r="AK117" s="63">
        <f t="shared" si="120"/>
        <v>803.05500000000006</v>
      </c>
      <c r="AL117" s="63">
        <f t="shared" si="120"/>
        <v>869.55</v>
      </c>
      <c r="AM117" s="90">
        <f t="shared" si="120"/>
        <v>936.04500000000007</v>
      </c>
      <c r="AN117" s="90">
        <f t="shared" si="120"/>
        <v>1002.5399999999998</v>
      </c>
      <c r="AO117" s="90">
        <f t="shared" si="120"/>
        <v>1002.5399999999998</v>
      </c>
      <c r="AP117" s="90">
        <f t="shared" si="120"/>
        <v>1002.5399999999998</v>
      </c>
      <c r="AQ117" s="90">
        <f t="shared" si="120"/>
        <v>1002.5399999999998</v>
      </c>
      <c r="AR117" s="90">
        <f t="shared" si="120"/>
        <v>1002.5399999999998</v>
      </c>
      <c r="AS117" s="90">
        <f t="shared" si="120"/>
        <v>1002.5399999999998</v>
      </c>
      <c r="AT117" s="90">
        <f t="shared" si="120"/>
        <v>1002.5399999999998</v>
      </c>
      <c r="AU117" s="90">
        <f t="shared" si="120"/>
        <v>1002.5399999999998</v>
      </c>
      <c r="AV117" s="90">
        <f t="shared" si="120"/>
        <v>1002.5399999999998</v>
      </c>
      <c r="AW117" s="90">
        <f t="shared" si="120"/>
        <v>1002.5399999999998</v>
      </c>
      <c r="AX117" s="90">
        <f t="shared" si="120"/>
        <v>1002.5399999999998</v>
      </c>
      <c r="AY117" s="90">
        <f t="shared" si="120"/>
        <v>1002.5399999999998</v>
      </c>
      <c r="AZ117" s="90">
        <f t="shared" si="120"/>
        <v>1002.5399999999998</v>
      </c>
      <c r="BA117" s="90">
        <f t="shared" si="120"/>
        <v>1002.5399999999998</v>
      </c>
      <c r="BB117" s="90">
        <f t="shared" si="120"/>
        <v>1002.5399999999998</v>
      </c>
      <c r="BC117" s="90">
        <f t="shared" si="120"/>
        <v>1002.5399999999998</v>
      </c>
      <c r="BD117" s="90">
        <f t="shared" si="120"/>
        <v>1002.5399999999998</v>
      </c>
      <c r="BE117" s="90">
        <f t="shared" si="120"/>
        <v>1002.5399999999998</v>
      </c>
      <c r="BF117" s="90">
        <f t="shared" si="120"/>
        <v>1002.5399999999998</v>
      </c>
      <c r="BG117" s="90">
        <f t="shared" si="120"/>
        <v>1002.5399999999998</v>
      </c>
      <c r="BH117" s="90">
        <f t="shared" si="120"/>
        <v>1002.5399999999998</v>
      </c>
      <c r="BI117" s="90">
        <f t="shared" si="120"/>
        <v>12030.48</v>
      </c>
      <c r="BJ117" s="96">
        <f t="shared" si="120"/>
        <v>12030.48</v>
      </c>
      <c r="BK117" s="96">
        <f t="shared" si="120"/>
        <v>12030.48</v>
      </c>
      <c r="BL117" s="96">
        <f t="shared" si="120"/>
        <v>12030.48</v>
      </c>
      <c r="BM117" s="96">
        <f t="shared" si="120"/>
        <v>12030.48</v>
      </c>
      <c r="BN117" s="96">
        <f t="shared" si="120"/>
        <v>12030.48</v>
      </c>
      <c r="BO117" s="96">
        <f t="shared" si="120"/>
        <v>12030.48</v>
      </c>
    </row>
    <row r="118" spans="1:67">
      <c r="A118" s="11"/>
      <c r="B118" s="11"/>
      <c r="C118" s="11" t="s">
        <v>775</v>
      </c>
      <c r="D118" s="33"/>
      <c r="E118" s="10" t="s">
        <v>358</v>
      </c>
      <c r="F118" s="10"/>
      <c r="G118" s="90">
        <f>G64</f>
        <v>0</v>
      </c>
      <c r="H118" s="90">
        <f t="shared" ref="H118:BO118" si="121">H64</f>
        <v>0</v>
      </c>
      <c r="I118" s="90">
        <f t="shared" si="121"/>
        <v>0</v>
      </c>
      <c r="J118" s="90">
        <f t="shared" si="121"/>
        <v>0</v>
      </c>
      <c r="K118" s="90">
        <f t="shared" si="121"/>
        <v>0</v>
      </c>
      <c r="L118" s="90">
        <f t="shared" si="121"/>
        <v>0</v>
      </c>
      <c r="M118" s="90">
        <f t="shared" si="121"/>
        <v>0</v>
      </c>
      <c r="N118" s="90">
        <f t="shared" si="121"/>
        <v>0</v>
      </c>
      <c r="O118" s="90">
        <f t="shared" si="121"/>
        <v>0</v>
      </c>
      <c r="P118" s="90">
        <f t="shared" si="121"/>
        <v>0</v>
      </c>
      <c r="Q118" s="90">
        <f t="shared" si="121"/>
        <v>0</v>
      </c>
      <c r="R118" s="90">
        <f t="shared" si="121"/>
        <v>0</v>
      </c>
      <c r="S118" s="90">
        <f t="shared" si="121"/>
        <v>0</v>
      </c>
      <c r="T118" s="90">
        <f t="shared" si="121"/>
        <v>0</v>
      </c>
      <c r="U118" s="90">
        <f t="shared" si="121"/>
        <v>0</v>
      </c>
      <c r="V118" s="90">
        <f t="shared" si="121"/>
        <v>0</v>
      </c>
      <c r="W118" s="90">
        <f t="shared" si="121"/>
        <v>0</v>
      </c>
      <c r="X118" s="90">
        <f t="shared" si="121"/>
        <v>0</v>
      </c>
      <c r="Y118" s="63">
        <f t="shared" si="121"/>
        <v>0</v>
      </c>
      <c r="Z118" s="63">
        <f t="shared" si="121"/>
        <v>0</v>
      </c>
      <c r="AA118" s="63">
        <f t="shared" si="121"/>
        <v>0</v>
      </c>
      <c r="AB118" s="63">
        <f t="shared" si="121"/>
        <v>75.02</v>
      </c>
      <c r="AC118" s="63">
        <f t="shared" si="121"/>
        <v>99.401499999999984</v>
      </c>
      <c r="AD118" s="63">
        <f t="shared" si="121"/>
        <v>123.78300000000002</v>
      </c>
      <c r="AE118" s="63">
        <f t="shared" si="121"/>
        <v>148.16450000000006</v>
      </c>
      <c r="AF118" s="63">
        <f t="shared" si="121"/>
        <v>172.54600000000002</v>
      </c>
      <c r="AG118" s="63">
        <f t="shared" si="121"/>
        <v>196.92750000000004</v>
      </c>
      <c r="AH118" s="63">
        <f t="shared" si="121"/>
        <v>221.309</v>
      </c>
      <c r="AI118" s="63">
        <f t="shared" si="121"/>
        <v>245.69049999999996</v>
      </c>
      <c r="AJ118" s="63">
        <f t="shared" si="121"/>
        <v>270.07200000000006</v>
      </c>
      <c r="AK118" s="63">
        <f t="shared" si="121"/>
        <v>294.45350000000002</v>
      </c>
      <c r="AL118" s="63">
        <f t="shared" si="121"/>
        <v>318.83499999999998</v>
      </c>
      <c r="AM118" s="63">
        <f t="shared" si="121"/>
        <v>343.21650000000005</v>
      </c>
      <c r="AN118" s="63">
        <f t="shared" si="121"/>
        <v>367.59799999999996</v>
      </c>
      <c r="AO118" s="63">
        <f t="shared" si="121"/>
        <v>367.59799999999996</v>
      </c>
      <c r="AP118" s="63">
        <f t="shared" si="121"/>
        <v>367.59799999999996</v>
      </c>
      <c r="AQ118" s="63">
        <f t="shared" si="121"/>
        <v>367.59799999999996</v>
      </c>
      <c r="AR118" s="63">
        <f t="shared" si="121"/>
        <v>367.59799999999996</v>
      </c>
      <c r="AS118" s="63">
        <f t="shared" si="121"/>
        <v>367.59799999999996</v>
      </c>
      <c r="AT118" s="63">
        <f t="shared" si="121"/>
        <v>367.59799999999996</v>
      </c>
      <c r="AU118" s="63">
        <f t="shared" si="121"/>
        <v>367.59799999999996</v>
      </c>
      <c r="AV118" s="63">
        <f t="shared" si="121"/>
        <v>367.59799999999996</v>
      </c>
      <c r="AW118" s="63">
        <f t="shared" si="121"/>
        <v>367.59799999999996</v>
      </c>
      <c r="AX118" s="63">
        <f t="shared" si="121"/>
        <v>367.59799999999996</v>
      </c>
      <c r="AY118" s="63">
        <f t="shared" si="121"/>
        <v>367.59799999999996</v>
      </c>
      <c r="AZ118" s="63">
        <f t="shared" si="121"/>
        <v>367.59799999999996</v>
      </c>
      <c r="BA118" s="63">
        <f t="shared" si="121"/>
        <v>367.59799999999996</v>
      </c>
      <c r="BB118" s="63">
        <f t="shared" si="121"/>
        <v>367.59799999999996</v>
      </c>
      <c r="BC118" s="63">
        <f t="shared" si="121"/>
        <v>367.59799999999996</v>
      </c>
      <c r="BD118" s="63">
        <f t="shared" si="121"/>
        <v>367.59799999999996</v>
      </c>
      <c r="BE118" s="63">
        <f t="shared" si="121"/>
        <v>367.59799999999996</v>
      </c>
      <c r="BF118" s="63">
        <f t="shared" si="121"/>
        <v>367.59799999999996</v>
      </c>
      <c r="BG118" s="63">
        <f t="shared" si="121"/>
        <v>367.59799999999996</v>
      </c>
      <c r="BH118" s="63">
        <f t="shared" si="121"/>
        <v>367.59799999999996</v>
      </c>
      <c r="BI118" s="90">
        <f t="shared" si="121"/>
        <v>4411.1759999999995</v>
      </c>
      <c r="BJ118" s="96">
        <f t="shared" si="121"/>
        <v>4411.1759999999995</v>
      </c>
      <c r="BK118" s="96">
        <f t="shared" si="121"/>
        <v>4411.1759999999995</v>
      </c>
      <c r="BL118" s="96">
        <f t="shared" si="121"/>
        <v>4411.1759999999995</v>
      </c>
      <c r="BM118" s="96">
        <f t="shared" si="121"/>
        <v>4411.1759999999995</v>
      </c>
      <c r="BN118" s="96">
        <f t="shared" si="121"/>
        <v>4411.1759999999995</v>
      </c>
      <c r="BO118" s="96">
        <f t="shared" si="121"/>
        <v>4411.1759999999995</v>
      </c>
    </row>
    <row r="119" spans="1:67">
      <c r="A119" s="11"/>
      <c r="B119" s="11"/>
      <c r="C119" s="22" t="s">
        <v>776</v>
      </c>
      <c r="D119" s="33"/>
      <c r="E119" s="10" t="s">
        <v>358</v>
      </c>
      <c r="F119" s="10"/>
      <c r="G119" s="89">
        <f>SUM(G116:G118)</f>
        <v>0</v>
      </c>
      <c r="H119" s="89">
        <f t="shared" ref="H119:BO119" si="122">SUM(H116:H118)</f>
        <v>0</v>
      </c>
      <c r="I119" s="89">
        <f t="shared" si="122"/>
        <v>0</v>
      </c>
      <c r="J119" s="89">
        <f t="shared" si="122"/>
        <v>0</v>
      </c>
      <c r="K119" s="89">
        <f t="shared" si="122"/>
        <v>0</v>
      </c>
      <c r="L119" s="89">
        <f t="shared" si="122"/>
        <v>0</v>
      </c>
      <c r="M119" s="89">
        <f t="shared" si="122"/>
        <v>0</v>
      </c>
      <c r="N119" s="89">
        <f t="shared" si="122"/>
        <v>0</v>
      </c>
      <c r="O119" s="89">
        <f t="shared" si="122"/>
        <v>0</v>
      </c>
      <c r="P119" s="89">
        <f t="shared" si="122"/>
        <v>0</v>
      </c>
      <c r="Q119" s="89">
        <f t="shared" si="122"/>
        <v>0</v>
      </c>
      <c r="R119" s="89">
        <f t="shared" si="122"/>
        <v>0</v>
      </c>
      <c r="S119" s="89">
        <f t="shared" si="122"/>
        <v>0</v>
      </c>
      <c r="T119" s="89">
        <f t="shared" si="122"/>
        <v>0</v>
      </c>
      <c r="U119" s="89">
        <f t="shared" si="122"/>
        <v>0</v>
      </c>
      <c r="V119" s="89">
        <f t="shared" si="122"/>
        <v>0</v>
      </c>
      <c r="W119" s="89">
        <f t="shared" si="122"/>
        <v>0</v>
      </c>
      <c r="X119" s="89">
        <f t="shared" si="122"/>
        <v>0</v>
      </c>
      <c r="Y119" s="62">
        <f t="shared" si="122"/>
        <v>0</v>
      </c>
      <c r="Z119" s="62">
        <f t="shared" si="122"/>
        <v>0</v>
      </c>
      <c r="AA119" s="62">
        <f t="shared" si="122"/>
        <v>0</v>
      </c>
      <c r="AB119" s="62">
        <f t="shared" si="122"/>
        <v>538.78</v>
      </c>
      <c r="AC119" s="62">
        <f t="shared" si="122"/>
        <v>713.88349999999991</v>
      </c>
      <c r="AD119" s="89">
        <f t="shared" si="122"/>
        <v>888.98700000000019</v>
      </c>
      <c r="AE119" s="89">
        <f t="shared" si="122"/>
        <v>1064.0905000000005</v>
      </c>
      <c r="AF119" s="89">
        <f t="shared" si="122"/>
        <v>1239.1940000000002</v>
      </c>
      <c r="AG119" s="89">
        <f t="shared" si="122"/>
        <v>1414.2975000000001</v>
      </c>
      <c r="AH119" s="89">
        <f t="shared" si="122"/>
        <v>1589.4009999999998</v>
      </c>
      <c r="AI119" s="89">
        <f t="shared" si="122"/>
        <v>1764.5044999999998</v>
      </c>
      <c r="AJ119" s="89">
        <f t="shared" si="122"/>
        <v>1939.6080000000002</v>
      </c>
      <c r="AK119" s="89">
        <f t="shared" si="122"/>
        <v>2114.7115000000003</v>
      </c>
      <c r="AL119" s="89">
        <f t="shared" si="122"/>
        <v>2289.8150000000001</v>
      </c>
      <c r="AM119" s="89">
        <f t="shared" si="122"/>
        <v>2464.9185000000002</v>
      </c>
      <c r="AN119" s="89">
        <f t="shared" si="122"/>
        <v>2640.0219999999999</v>
      </c>
      <c r="AO119" s="89">
        <f t="shared" si="122"/>
        <v>2640.0219999999999</v>
      </c>
      <c r="AP119" s="89">
        <f t="shared" si="122"/>
        <v>2640.0219999999999</v>
      </c>
      <c r="AQ119" s="89">
        <f t="shared" si="122"/>
        <v>2640.0219999999999</v>
      </c>
      <c r="AR119" s="89">
        <f t="shared" si="122"/>
        <v>2640.0219999999999</v>
      </c>
      <c r="AS119" s="89">
        <f t="shared" si="122"/>
        <v>2640.0219999999999</v>
      </c>
      <c r="AT119" s="89">
        <f t="shared" si="122"/>
        <v>2640.0219999999999</v>
      </c>
      <c r="AU119" s="89">
        <f t="shared" si="122"/>
        <v>2640.0219999999999</v>
      </c>
      <c r="AV119" s="89">
        <f t="shared" si="122"/>
        <v>2640.0219999999999</v>
      </c>
      <c r="AW119" s="89">
        <f t="shared" si="122"/>
        <v>2640.0219999999999</v>
      </c>
      <c r="AX119" s="89">
        <f t="shared" si="122"/>
        <v>2640.0219999999999</v>
      </c>
      <c r="AY119" s="89">
        <f t="shared" si="122"/>
        <v>2640.0219999999999</v>
      </c>
      <c r="AZ119" s="89">
        <f t="shared" si="122"/>
        <v>2640.0219999999999</v>
      </c>
      <c r="BA119" s="89">
        <f t="shared" si="122"/>
        <v>2640.0219999999999</v>
      </c>
      <c r="BB119" s="89">
        <f t="shared" si="122"/>
        <v>2640.0219999999999</v>
      </c>
      <c r="BC119" s="89">
        <f t="shared" si="122"/>
        <v>2640.0219999999999</v>
      </c>
      <c r="BD119" s="89">
        <f t="shared" si="122"/>
        <v>2640.0219999999999</v>
      </c>
      <c r="BE119" s="89">
        <f t="shared" si="122"/>
        <v>2640.0219999999999</v>
      </c>
      <c r="BF119" s="89">
        <f t="shared" si="122"/>
        <v>2640.0219999999999</v>
      </c>
      <c r="BG119" s="89">
        <f t="shared" si="122"/>
        <v>2640.0219999999999</v>
      </c>
      <c r="BH119" s="89">
        <f t="shared" si="122"/>
        <v>2640.0219999999999</v>
      </c>
      <c r="BI119" s="89">
        <f t="shared" si="122"/>
        <v>31680.263999999999</v>
      </c>
      <c r="BJ119" s="99">
        <f t="shared" si="122"/>
        <v>31680.263999999999</v>
      </c>
      <c r="BK119" s="99">
        <f t="shared" si="122"/>
        <v>31680.263999999999</v>
      </c>
      <c r="BL119" s="99">
        <f t="shared" si="122"/>
        <v>31680.263999999999</v>
      </c>
      <c r="BM119" s="99">
        <f t="shared" si="122"/>
        <v>31680.263999999999</v>
      </c>
      <c r="BN119" s="99">
        <f t="shared" si="122"/>
        <v>31680.263999999999</v>
      </c>
      <c r="BO119" s="99">
        <f t="shared" si="122"/>
        <v>31680.263999999999</v>
      </c>
    </row>
    <row r="120" spans="1:67">
      <c r="A120" s="11"/>
      <c r="B120" s="11"/>
      <c r="C120" s="11"/>
      <c r="D120" s="33"/>
      <c r="E120" s="43"/>
      <c r="F120" s="43"/>
      <c r="G120" s="33"/>
      <c r="H120" s="33"/>
      <c r="I120" s="33"/>
      <c r="J120" s="33"/>
      <c r="K120" s="33"/>
      <c r="L120" s="33"/>
      <c r="M120" s="33"/>
      <c r="N120" s="33"/>
      <c r="O120" s="33"/>
      <c r="P120" s="33"/>
      <c r="Q120" s="33"/>
      <c r="R120" s="33"/>
      <c r="S120" s="33"/>
      <c r="T120" s="33"/>
      <c r="U120" s="33"/>
      <c r="V120" s="33"/>
      <c r="W120" s="33"/>
      <c r="X120" s="33"/>
      <c r="Y120" s="33"/>
      <c r="Z120" s="33"/>
      <c r="AA120" s="33"/>
      <c r="AB120" s="33"/>
      <c r="AC120" s="33"/>
      <c r="AD120" s="33"/>
      <c r="AE120" s="33"/>
      <c r="AF120" s="33"/>
      <c r="AG120" s="33"/>
      <c r="AH120" s="33"/>
      <c r="AI120" s="33"/>
      <c r="AJ120" s="33"/>
      <c r="AK120" s="33"/>
      <c r="AL120" s="33"/>
      <c r="AM120" s="33"/>
      <c r="AN120" s="33"/>
      <c r="AO120" s="33"/>
      <c r="AP120" s="33"/>
      <c r="AQ120" s="33"/>
      <c r="AR120" s="33"/>
      <c r="AS120" s="33"/>
      <c r="AT120" s="33"/>
      <c r="AU120" s="33"/>
      <c r="AV120" s="33"/>
      <c r="AW120" s="33"/>
      <c r="AX120" s="33"/>
      <c r="AY120" s="33"/>
      <c r="AZ120" s="33"/>
      <c r="BA120" s="33"/>
      <c r="BB120" s="33"/>
      <c r="BC120" s="33"/>
      <c r="BD120" s="33"/>
      <c r="BE120" s="33"/>
      <c r="BF120" s="33"/>
      <c r="BG120" s="33"/>
      <c r="BH120" s="33"/>
      <c r="BI120" s="33"/>
      <c r="BJ120" s="44"/>
      <c r="BK120" s="44"/>
      <c r="BL120" s="44"/>
      <c r="BM120" s="44"/>
      <c r="BN120" s="44"/>
      <c r="BO120" s="44"/>
    </row>
    <row r="121" spans="1:67">
      <c r="A121" s="11"/>
      <c r="B121" s="11"/>
      <c r="C121" s="11" t="s">
        <v>777</v>
      </c>
      <c r="D121" s="33"/>
      <c r="E121" s="10" t="s">
        <v>7</v>
      </c>
      <c r="F121" s="10"/>
      <c r="G121" s="6">
        <f>IF(G111=0,0,G116/G111)</f>
        <v>0</v>
      </c>
      <c r="H121" s="6">
        <f t="shared" ref="H121:BO121" si="123">IF(H111=0,0,H116/H111)</f>
        <v>0</v>
      </c>
      <c r="I121" s="6">
        <f t="shared" si="123"/>
        <v>0</v>
      </c>
      <c r="J121" s="6">
        <f t="shared" si="123"/>
        <v>0</v>
      </c>
      <c r="K121" s="6">
        <f t="shared" si="123"/>
        <v>0</v>
      </c>
      <c r="L121" s="6">
        <f t="shared" si="123"/>
        <v>0</v>
      </c>
      <c r="M121" s="6">
        <f t="shared" si="123"/>
        <v>0</v>
      </c>
      <c r="N121" s="6">
        <f t="shared" si="123"/>
        <v>0</v>
      </c>
      <c r="O121" s="6">
        <f t="shared" si="123"/>
        <v>0</v>
      </c>
      <c r="P121" s="6">
        <f t="shared" si="123"/>
        <v>0</v>
      </c>
      <c r="Q121" s="6">
        <f t="shared" si="123"/>
        <v>0</v>
      </c>
      <c r="R121" s="6">
        <f t="shared" si="123"/>
        <v>0</v>
      </c>
      <c r="S121" s="6">
        <f t="shared" si="123"/>
        <v>0</v>
      </c>
      <c r="T121" s="6">
        <f t="shared" si="123"/>
        <v>0</v>
      </c>
      <c r="U121" s="6">
        <f t="shared" si="123"/>
        <v>0</v>
      </c>
      <c r="V121" s="6">
        <f t="shared" si="123"/>
        <v>0</v>
      </c>
      <c r="W121" s="6">
        <f t="shared" si="123"/>
        <v>0</v>
      </c>
      <c r="X121" s="6">
        <f t="shared" si="123"/>
        <v>0</v>
      </c>
      <c r="Y121" s="6">
        <f t="shared" si="123"/>
        <v>0</v>
      </c>
      <c r="Z121" s="6">
        <f t="shared" si="123"/>
        <v>0</v>
      </c>
      <c r="AA121" s="6">
        <f t="shared" si="123"/>
        <v>0</v>
      </c>
      <c r="AB121" s="6">
        <f t="shared" si="123"/>
        <v>0.20000000000000004</v>
      </c>
      <c r="AC121" s="6">
        <f t="shared" si="123"/>
        <v>0.26499999999999996</v>
      </c>
      <c r="AD121" s="6">
        <f t="shared" si="123"/>
        <v>0.33000000000000007</v>
      </c>
      <c r="AE121" s="6">
        <f t="shared" si="123"/>
        <v>0.39500000000000013</v>
      </c>
      <c r="AF121" s="6">
        <f t="shared" si="123"/>
        <v>0.46000000000000008</v>
      </c>
      <c r="AG121" s="6">
        <f t="shared" si="123"/>
        <v>0.52500000000000002</v>
      </c>
      <c r="AH121" s="6">
        <f t="shared" si="123"/>
        <v>0.59</v>
      </c>
      <c r="AI121" s="6">
        <f t="shared" si="123"/>
        <v>0.65499999999999992</v>
      </c>
      <c r="AJ121" s="6">
        <f t="shared" si="123"/>
        <v>0.72000000000000008</v>
      </c>
      <c r="AK121" s="6">
        <f t="shared" si="123"/>
        <v>0.78500000000000014</v>
      </c>
      <c r="AL121" s="6">
        <f t="shared" si="123"/>
        <v>0.85000000000000009</v>
      </c>
      <c r="AM121" s="6">
        <f t="shared" si="123"/>
        <v>0.91500000000000015</v>
      </c>
      <c r="AN121" s="6">
        <f t="shared" si="123"/>
        <v>0.98000000000000009</v>
      </c>
      <c r="AO121" s="6">
        <f t="shared" si="123"/>
        <v>0.98000000000000009</v>
      </c>
      <c r="AP121" s="6">
        <f t="shared" si="123"/>
        <v>0.98000000000000009</v>
      </c>
      <c r="AQ121" s="6">
        <f t="shared" si="123"/>
        <v>0.98000000000000009</v>
      </c>
      <c r="AR121" s="6">
        <f t="shared" si="123"/>
        <v>0.98000000000000009</v>
      </c>
      <c r="AS121" s="6">
        <f t="shared" si="123"/>
        <v>0.98000000000000009</v>
      </c>
      <c r="AT121" s="6">
        <f t="shared" si="123"/>
        <v>0.98000000000000009</v>
      </c>
      <c r="AU121" s="6">
        <f t="shared" si="123"/>
        <v>0.98000000000000009</v>
      </c>
      <c r="AV121" s="6">
        <f t="shared" si="123"/>
        <v>0.98000000000000009</v>
      </c>
      <c r="AW121" s="6">
        <f t="shared" si="123"/>
        <v>0.98000000000000009</v>
      </c>
      <c r="AX121" s="6">
        <f t="shared" si="123"/>
        <v>0.98000000000000009</v>
      </c>
      <c r="AY121" s="6">
        <f t="shared" si="123"/>
        <v>0.98000000000000009</v>
      </c>
      <c r="AZ121" s="6">
        <f t="shared" si="123"/>
        <v>0.98000000000000009</v>
      </c>
      <c r="BA121" s="6">
        <f t="shared" si="123"/>
        <v>0.98000000000000009</v>
      </c>
      <c r="BB121" s="6">
        <f t="shared" si="123"/>
        <v>0.98000000000000009</v>
      </c>
      <c r="BC121" s="6">
        <f t="shared" si="123"/>
        <v>0.98000000000000009</v>
      </c>
      <c r="BD121" s="6">
        <f t="shared" si="123"/>
        <v>0.98000000000000009</v>
      </c>
      <c r="BE121" s="6">
        <f t="shared" si="123"/>
        <v>0.98000000000000009</v>
      </c>
      <c r="BF121" s="6">
        <f t="shared" si="123"/>
        <v>0.98000000000000009</v>
      </c>
      <c r="BG121" s="6">
        <f t="shared" si="123"/>
        <v>0.98000000000000009</v>
      </c>
      <c r="BH121" s="6">
        <f t="shared" si="123"/>
        <v>0.98000000000000009</v>
      </c>
      <c r="BI121" s="6">
        <f t="shared" si="123"/>
        <v>0.98</v>
      </c>
      <c r="BJ121" s="73">
        <f t="shared" si="123"/>
        <v>0.98</v>
      </c>
      <c r="BK121" s="73">
        <f t="shared" si="123"/>
        <v>0.98</v>
      </c>
      <c r="BL121" s="73">
        <f t="shared" si="123"/>
        <v>0.98</v>
      </c>
      <c r="BM121" s="73">
        <f t="shared" si="123"/>
        <v>0.98</v>
      </c>
      <c r="BN121" s="73">
        <f t="shared" si="123"/>
        <v>0.98</v>
      </c>
      <c r="BO121" s="73">
        <f t="shared" si="123"/>
        <v>0.98</v>
      </c>
    </row>
    <row r="122" spans="1:67">
      <c r="A122" s="11"/>
      <c r="B122" s="11"/>
      <c r="C122" s="11" t="s">
        <v>778</v>
      </c>
      <c r="D122" s="33"/>
      <c r="E122" s="10" t="s">
        <v>7</v>
      </c>
      <c r="F122" s="10"/>
      <c r="G122" s="6">
        <f>IF(G112=0,0,G117/G112)</f>
        <v>0</v>
      </c>
      <c r="H122" s="6">
        <f t="shared" ref="H122:BO122" si="124">IF(H112=0,0,H117/H112)</f>
        <v>0</v>
      </c>
      <c r="I122" s="6">
        <f t="shared" si="124"/>
        <v>0</v>
      </c>
      <c r="J122" s="6">
        <f t="shared" si="124"/>
        <v>0</v>
      </c>
      <c r="K122" s="6">
        <f t="shared" si="124"/>
        <v>0</v>
      </c>
      <c r="L122" s="6">
        <f t="shared" si="124"/>
        <v>0</v>
      </c>
      <c r="M122" s="6">
        <f t="shared" si="124"/>
        <v>0</v>
      </c>
      <c r="N122" s="6">
        <f t="shared" si="124"/>
        <v>0</v>
      </c>
      <c r="O122" s="6">
        <f t="shared" si="124"/>
        <v>0</v>
      </c>
      <c r="P122" s="6">
        <f t="shared" si="124"/>
        <v>0</v>
      </c>
      <c r="Q122" s="6">
        <f t="shared" si="124"/>
        <v>0</v>
      </c>
      <c r="R122" s="6">
        <f t="shared" si="124"/>
        <v>0</v>
      </c>
      <c r="S122" s="6">
        <f t="shared" si="124"/>
        <v>0</v>
      </c>
      <c r="T122" s="6">
        <f t="shared" si="124"/>
        <v>0</v>
      </c>
      <c r="U122" s="6">
        <f t="shared" si="124"/>
        <v>0</v>
      </c>
      <c r="V122" s="6">
        <f t="shared" si="124"/>
        <v>0</v>
      </c>
      <c r="W122" s="6">
        <f t="shared" si="124"/>
        <v>0</v>
      </c>
      <c r="X122" s="6">
        <f t="shared" si="124"/>
        <v>0</v>
      </c>
      <c r="Y122" s="6">
        <f t="shared" si="124"/>
        <v>0</v>
      </c>
      <c r="Z122" s="6">
        <f t="shared" si="124"/>
        <v>0</v>
      </c>
      <c r="AA122" s="6">
        <f t="shared" si="124"/>
        <v>0</v>
      </c>
      <c r="AB122" s="6">
        <f t="shared" si="124"/>
        <v>0.19999999999999998</v>
      </c>
      <c r="AC122" s="6">
        <f t="shared" si="124"/>
        <v>0.26499999999999996</v>
      </c>
      <c r="AD122" s="6">
        <f t="shared" si="124"/>
        <v>0.33</v>
      </c>
      <c r="AE122" s="6">
        <f t="shared" si="124"/>
        <v>0.39500000000000013</v>
      </c>
      <c r="AF122" s="6">
        <f t="shared" si="124"/>
        <v>0.46</v>
      </c>
      <c r="AG122" s="6">
        <f t="shared" si="124"/>
        <v>0.52500000000000002</v>
      </c>
      <c r="AH122" s="6">
        <f t="shared" si="124"/>
        <v>0.59</v>
      </c>
      <c r="AI122" s="6">
        <f t="shared" si="124"/>
        <v>0.65499999999999992</v>
      </c>
      <c r="AJ122" s="6">
        <f t="shared" si="124"/>
        <v>0.72000000000000008</v>
      </c>
      <c r="AK122" s="6">
        <f t="shared" si="124"/>
        <v>0.78500000000000003</v>
      </c>
      <c r="AL122" s="6">
        <f t="shared" si="124"/>
        <v>0.85</v>
      </c>
      <c r="AM122" s="6">
        <f t="shared" si="124"/>
        <v>0.91500000000000004</v>
      </c>
      <c r="AN122" s="6">
        <f t="shared" si="124"/>
        <v>0.97999999999999987</v>
      </c>
      <c r="AO122" s="6">
        <f t="shared" si="124"/>
        <v>0.97999999999999987</v>
      </c>
      <c r="AP122" s="6">
        <f t="shared" si="124"/>
        <v>0.97999999999999987</v>
      </c>
      <c r="AQ122" s="6">
        <f t="shared" si="124"/>
        <v>0.97999999999999987</v>
      </c>
      <c r="AR122" s="6">
        <f t="shared" si="124"/>
        <v>0.97999999999999987</v>
      </c>
      <c r="AS122" s="6">
        <f t="shared" si="124"/>
        <v>0.97999999999999987</v>
      </c>
      <c r="AT122" s="6">
        <f t="shared" si="124"/>
        <v>0.97999999999999987</v>
      </c>
      <c r="AU122" s="6">
        <f t="shared" si="124"/>
        <v>0.97999999999999987</v>
      </c>
      <c r="AV122" s="6">
        <f t="shared" si="124"/>
        <v>0.97999999999999987</v>
      </c>
      <c r="AW122" s="6">
        <f t="shared" si="124"/>
        <v>0.97999999999999987</v>
      </c>
      <c r="AX122" s="6">
        <f t="shared" si="124"/>
        <v>0.97999999999999987</v>
      </c>
      <c r="AY122" s="6">
        <f t="shared" si="124"/>
        <v>0.97999999999999987</v>
      </c>
      <c r="AZ122" s="6">
        <f t="shared" si="124"/>
        <v>0.97999999999999987</v>
      </c>
      <c r="BA122" s="6">
        <f t="shared" si="124"/>
        <v>0.97999999999999987</v>
      </c>
      <c r="BB122" s="6">
        <f t="shared" si="124"/>
        <v>0.97999999999999987</v>
      </c>
      <c r="BC122" s="6">
        <f t="shared" si="124"/>
        <v>0.97999999999999987</v>
      </c>
      <c r="BD122" s="6">
        <f t="shared" si="124"/>
        <v>0.97999999999999987</v>
      </c>
      <c r="BE122" s="6">
        <f t="shared" si="124"/>
        <v>0.97999999999999987</v>
      </c>
      <c r="BF122" s="6">
        <f t="shared" si="124"/>
        <v>0.97999999999999987</v>
      </c>
      <c r="BG122" s="6">
        <f t="shared" si="124"/>
        <v>0.97999999999999987</v>
      </c>
      <c r="BH122" s="6">
        <f t="shared" si="124"/>
        <v>0.97999999999999987</v>
      </c>
      <c r="BI122" s="6">
        <f t="shared" si="124"/>
        <v>0.98</v>
      </c>
      <c r="BJ122" s="73">
        <f t="shared" si="124"/>
        <v>0.98</v>
      </c>
      <c r="BK122" s="73">
        <f t="shared" si="124"/>
        <v>0.98</v>
      </c>
      <c r="BL122" s="73">
        <f t="shared" si="124"/>
        <v>0.98</v>
      </c>
      <c r="BM122" s="73">
        <f t="shared" si="124"/>
        <v>0.98</v>
      </c>
      <c r="BN122" s="73">
        <f t="shared" si="124"/>
        <v>0.98</v>
      </c>
      <c r="BO122" s="73">
        <f t="shared" si="124"/>
        <v>0.98</v>
      </c>
    </row>
    <row r="123" spans="1:67">
      <c r="A123" s="11"/>
      <c r="B123" s="11"/>
      <c r="C123" s="11" t="s">
        <v>779</v>
      </c>
      <c r="D123" s="33"/>
      <c r="E123" s="10" t="s">
        <v>7</v>
      </c>
      <c r="F123" s="10"/>
      <c r="G123" s="6">
        <f>IF(G113=0,0,G118/G113)</f>
        <v>0</v>
      </c>
      <c r="H123" s="6">
        <f t="shared" ref="H123:BO123" si="125">IF(H113=0,0,H118/H113)</f>
        <v>0</v>
      </c>
      <c r="I123" s="6">
        <f t="shared" si="125"/>
        <v>0</v>
      </c>
      <c r="J123" s="6">
        <f t="shared" si="125"/>
        <v>0</v>
      </c>
      <c r="K123" s="6">
        <f t="shared" si="125"/>
        <v>0</v>
      </c>
      <c r="L123" s="6">
        <f t="shared" si="125"/>
        <v>0</v>
      </c>
      <c r="M123" s="6">
        <f t="shared" si="125"/>
        <v>0</v>
      </c>
      <c r="N123" s="6">
        <f t="shared" si="125"/>
        <v>0</v>
      </c>
      <c r="O123" s="6">
        <f t="shared" si="125"/>
        <v>0</v>
      </c>
      <c r="P123" s="6">
        <f t="shared" si="125"/>
        <v>0</v>
      </c>
      <c r="Q123" s="6">
        <f t="shared" si="125"/>
        <v>0</v>
      </c>
      <c r="R123" s="6">
        <f t="shared" si="125"/>
        <v>0</v>
      </c>
      <c r="S123" s="6">
        <f t="shared" si="125"/>
        <v>0</v>
      </c>
      <c r="T123" s="6">
        <f t="shared" si="125"/>
        <v>0</v>
      </c>
      <c r="U123" s="6">
        <f t="shared" si="125"/>
        <v>0</v>
      </c>
      <c r="V123" s="6">
        <f t="shared" si="125"/>
        <v>0</v>
      </c>
      <c r="W123" s="6">
        <f t="shared" si="125"/>
        <v>0</v>
      </c>
      <c r="X123" s="6">
        <f t="shared" si="125"/>
        <v>0</v>
      </c>
      <c r="Y123" s="6">
        <f t="shared" si="125"/>
        <v>0</v>
      </c>
      <c r="Z123" s="6">
        <f t="shared" si="125"/>
        <v>0</v>
      </c>
      <c r="AA123" s="6">
        <f t="shared" si="125"/>
        <v>0</v>
      </c>
      <c r="AB123" s="6">
        <f t="shared" si="125"/>
        <v>0.19999999999999998</v>
      </c>
      <c r="AC123" s="6">
        <f t="shared" si="125"/>
        <v>0.26499999999999996</v>
      </c>
      <c r="AD123" s="6">
        <f t="shared" si="125"/>
        <v>0.33</v>
      </c>
      <c r="AE123" s="6">
        <f t="shared" si="125"/>
        <v>0.39500000000000013</v>
      </c>
      <c r="AF123" s="6">
        <f t="shared" si="125"/>
        <v>0.46</v>
      </c>
      <c r="AG123" s="6">
        <f t="shared" si="125"/>
        <v>0.52500000000000002</v>
      </c>
      <c r="AH123" s="6">
        <f t="shared" si="125"/>
        <v>0.59</v>
      </c>
      <c r="AI123" s="6">
        <f t="shared" si="125"/>
        <v>0.6549999999999998</v>
      </c>
      <c r="AJ123" s="6">
        <f t="shared" si="125"/>
        <v>0.72000000000000008</v>
      </c>
      <c r="AK123" s="6">
        <f t="shared" si="125"/>
        <v>0.78500000000000003</v>
      </c>
      <c r="AL123" s="6">
        <f t="shared" si="125"/>
        <v>0.84999999999999987</v>
      </c>
      <c r="AM123" s="6">
        <f t="shared" si="125"/>
        <v>0.91500000000000004</v>
      </c>
      <c r="AN123" s="6">
        <f t="shared" si="125"/>
        <v>0.97999999999999987</v>
      </c>
      <c r="AO123" s="6">
        <f t="shared" si="125"/>
        <v>0.97999999999999987</v>
      </c>
      <c r="AP123" s="6">
        <f t="shared" si="125"/>
        <v>0.97999999999999987</v>
      </c>
      <c r="AQ123" s="6">
        <f t="shared" si="125"/>
        <v>0.97999999999999987</v>
      </c>
      <c r="AR123" s="6">
        <f t="shared" si="125"/>
        <v>0.97999999999999987</v>
      </c>
      <c r="AS123" s="6">
        <f t="shared" si="125"/>
        <v>0.97999999999999987</v>
      </c>
      <c r="AT123" s="6">
        <f t="shared" si="125"/>
        <v>0.97999999999999987</v>
      </c>
      <c r="AU123" s="6">
        <f t="shared" si="125"/>
        <v>0.97999999999999987</v>
      </c>
      <c r="AV123" s="6">
        <f t="shared" si="125"/>
        <v>0.97999999999999987</v>
      </c>
      <c r="AW123" s="6">
        <f t="shared" si="125"/>
        <v>0.97999999999999987</v>
      </c>
      <c r="AX123" s="6">
        <f t="shared" si="125"/>
        <v>0.97999999999999987</v>
      </c>
      <c r="AY123" s="6">
        <f t="shared" si="125"/>
        <v>0.97999999999999987</v>
      </c>
      <c r="AZ123" s="6">
        <f t="shared" si="125"/>
        <v>0.97999999999999987</v>
      </c>
      <c r="BA123" s="6">
        <f t="shared" si="125"/>
        <v>0.97999999999999987</v>
      </c>
      <c r="BB123" s="6">
        <f t="shared" si="125"/>
        <v>0.97999999999999987</v>
      </c>
      <c r="BC123" s="6">
        <f t="shared" si="125"/>
        <v>0.97999999999999987</v>
      </c>
      <c r="BD123" s="6">
        <f t="shared" si="125"/>
        <v>0.97999999999999987</v>
      </c>
      <c r="BE123" s="6">
        <f t="shared" si="125"/>
        <v>0.97999999999999987</v>
      </c>
      <c r="BF123" s="6">
        <f t="shared" si="125"/>
        <v>0.97999999999999987</v>
      </c>
      <c r="BG123" s="6">
        <f t="shared" si="125"/>
        <v>0.97999999999999987</v>
      </c>
      <c r="BH123" s="6">
        <f t="shared" si="125"/>
        <v>0.97999999999999987</v>
      </c>
      <c r="BI123" s="6">
        <f t="shared" si="125"/>
        <v>0.97999999999999987</v>
      </c>
      <c r="BJ123" s="73">
        <f t="shared" si="125"/>
        <v>0.97999999999999987</v>
      </c>
      <c r="BK123" s="73">
        <f t="shared" si="125"/>
        <v>0.97999999999999987</v>
      </c>
      <c r="BL123" s="73">
        <f t="shared" si="125"/>
        <v>0.97999999999999987</v>
      </c>
      <c r="BM123" s="73">
        <f t="shared" si="125"/>
        <v>0.97999999999999987</v>
      </c>
      <c r="BN123" s="73">
        <f t="shared" si="125"/>
        <v>0.97999999999999987</v>
      </c>
      <c r="BO123" s="73">
        <f t="shared" si="125"/>
        <v>0.97999999999999987</v>
      </c>
    </row>
    <row r="124" spans="1:67">
      <c r="A124" s="11"/>
      <c r="B124" s="11"/>
      <c r="C124" s="22" t="s">
        <v>780</v>
      </c>
      <c r="D124" s="33"/>
      <c r="E124" s="10" t="s">
        <v>7</v>
      </c>
      <c r="F124" s="10"/>
      <c r="G124" s="65">
        <f>IF(G114=0,0,G119/G114)</f>
        <v>0</v>
      </c>
      <c r="H124" s="65">
        <f t="shared" ref="H124:BO124" si="126">IF(H114=0,0,H119/H114)</f>
        <v>0</v>
      </c>
      <c r="I124" s="65">
        <f t="shared" si="126"/>
        <v>0</v>
      </c>
      <c r="J124" s="65">
        <f t="shared" si="126"/>
        <v>0</v>
      </c>
      <c r="K124" s="65">
        <f t="shared" si="126"/>
        <v>0</v>
      </c>
      <c r="L124" s="65">
        <f t="shared" si="126"/>
        <v>0</v>
      </c>
      <c r="M124" s="65">
        <f t="shared" si="126"/>
        <v>0</v>
      </c>
      <c r="N124" s="65">
        <f t="shared" si="126"/>
        <v>0</v>
      </c>
      <c r="O124" s="65">
        <f t="shared" si="126"/>
        <v>0</v>
      </c>
      <c r="P124" s="65">
        <f t="shared" si="126"/>
        <v>0</v>
      </c>
      <c r="Q124" s="65">
        <f t="shared" si="126"/>
        <v>0</v>
      </c>
      <c r="R124" s="65">
        <f t="shared" si="126"/>
        <v>0</v>
      </c>
      <c r="S124" s="65">
        <f t="shared" si="126"/>
        <v>0</v>
      </c>
      <c r="T124" s="65">
        <f t="shared" si="126"/>
        <v>0</v>
      </c>
      <c r="U124" s="65">
        <f t="shared" si="126"/>
        <v>0</v>
      </c>
      <c r="V124" s="65">
        <f t="shared" si="126"/>
        <v>0</v>
      </c>
      <c r="W124" s="65">
        <f t="shared" si="126"/>
        <v>0</v>
      </c>
      <c r="X124" s="65">
        <f t="shared" si="126"/>
        <v>0</v>
      </c>
      <c r="Y124" s="65">
        <f t="shared" si="126"/>
        <v>0</v>
      </c>
      <c r="Z124" s="65">
        <f t="shared" si="126"/>
        <v>0</v>
      </c>
      <c r="AA124" s="65">
        <f t="shared" si="126"/>
        <v>0</v>
      </c>
      <c r="AB124" s="65">
        <f t="shared" si="126"/>
        <v>0.19999999999999998</v>
      </c>
      <c r="AC124" s="65">
        <f t="shared" si="126"/>
        <v>0.26499999999999996</v>
      </c>
      <c r="AD124" s="65">
        <f t="shared" si="126"/>
        <v>0.33000000000000007</v>
      </c>
      <c r="AE124" s="65">
        <f t="shared" si="126"/>
        <v>0.39500000000000018</v>
      </c>
      <c r="AF124" s="65">
        <f t="shared" si="126"/>
        <v>0.46000000000000008</v>
      </c>
      <c r="AG124" s="65">
        <f t="shared" si="126"/>
        <v>0.52500000000000002</v>
      </c>
      <c r="AH124" s="65">
        <f t="shared" si="126"/>
        <v>0.59</v>
      </c>
      <c r="AI124" s="65">
        <f t="shared" si="126"/>
        <v>0.65499999999999992</v>
      </c>
      <c r="AJ124" s="65">
        <f t="shared" si="126"/>
        <v>0.72000000000000008</v>
      </c>
      <c r="AK124" s="65">
        <f t="shared" si="126"/>
        <v>0.78500000000000014</v>
      </c>
      <c r="AL124" s="65">
        <f t="shared" si="126"/>
        <v>0.85</v>
      </c>
      <c r="AM124" s="65">
        <f t="shared" si="126"/>
        <v>0.91500000000000004</v>
      </c>
      <c r="AN124" s="65">
        <f t="shared" si="126"/>
        <v>0.98</v>
      </c>
      <c r="AO124" s="65">
        <f t="shared" si="126"/>
        <v>0.98</v>
      </c>
      <c r="AP124" s="65">
        <f t="shared" si="126"/>
        <v>0.98</v>
      </c>
      <c r="AQ124" s="65">
        <f t="shared" si="126"/>
        <v>0.98</v>
      </c>
      <c r="AR124" s="65">
        <f t="shared" si="126"/>
        <v>0.98</v>
      </c>
      <c r="AS124" s="65">
        <f t="shared" si="126"/>
        <v>0.98</v>
      </c>
      <c r="AT124" s="65">
        <f t="shared" si="126"/>
        <v>0.98</v>
      </c>
      <c r="AU124" s="65">
        <f t="shared" si="126"/>
        <v>0.98</v>
      </c>
      <c r="AV124" s="65">
        <f t="shared" si="126"/>
        <v>0.98</v>
      </c>
      <c r="AW124" s="65">
        <f t="shared" si="126"/>
        <v>0.98</v>
      </c>
      <c r="AX124" s="65">
        <f t="shared" si="126"/>
        <v>0.98</v>
      </c>
      <c r="AY124" s="65">
        <f t="shared" si="126"/>
        <v>0.98</v>
      </c>
      <c r="AZ124" s="65">
        <f t="shared" si="126"/>
        <v>0.98</v>
      </c>
      <c r="BA124" s="65">
        <f t="shared" si="126"/>
        <v>0.98</v>
      </c>
      <c r="BB124" s="65">
        <f t="shared" si="126"/>
        <v>0.98</v>
      </c>
      <c r="BC124" s="65">
        <f t="shared" si="126"/>
        <v>0.98</v>
      </c>
      <c r="BD124" s="65">
        <f t="shared" si="126"/>
        <v>0.98</v>
      </c>
      <c r="BE124" s="65">
        <f t="shared" si="126"/>
        <v>0.98</v>
      </c>
      <c r="BF124" s="65">
        <f t="shared" si="126"/>
        <v>0.98</v>
      </c>
      <c r="BG124" s="65">
        <f t="shared" si="126"/>
        <v>0.98</v>
      </c>
      <c r="BH124" s="65">
        <f t="shared" si="126"/>
        <v>0.98</v>
      </c>
      <c r="BI124" s="65">
        <f t="shared" si="126"/>
        <v>0.98</v>
      </c>
      <c r="BJ124" s="74">
        <f t="shared" si="126"/>
        <v>0.98</v>
      </c>
      <c r="BK124" s="74">
        <f t="shared" si="126"/>
        <v>0.98</v>
      </c>
      <c r="BL124" s="74">
        <f t="shared" si="126"/>
        <v>0.98</v>
      </c>
      <c r="BM124" s="74">
        <f t="shared" si="126"/>
        <v>0.98</v>
      </c>
      <c r="BN124" s="74">
        <f t="shared" si="126"/>
        <v>0.98</v>
      </c>
      <c r="BO124" s="74">
        <f t="shared" si="126"/>
        <v>0.98</v>
      </c>
    </row>
    <row r="125" spans="1:67">
      <c r="A125" s="11"/>
      <c r="B125" s="11"/>
      <c r="C125" s="11"/>
      <c r="D125" s="33"/>
      <c r="E125" s="43"/>
      <c r="F125" s="43"/>
      <c r="G125" s="6"/>
      <c r="H125" s="6"/>
      <c r="I125" s="6"/>
      <c r="J125" s="6"/>
      <c r="K125" s="6"/>
      <c r="L125" s="6"/>
      <c r="M125" s="6"/>
      <c r="N125" s="6"/>
      <c r="O125" s="6"/>
      <c r="P125" s="6"/>
      <c r="Q125" s="6"/>
      <c r="R125" s="6"/>
      <c r="S125" s="6"/>
      <c r="T125" s="6"/>
      <c r="U125" s="6"/>
      <c r="V125" s="6"/>
      <c r="W125" s="6"/>
      <c r="X125" s="6"/>
      <c r="Y125" s="6"/>
      <c r="Z125" s="6"/>
      <c r="AA125" s="6"/>
      <c r="AB125" s="6"/>
      <c r="AC125" s="6"/>
      <c r="AD125" s="6"/>
      <c r="AE125" s="6"/>
      <c r="AF125" s="6"/>
      <c r="AG125" s="6"/>
      <c r="AH125" s="6"/>
      <c r="AI125" s="6"/>
      <c r="AJ125" s="6"/>
      <c r="AK125" s="6"/>
      <c r="AL125" s="6"/>
      <c r="AM125" s="6"/>
      <c r="AN125" s="6"/>
      <c r="AO125" s="6"/>
      <c r="AP125" s="6"/>
      <c r="AQ125" s="6"/>
      <c r="AR125" s="6"/>
      <c r="AS125" s="6"/>
      <c r="AT125" s="6"/>
      <c r="AU125" s="6"/>
      <c r="AV125" s="6"/>
      <c r="AW125" s="6"/>
      <c r="AX125" s="6"/>
      <c r="AY125" s="6"/>
      <c r="AZ125" s="6"/>
      <c r="BA125" s="6"/>
      <c r="BB125" s="6"/>
      <c r="BC125" s="6"/>
      <c r="BD125" s="6"/>
      <c r="BE125" s="6"/>
      <c r="BF125" s="6"/>
      <c r="BG125" s="6"/>
      <c r="BH125" s="6"/>
      <c r="BI125" s="6"/>
      <c r="BJ125" s="73"/>
      <c r="BK125" s="73"/>
      <c r="BL125" s="73"/>
      <c r="BM125" s="73"/>
      <c r="BN125" s="73"/>
      <c r="BO125" s="73"/>
    </row>
    <row r="126" spans="1:67">
      <c r="A126" s="11"/>
      <c r="B126" s="11"/>
      <c r="C126" s="11" t="s">
        <v>781</v>
      </c>
      <c r="D126" s="33"/>
      <c r="E126" s="10" t="s">
        <v>7</v>
      </c>
      <c r="F126" s="10"/>
      <c r="G126" s="6">
        <f>1-G121</f>
        <v>1</v>
      </c>
      <c r="H126" s="6">
        <f t="shared" ref="H126:BO126" si="127">1-H121</f>
        <v>1</v>
      </c>
      <c r="I126" s="6">
        <f t="shared" si="127"/>
        <v>1</v>
      </c>
      <c r="J126" s="6">
        <f t="shared" si="127"/>
        <v>1</v>
      </c>
      <c r="K126" s="6">
        <f t="shared" si="127"/>
        <v>1</v>
      </c>
      <c r="L126" s="6">
        <f t="shared" si="127"/>
        <v>1</v>
      </c>
      <c r="M126" s="6">
        <f t="shared" si="127"/>
        <v>1</v>
      </c>
      <c r="N126" s="6">
        <f t="shared" si="127"/>
        <v>1</v>
      </c>
      <c r="O126" s="6">
        <f t="shared" si="127"/>
        <v>1</v>
      </c>
      <c r="P126" s="6">
        <f t="shared" si="127"/>
        <v>1</v>
      </c>
      <c r="Q126" s="6">
        <f t="shared" si="127"/>
        <v>1</v>
      </c>
      <c r="R126" s="6">
        <f t="shared" si="127"/>
        <v>1</v>
      </c>
      <c r="S126" s="6">
        <f t="shared" si="127"/>
        <v>1</v>
      </c>
      <c r="T126" s="6">
        <f t="shared" si="127"/>
        <v>1</v>
      </c>
      <c r="U126" s="6">
        <f t="shared" si="127"/>
        <v>1</v>
      </c>
      <c r="V126" s="6">
        <f t="shared" si="127"/>
        <v>1</v>
      </c>
      <c r="W126" s="6">
        <f t="shared" si="127"/>
        <v>1</v>
      </c>
      <c r="X126" s="6">
        <f t="shared" si="127"/>
        <v>1</v>
      </c>
      <c r="Y126" s="6">
        <f t="shared" si="127"/>
        <v>1</v>
      </c>
      <c r="Z126" s="6">
        <f t="shared" si="127"/>
        <v>1</v>
      </c>
      <c r="AA126" s="6">
        <f t="shared" si="127"/>
        <v>1</v>
      </c>
      <c r="AB126" s="6">
        <f t="shared" si="127"/>
        <v>0.79999999999999993</v>
      </c>
      <c r="AC126" s="6">
        <f t="shared" si="127"/>
        <v>0.7350000000000001</v>
      </c>
      <c r="AD126" s="6">
        <f t="shared" si="127"/>
        <v>0.66999999999999993</v>
      </c>
      <c r="AE126" s="6">
        <f t="shared" si="127"/>
        <v>0.60499999999999987</v>
      </c>
      <c r="AF126" s="6">
        <f t="shared" si="127"/>
        <v>0.53999999999999992</v>
      </c>
      <c r="AG126" s="6">
        <f t="shared" si="127"/>
        <v>0.47499999999999998</v>
      </c>
      <c r="AH126" s="6">
        <f t="shared" si="127"/>
        <v>0.41000000000000003</v>
      </c>
      <c r="AI126" s="6">
        <f t="shared" si="127"/>
        <v>0.34500000000000008</v>
      </c>
      <c r="AJ126" s="6">
        <f t="shared" si="127"/>
        <v>0.27999999999999992</v>
      </c>
      <c r="AK126" s="6">
        <f t="shared" si="127"/>
        <v>0.21499999999999986</v>
      </c>
      <c r="AL126" s="6">
        <f t="shared" si="127"/>
        <v>0.14999999999999991</v>
      </c>
      <c r="AM126" s="6">
        <f t="shared" si="127"/>
        <v>8.4999999999999853E-2</v>
      </c>
      <c r="AN126" s="6">
        <f t="shared" si="127"/>
        <v>1.9999999999999907E-2</v>
      </c>
      <c r="AO126" s="6">
        <f t="shared" si="127"/>
        <v>1.9999999999999907E-2</v>
      </c>
      <c r="AP126" s="6">
        <f t="shared" si="127"/>
        <v>1.9999999999999907E-2</v>
      </c>
      <c r="AQ126" s="6">
        <f t="shared" si="127"/>
        <v>1.9999999999999907E-2</v>
      </c>
      <c r="AR126" s="6">
        <f t="shared" si="127"/>
        <v>1.9999999999999907E-2</v>
      </c>
      <c r="AS126" s="6">
        <f t="shared" si="127"/>
        <v>1.9999999999999907E-2</v>
      </c>
      <c r="AT126" s="6">
        <f t="shared" si="127"/>
        <v>1.9999999999999907E-2</v>
      </c>
      <c r="AU126" s="6">
        <f t="shared" si="127"/>
        <v>1.9999999999999907E-2</v>
      </c>
      <c r="AV126" s="6">
        <f t="shared" si="127"/>
        <v>1.9999999999999907E-2</v>
      </c>
      <c r="AW126" s="6">
        <f t="shared" si="127"/>
        <v>1.9999999999999907E-2</v>
      </c>
      <c r="AX126" s="6">
        <f t="shared" si="127"/>
        <v>1.9999999999999907E-2</v>
      </c>
      <c r="AY126" s="6">
        <f t="shared" si="127"/>
        <v>1.9999999999999907E-2</v>
      </c>
      <c r="AZ126" s="6">
        <f t="shared" si="127"/>
        <v>1.9999999999999907E-2</v>
      </c>
      <c r="BA126" s="6">
        <f t="shared" si="127"/>
        <v>1.9999999999999907E-2</v>
      </c>
      <c r="BB126" s="6">
        <f t="shared" si="127"/>
        <v>1.9999999999999907E-2</v>
      </c>
      <c r="BC126" s="6">
        <f t="shared" si="127"/>
        <v>1.9999999999999907E-2</v>
      </c>
      <c r="BD126" s="6">
        <f t="shared" si="127"/>
        <v>1.9999999999999907E-2</v>
      </c>
      <c r="BE126" s="6">
        <f t="shared" si="127"/>
        <v>1.9999999999999907E-2</v>
      </c>
      <c r="BF126" s="6">
        <f t="shared" si="127"/>
        <v>1.9999999999999907E-2</v>
      </c>
      <c r="BG126" s="6">
        <f t="shared" si="127"/>
        <v>1.9999999999999907E-2</v>
      </c>
      <c r="BH126" s="6">
        <f t="shared" si="127"/>
        <v>1.9999999999999907E-2</v>
      </c>
      <c r="BI126" s="6">
        <f t="shared" si="127"/>
        <v>2.0000000000000018E-2</v>
      </c>
      <c r="BJ126" s="73">
        <f t="shared" si="127"/>
        <v>2.0000000000000018E-2</v>
      </c>
      <c r="BK126" s="73">
        <f t="shared" si="127"/>
        <v>2.0000000000000018E-2</v>
      </c>
      <c r="BL126" s="73">
        <f t="shared" si="127"/>
        <v>2.0000000000000018E-2</v>
      </c>
      <c r="BM126" s="73">
        <f t="shared" si="127"/>
        <v>2.0000000000000018E-2</v>
      </c>
      <c r="BN126" s="73">
        <f t="shared" si="127"/>
        <v>2.0000000000000018E-2</v>
      </c>
      <c r="BO126" s="73">
        <f t="shared" si="127"/>
        <v>2.0000000000000018E-2</v>
      </c>
    </row>
    <row r="127" spans="1:67">
      <c r="A127" s="11"/>
      <c r="B127" s="11"/>
      <c r="C127" s="11" t="s">
        <v>782</v>
      </c>
      <c r="D127" s="33"/>
      <c r="E127" s="10" t="s">
        <v>7</v>
      </c>
      <c r="F127" s="10"/>
      <c r="G127" s="6">
        <f>1-G122</f>
        <v>1</v>
      </c>
      <c r="H127" s="6">
        <f t="shared" ref="H127:BO127" si="128">1-H122</f>
        <v>1</v>
      </c>
      <c r="I127" s="6">
        <f t="shared" si="128"/>
        <v>1</v>
      </c>
      <c r="J127" s="6">
        <f t="shared" si="128"/>
        <v>1</v>
      </c>
      <c r="K127" s="6">
        <f t="shared" si="128"/>
        <v>1</v>
      </c>
      <c r="L127" s="6">
        <f t="shared" si="128"/>
        <v>1</v>
      </c>
      <c r="M127" s="6">
        <f t="shared" si="128"/>
        <v>1</v>
      </c>
      <c r="N127" s="6">
        <f t="shared" si="128"/>
        <v>1</v>
      </c>
      <c r="O127" s="6">
        <f t="shared" si="128"/>
        <v>1</v>
      </c>
      <c r="P127" s="6">
        <f t="shared" si="128"/>
        <v>1</v>
      </c>
      <c r="Q127" s="6">
        <f t="shared" si="128"/>
        <v>1</v>
      </c>
      <c r="R127" s="6">
        <f t="shared" si="128"/>
        <v>1</v>
      </c>
      <c r="S127" s="6">
        <f t="shared" si="128"/>
        <v>1</v>
      </c>
      <c r="T127" s="6">
        <f t="shared" si="128"/>
        <v>1</v>
      </c>
      <c r="U127" s="6">
        <f t="shared" si="128"/>
        <v>1</v>
      </c>
      <c r="V127" s="6">
        <f t="shared" si="128"/>
        <v>1</v>
      </c>
      <c r="W127" s="6">
        <f t="shared" si="128"/>
        <v>1</v>
      </c>
      <c r="X127" s="6">
        <f t="shared" si="128"/>
        <v>1</v>
      </c>
      <c r="Y127" s="6">
        <f t="shared" si="128"/>
        <v>1</v>
      </c>
      <c r="Z127" s="6">
        <f t="shared" si="128"/>
        <v>1</v>
      </c>
      <c r="AA127" s="6">
        <f t="shared" si="128"/>
        <v>1</v>
      </c>
      <c r="AB127" s="6">
        <f t="shared" si="128"/>
        <v>0.8</v>
      </c>
      <c r="AC127" s="6">
        <f t="shared" si="128"/>
        <v>0.7350000000000001</v>
      </c>
      <c r="AD127" s="6">
        <f t="shared" si="128"/>
        <v>0.66999999999999993</v>
      </c>
      <c r="AE127" s="6">
        <f t="shared" si="128"/>
        <v>0.60499999999999987</v>
      </c>
      <c r="AF127" s="6">
        <f t="shared" si="128"/>
        <v>0.54</v>
      </c>
      <c r="AG127" s="6">
        <f t="shared" si="128"/>
        <v>0.47499999999999998</v>
      </c>
      <c r="AH127" s="6">
        <f t="shared" si="128"/>
        <v>0.41000000000000003</v>
      </c>
      <c r="AI127" s="6">
        <f t="shared" si="128"/>
        <v>0.34500000000000008</v>
      </c>
      <c r="AJ127" s="6">
        <f t="shared" si="128"/>
        <v>0.27999999999999992</v>
      </c>
      <c r="AK127" s="6">
        <f t="shared" si="128"/>
        <v>0.21499999999999997</v>
      </c>
      <c r="AL127" s="6">
        <f t="shared" si="128"/>
        <v>0.15000000000000002</v>
      </c>
      <c r="AM127" s="6">
        <f t="shared" si="128"/>
        <v>8.4999999999999964E-2</v>
      </c>
      <c r="AN127" s="6">
        <f t="shared" si="128"/>
        <v>2.0000000000000129E-2</v>
      </c>
      <c r="AO127" s="6">
        <f t="shared" si="128"/>
        <v>2.0000000000000129E-2</v>
      </c>
      <c r="AP127" s="6">
        <f t="shared" si="128"/>
        <v>2.0000000000000129E-2</v>
      </c>
      <c r="AQ127" s="6">
        <f t="shared" si="128"/>
        <v>2.0000000000000129E-2</v>
      </c>
      <c r="AR127" s="6">
        <f t="shared" si="128"/>
        <v>2.0000000000000129E-2</v>
      </c>
      <c r="AS127" s="6">
        <f t="shared" si="128"/>
        <v>2.0000000000000129E-2</v>
      </c>
      <c r="AT127" s="6">
        <f t="shared" si="128"/>
        <v>2.0000000000000129E-2</v>
      </c>
      <c r="AU127" s="6">
        <f t="shared" si="128"/>
        <v>2.0000000000000129E-2</v>
      </c>
      <c r="AV127" s="6">
        <f t="shared" si="128"/>
        <v>2.0000000000000129E-2</v>
      </c>
      <c r="AW127" s="6">
        <f t="shared" si="128"/>
        <v>2.0000000000000129E-2</v>
      </c>
      <c r="AX127" s="6">
        <f t="shared" si="128"/>
        <v>2.0000000000000129E-2</v>
      </c>
      <c r="AY127" s="6">
        <f t="shared" si="128"/>
        <v>2.0000000000000129E-2</v>
      </c>
      <c r="AZ127" s="6">
        <f t="shared" si="128"/>
        <v>2.0000000000000129E-2</v>
      </c>
      <c r="BA127" s="6">
        <f t="shared" si="128"/>
        <v>2.0000000000000129E-2</v>
      </c>
      <c r="BB127" s="6">
        <f t="shared" si="128"/>
        <v>2.0000000000000129E-2</v>
      </c>
      <c r="BC127" s="6">
        <f t="shared" si="128"/>
        <v>2.0000000000000129E-2</v>
      </c>
      <c r="BD127" s="6">
        <f t="shared" si="128"/>
        <v>2.0000000000000129E-2</v>
      </c>
      <c r="BE127" s="6">
        <f t="shared" si="128"/>
        <v>2.0000000000000129E-2</v>
      </c>
      <c r="BF127" s="6">
        <f t="shared" si="128"/>
        <v>2.0000000000000129E-2</v>
      </c>
      <c r="BG127" s="6">
        <f t="shared" si="128"/>
        <v>2.0000000000000129E-2</v>
      </c>
      <c r="BH127" s="6">
        <f t="shared" si="128"/>
        <v>2.0000000000000129E-2</v>
      </c>
      <c r="BI127" s="6">
        <f t="shared" si="128"/>
        <v>2.0000000000000018E-2</v>
      </c>
      <c r="BJ127" s="73">
        <f t="shared" si="128"/>
        <v>2.0000000000000018E-2</v>
      </c>
      <c r="BK127" s="73">
        <f t="shared" si="128"/>
        <v>2.0000000000000018E-2</v>
      </c>
      <c r="BL127" s="73">
        <f t="shared" si="128"/>
        <v>2.0000000000000018E-2</v>
      </c>
      <c r="BM127" s="73">
        <f t="shared" si="128"/>
        <v>2.0000000000000018E-2</v>
      </c>
      <c r="BN127" s="73">
        <f t="shared" si="128"/>
        <v>2.0000000000000018E-2</v>
      </c>
      <c r="BO127" s="73">
        <f t="shared" si="128"/>
        <v>2.0000000000000018E-2</v>
      </c>
    </row>
    <row r="128" spans="1:67">
      <c r="A128" s="11"/>
      <c r="B128" s="11"/>
      <c r="C128" s="11" t="s">
        <v>783</v>
      </c>
      <c r="D128" s="33"/>
      <c r="E128" s="10" t="s">
        <v>7</v>
      </c>
      <c r="F128" s="10"/>
      <c r="G128" s="6">
        <f>1-G123</f>
        <v>1</v>
      </c>
      <c r="H128" s="6">
        <f t="shared" ref="H128:BO128" si="129">1-H123</f>
        <v>1</v>
      </c>
      <c r="I128" s="6">
        <f t="shared" si="129"/>
        <v>1</v>
      </c>
      <c r="J128" s="6">
        <f t="shared" si="129"/>
        <v>1</v>
      </c>
      <c r="K128" s="6">
        <f t="shared" si="129"/>
        <v>1</v>
      </c>
      <c r="L128" s="6">
        <f t="shared" si="129"/>
        <v>1</v>
      </c>
      <c r="M128" s="6">
        <f t="shared" si="129"/>
        <v>1</v>
      </c>
      <c r="N128" s="6">
        <f t="shared" si="129"/>
        <v>1</v>
      </c>
      <c r="O128" s="6">
        <f t="shared" si="129"/>
        <v>1</v>
      </c>
      <c r="P128" s="6">
        <f t="shared" si="129"/>
        <v>1</v>
      </c>
      <c r="Q128" s="6">
        <f t="shared" si="129"/>
        <v>1</v>
      </c>
      <c r="R128" s="6">
        <f t="shared" si="129"/>
        <v>1</v>
      </c>
      <c r="S128" s="6">
        <f t="shared" si="129"/>
        <v>1</v>
      </c>
      <c r="T128" s="6">
        <f t="shared" si="129"/>
        <v>1</v>
      </c>
      <c r="U128" s="6">
        <f t="shared" si="129"/>
        <v>1</v>
      </c>
      <c r="V128" s="6">
        <f t="shared" si="129"/>
        <v>1</v>
      </c>
      <c r="W128" s="6">
        <f t="shared" si="129"/>
        <v>1</v>
      </c>
      <c r="X128" s="6">
        <f t="shared" si="129"/>
        <v>1</v>
      </c>
      <c r="Y128" s="6">
        <f t="shared" si="129"/>
        <v>1</v>
      </c>
      <c r="Z128" s="6">
        <f t="shared" si="129"/>
        <v>1</v>
      </c>
      <c r="AA128" s="6">
        <f t="shared" si="129"/>
        <v>1</v>
      </c>
      <c r="AB128" s="6">
        <f t="shared" si="129"/>
        <v>0.8</v>
      </c>
      <c r="AC128" s="6">
        <f t="shared" si="129"/>
        <v>0.7350000000000001</v>
      </c>
      <c r="AD128" s="6">
        <f t="shared" si="129"/>
        <v>0.66999999999999993</v>
      </c>
      <c r="AE128" s="6">
        <f t="shared" si="129"/>
        <v>0.60499999999999987</v>
      </c>
      <c r="AF128" s="6">
        <f t="shared" si="129"/>
        <v>0.54</v>
      </c>
      <c r="AG128" s="6">
        <f t="shared" si="129"/>
        <v>0.47499999999999998</v>
      </c>
      <c r="AH128" s="6">
        <f t="shared" si="129"/>
        <v>0.41000000000000003</v>
      </c>
      <c r="AI128" s="6">
        <f t="shared" si="129"/>
        <v>0.3450000000000002</v>
      </c>
      <c r="AJ128" s="6">
        <f t="shared" si="129"/>
        <v>0.27999999999999992</v>
      </c>
      <c r="AK128" s="6">
        <f t="shared" si="129"/>
        <v>0.21499999999999997</v>
      </c>
      <c r="AL128" s="6">
        <f t="shared" si="129"/>
        <v>0.15000000000000013</v>
      </c>
      <c r="AM128" s="6">
        <f t="shared" si="129"/>
        <v>8.4999999999999964E-2</v>
      </c>
      <c r="AN128" s="6">
        <f t="shared" si="129"/>
        <v>2.0000000000000129E-2</v>
      </c>
      <c r="AO128" s="6">
        <f t="shared" si="129"/>
        <v>2.0000000000000129E-2</v>
      </c>
      <c r="AP128" s="6">
        <f t="shared" si="129"/>
        <v>2.0000000000000129E-2</v>
      </c>
      <c r="AQ128" s="6">
        <f t="shared" si="129"/>
        <v>2.0000000000000129E-2</v>
      </c>
      <c r="AR128" s="6">
        <f t="shared" si="129"/>
        <v>2.0000000000000129E-2</v>
      </c>
      <c r="AS128" s="6">
        <f t="shared" si="129"/>
        <v>2.0000000000000129E-2</v>
      </c>
      <c r="AT128" s="6">
        <f t="shared" si="129"/>
        <v>2.0000000000000129E-2</v>
      </c>
      <c r="AU128" s="6">
        <f t="shared" si="129"/>
        <v>2.0000000000000129E-2</v>
      </c>
      <c r="AV128" s="6">
        <f t="shared" si="129"/>
        <v>2.0000000000000129E-2</v>
      </c>
      <c r="AW128" s="6">
        <f t="shared" si="129"/>
        <v>2.0000000000000129E-2</v>
      </c>
      <c r="AX128" s="6">
        <f t="shared" si="129"/>
        <v>2.0000000000000129E-2</v>
      </c>
      <c r="AY128" s="6">
        <f t="shared" si="129"/>
        <v>2.0000000000000129E-2</v>
      </c>
      <c r="AZ128" s="6">
        <f t="shared" si="129"/>
        <v>2.0000000000000129E-2</v>
      </c>
      <c r="BA128" s="6">
        <f t="shared" si="129"/>
        <v>2.0000000000000129E-2</v>
      </c>
      <c r="BB128" s="6">
        <f t="shared" si="129"/>
        <v>2.0000000000000129E-2</v>
      </c>
      <c r="BC128" s="6">
        <f t="shared" si="129"/>
        <v>2.0000000000000129E-2</v>
      </c>
      <c r="BD128" s="6">
        <f t="shared" si="129"/>
        <v>2.0000000000000129E-2</v>
      </c>
      <c r="BE128" s="6">
        <f t="shared" si="129"/>
        <v>2.0000000000000129E-2</v>
      </c>
      <c r="BF128" s="6">
        <f t="shared" si="129"/>
        <v>2.0000000000000129E-2</v>
      </c>
      <c r="BG128" s="6">
        <f t="shared" si="129"/>
        <v>2.0000000000000129E-2</v>
      </c>
      <c r="BH128" s="6">
        <f t="shared" si="129"/>
        <v>2.0000000000000129E-2</v>
      </c>
      <c r="BI128" s="6">
        <f t="shared" si="129"/>
        <v>2.0000000000000129E-2</v>
      </c>
      <c r="BJ128" s="73">
        <f t="shared" si="129"/>
        <v>2.0000000000000129E-2</v>
      </c>
      <c r="BK128" s="73">
        <f t="shared" si="129"/>
        <v>2.0000000000000129E-2</v>
      </c>
      <c r="BL128" s="73">
        <f t="shared" si="129"/>
        <v>2.0000000000000129E-2</v>
      </c>
      <c r="BM128" s="73">
        <f t="shared" si="129"/>
        <v>2.0000000000000129E-2</v>
      </c>
      <c r="BN128" s="73">
        <f t="shared" si="129"/>
        <v>2.0000000000000129E-2</v>
      </c>
      <c r="BO128" s="73">
        <f t="shared" si="129"/>
        <v>2.0000000000000129E-2</v>
      </c>
    </row>
    <row r="129" spans="5:6">
      <c r="E129" s="48"/>
      <c r="F129" s="48"/>
    </row>
    <row r="130" spans="5:6">
      <c r="E130" s="48"/>
      <c r="F130" s="48"/>
    </row>
    <row r="131" spans="5:6">
      <c r="E131" s="48"/>
      <c r="F131" s="48"/>
    </row>
    <row r="132" spans="5:6">
      <c r="E132" s="48"/>
      <c r="F132" s="48"/>
    </row>
    <row r="133" spans="5:6">
      <c r="E133" s="48"/>
      <c r="F133" s="48"/>
    </row>
    <row r="134" spans="5:6">
      <c r="E134" s="48"/>
      <c r="F134" s="48"/>
    </row>
    <row r="135" spans="5:6">
      <c r="E135" s="48"/>
      <c r="F135" s="48"/>
    </row>
    <row r="136" spans="5:6">
      <c r="E136" s="48"/>
      <c r="F136" s="48"/>
    </row>
    <row r="137" spans="5:6">
      <c r="E137" s="48"/>
      <c r="F137" s="48"/>
    </row>
    <row r="138" spans="5:6">
      <c r="E138" s="48"/>
      <c r="F138" s="48"/>
    </row>
    <row r="139" spans="5:6">
      <c r="E139" s="48"/>
      <c r="F139" s="48"/>
    </row>
    <row r="140" spans="5:6">
      <c r="E140" s="48"/>
      <c r="F140" s="48"/>
    </row>
    <row r="141" spans="5:6">
      <c r="E141" s="48"/>
      <c r="F141" s="48"/>
    </row>
    <row r="142" spans="5:6">
      <c r="E142" s="48"/>
      <c r="F142" s="48"/>
    </row>
    <row r="143" spans="5:6">
      <c r="E143" s="48"/>
      <c r="F143" s="48"/>
    </row>
    <row r="144" spans="5:6">
      <c r="E144" s="48"/>
      <c r="F144" s="48"/>
    </row>
    <row r="145" spans="5:6">
      <c r="E145" s="48"/>
      <c r="F145" s="48"/>
    </row>
    <row r="146" spans="5:6">
      <c r="E146" s="48"/>
      <c r="F146" s="48"/>
    </row>
    <row r="147" spans="5:6">
      <c r="E147" s="48"/>
      <c r="F147" s="48"/>
    </row>
    <row r="148" spans="5:6">
      <c r="E148" s="48"/>
      <c r="F148" s="48"/>
    </row>
    <row r="149" spans="5:6">
      <c r="E149" s="48"/>
      <c r="F149" s="48"/>
    </row>
    <row r="150" spans="5:6">
      <c r="E150" s="48"/>
      <c r="F150" s="48"/>
    </row>
    <row r="151" spans="5:6">
      <c r="E151" s="48"/>
      <c r="F151" s="48"/>
    </row>
    <row r="152" spans="5:6">
      <c r="E152" s="48"/>
      <c r="F152" s="48"/>
    </row>
    <row r="153" spans="5:6">
      <c r="E153" s="48"/>
      <c r="F153" s="48"/>
    </row>
    <row r="154" spans="5:6">
      <c r="E154" s="48"/>
      <c r="F154" s="48"/>
    </row>
    <row r="155" spans="5:6">
      <c r="E155" s="48"/>
      <c r="F155" s="48"/>
    </row>
    <row r="156" spans="5:6">
      <c r="E156" s="48"/>
      <c r="F156" s="48"/>
    </row>
    <row r="157" spans="5:6">
      <c r="E157" s="48"/>
      <c r="F157" s="48"/>
    </row>
    <row r="158" spans="5:6">
      <c r="E158" s="48"/>
      <c r="F158" s="48"/>
    </row>
    <row r="159" spans="5:6">
      <c r="E159" s="48"/>
      <c r="F159" s="48"/>
    </row>
    <row r="160" spans="5:6">
      <c r="E160" s="48"/>
      <c r="F160" s="48"/>
    </row>
    <row r="161" spans="5:6">
      <c r="E161" s="48"/>
      <c r="F161" s="48"/>
    </row>
    <row r="162" spans="5:6">
      <c r="E162" s="48"/>
      <c r="F162" s="48"/>
    </row>
    <row r="163" spans="5:6">
      <c r="E163" s="48"/>
      <c r="F163" s="48"/>
    </row>
    <row r="164" spans="5:6">
      <c r="E164" s="48"/>
      <c r="F164" s="48"/>
    </row>
    <row r="165" spans="5:6">
      <c r="E165" s="48"/>
      <c r="F165" s="48"/>
    </row>
    <row r="166" spans="5:6">
      <c r="E166" s="48"/>
      <c r="F166" s="48"/>
    </row>
    <row r="167" spans="5:6">
      <c r="E167" s="48"/>
      <c r="F167" s="48"/>
    </row>
    <row r="168" spans="5:6">
      <c r="E168" s="48"/>
      <c r="F168" s="48"/>
    </row>
    <row r="169" spans="5:6">
      <c r="E169" s="48"/>
      <c r="F169" s="48"/>
    </row>
    <row r="170" spans="5:6">
      <c r="E170" s="48"/>
      <c r="F170" s="48"/>
    </row>
    <row r="171" spans="5:6">
      <c r="E171" s="48"/>
      <c r="F171" s="48"/>
    </row>
    <row r="172" spans="5:6">
      <c r="E172" s="48"/>
      <c r="F172" s="48"/>
    </row>
    <row r="173" spans="5:6">
      <c r="E173" s="48"/>
      <c r="F173" s="48"/>
    </row>
    <row r="174" spans="5:6">
      <c r="E174" s="48"/>
      <c r="F174" s="48"/>
    </row>
    <row r="175" spans="5:6">
      <c r="E175" s="48"/>
      <c r="F175" s="48"/>
    </row>
    <row r="176" spans="5:6">
      <c r="E176" s="48"/>
      <c r="F176" s="48"/>
    </row>
    <row r="177" spans="5:6">
      <c r="E177" s="48"/>
      <c r="F177" s="48"/>
    </row>
    <row r="178" spans="5:6">
      <c r="E178" s="48"/>
      <c r="F178" s="48"/>
    </row>
    <row r="179" spans="5:6">
      <c r="E179" s="48"/>
      <c r="F179" s="48"/>
    </row>
    <row r="180" spans="5:6">
      <c r="E180" s="48"/>
      <c r="F180" s="48"/>
    </row>
    <row r="181" spans="5:6">
      <c r="E181" s="48"/>
      <c r="F181" s="48"/>
    </row>
    <row r="182" spans="5:6">
      <c r="E182" s="48"/>
      <c r="F182" s="48"/>
    </row>
    <row r="183" spans="5:6">
      <c r="E183" s="48"/>
      <c r="F183" s="48"/>
    </row>
    <row r="184" spans="5:6">
      <c r="E184" s="48"/>
      <c r="F184" s="48"/>
    </row>
    <row r="185" spans="5:6">
      <c r="E185" s="48"/>
      <c r="F185" s="48"/>
    </row>
    <row r="186" spans="5:6">
      <c r="E186" s="48"/>
      <c r="F186" s="48"/>
    </row>
    <row r="187" spans="5:6">
      <c r="E187" s="48"/>
      <c r="F187" s="48"/>
    </row>
    <row r="188" spans="5:6">
      <c r="E188" s="48"/>
      <c r="F188" s="48"/>
    </row>
    <row r="189" spans="5:6">
      <c r="E189" s="48"/>
      <c r="F189" s="48"/>
    </row>
    <row r="190" spans="5:6">
      <c r="E190" s="48"/>
      <c r="F190" s="48"/>
    </row>
    <row r="191" spans="5:6">
      <c r="E191" s="48"/>
      <c r="F191" s="48"/>
    </row>
    <row r="192" spans="5:6">
      <c r="E192" s="48"/>
      <c r="F192" s="48"/>
    </row>
    <row r="193" spans="5:6">
      <c r="E193" s="48"/>
      <c r="F193" s="48"/>
    </row>
    <row r="194" spans="5:6">
      <c r="E194" s="48"/>
      <c r="F194" s="48"/>
    </row>
    <row r="195" spans="5:6">
      <c r="E195" s="48"/>
      <c r="F195" s="48"/>
    </row>
    <row r="196" spans="5:6">
      <c r="E196" s="48"/>
      <c r="F196" s="48"/>
    </row>
    <row r="197" spans="5:6">
      <c r="E197" s="48"/>
      <c r="F197" s="48"/>
    </row>
    <row r="198" spans="5:6">
      <c r="E198" s="48"/>
      <c r="F198" s="48"/>
    </row>
    <row r="199" spans="5:6">
      <c r="E199" s="48"/>
      <c r="F199" s="48"/>
    </row>
    <row r="200" spans="5:6">
      <c r="E200" s="48"/>
      <c r="F200" s="48"/>
    </row>
    <row r="201" spans="5:6">
      <c r="E201" s="48"/>
      <c r="F201" s="48"/>
    </row>
    <row r="202" spans="5:6">
      <c r="E202" s="48"/>
      <c r="F202" s="48"/>
    </row>
    <row r="203" spans="5:6">
      <c r="E203" s="48"/>
      <c r="F203" s="48"/>
    </row>
    <row r="204" spans="5:6">
      <c r="E204" s="48"/>
      <c r="F204" s="48"/>
    </row>
    <row r="205" spans="5:6">
      <c r="E205" s="48"/>
      <c r="F205" s="48"/>
    </row>
    <row r="206" spans="5:6">
      <c r="E206" s="48"/>
      <c r="F206" s="48"/>
    </row>
    <row r="207" spans="5:6">
      <c r="E207" s="48"/>
      <c r="F207" s="48"/>
    </row>
    <row r="208" spans="5:6">
      <c r="E208" s="48"/>
      <c r="F208" s="48"/>
    </row>
    <row r="209" spans="5:6">
      <c r="E209" s="48"/>
      <c r="F209" s="48"/>
    </row>
    <row r="210" spans="5:6">
      <c r="E210" s="48"/>
      <c r="F210" s="48"/>
    </row>
    <row r="211" spans="5:6">
      <c r="E211" s="48"/>
      <c r="F211" s="48"/>
    </row>
    <row r="212" spans="5:6">
      <c r="E212" s="48"/>
      <c r="F212" s="48"/>
    </row>
    <row r="213" spans="5:6">
      <c r="E213" s="48"/>
      <c r="F213" s="48"/>
    </row>
    <row r="214" spans="5:6">
      <c r="E214" s="48"/>
      <c r="F214" s="48"/>
    </row>
    <row r="215" spans="5:6">
      <c r="E215" s="48"/>
      <c r="F215" s="48"/>
    </row>
    <row r="216" spans="5:6">
      <c r="E216" s="48"/>
      <c r="F216" s="48"/>
    </row>
    <row r="217" spans="5:6">
      <c r="E217" s="48"/>
      <c r="F217" s="48"/>
    </row>
    <row r="218" spans="5:6">
      <c r="E218" s="48"/>
      <c r="F218" s="48"/>
    </row>
    <row r="219" spans="5:6">
      <c r="E219" s="48"/>
      <c r="F219" s="48"/>
    </row>
    <row r="220" spans="5:6">
      <c r="E220" s="48"/>
      <c r="F220" s="48"/>
    </row>
    <row r="221" spans="5:6">
      <c r="E221" s="48"/>
      <c r="F221" s="48"/>
    </row>
    <row r="222" spans="5:6">
      <c r="E222" s="48"/>
      <c r="F222" s="48"/>
    </row>
    <row r="223" spans="5:6">
      <c r="E223" s="48"/>
      <c r="F223" s="48"/>
    </row>
    <row r="224" spans="5:6">
      <c r="E224" s="48"/>
      <c r="F224" s="48"/>
    </row>
    <row r="225" spans="5:6">
      <c r="E225" s="48"/>
      <c r="F225" s="48"/>
    </row>
    <row r="226" spans="5:6">
      <c r="E226" s="48"/>
      <c r="F226" s="48"/>
    </row>
    <row r="227" spans="5:6">
      <c r="E227" s="48"/>
      <c r="F227" s="48"/>
    </row>
    <row r="228" spans="5:6">
      <c r="E228" s="48"/>
      <c r="F228" s="48"/>
    </row>
    <row r="229" spans="5:6">
      <c r="E229" s="48"/>
      <c r="F229" s="48"/>
    </row>
    <row r="230" spans="5:6">
      <c r="E230" s="48"/>
      <c r="F230" s="48"/>
    </row>
    <row r="231" spans="5:6">
      <c r="E231" s="48"/>
      <c r="F231" s="48"/>
    </row>
    <row r="232" spans="5:6">
      <c r="E232" s="48"/>
      <c r="F232" s="48"/>
    </row>
    <row r="233" spans="5:6">
      <c r="E233" s="48"/>
      <c r="F233" s="48"/>
    </row>
    <row r="234" spans="5:6">
      <c r="E234" s="48"/>
      <c r="F234" s="48"/>
    </row>
    <row r="235" spans="5:6">
      <c r="E235" s="48"/>
      <c r="F235" s="48"/>
    </row>
    <row r="236" spans="5:6">
      <c r="E236" s="48"/>
      <c r="F236" s="48"/>
    </row>
    <row r="237" spans="5:6">
      <c r="E237" s="48"/>
      <c r="F237" s="48"/>
    </row>
    <row r="238" spans="5:6">
      <c r="E238" s="48"/>
      <c r="F238" s="48"/>
    </row>
    <row r="239" spans="5:6">
      <c r="E239" s="48"/>
      <c r="F239" s="48"/>
    </row>
    <row r="240" spans="5:6">
      <c r="E240" s="48"/>
      <c r="F240" s="48"/>
    </row>
    <row r="241" spans="5:6">
      <c r="E241" s="48"/>
      <c r="F241" s="48"/>
    </row>
    <row r="242" spans="5:6">
      <c r="E242" s="48"/>
      <c r="F242" s="48"/>
    </row>
    <row r="243" spans="5:6">
      <c r="E243" s="48"/>
      <c r="F243" s="48"/>
    </row>
    <row r="244" spans="5:6">
      <c r="E244" s="48"/>
      <c r="F244" s="48"/>
    </row>
    <row r="245" spans="5:6">
      <c r="E245" s="48"/>
      <c r="F245" s="48"/>
    </row>
    <row r="246" spans="5:6">
      <c r="E246" s="48"/>
      <c r="F246" s="48"/>
    </row>
    <row r="247" spans="5:6">
      <c r="E247" s="48"/>
      <c r="F247" s="48"/>
    </row>
    <row r="248" spans="5:6">
      <c r="E248" s="48"/>
      <c r="F248" s="48"/>
    </row>
    <row r="249" spans="5:6">
      <c r="E249" s="48"/>
      <c r="F249" s="48"/>
    </row>
    <row r="250" spans="5:6">
      <c r="E250" s="48"/>
      <c r="F250" s="48"/>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79C47D-1771-7A41-AC71-363B93C3C754}">
  <sheetPr>
    <tabColor rgb="FFC8E6C9"/>
  </sheetPr>
  <dimension ref="A1:BO253"/>
  <sheetViews>
    <sheetView workbookViewId="0">
      <pane xSplit="6" ySplit="6" topLeftCell="G8" activePane="bottomRight" state="frozen"/>
      <selection pane="topRight" activeCell="F1" sqref="F1"/>
      <selection pane="bottomLeft" activeCell="A7" sqref="A7"/>
      <selection pane="bottomRight" activeCell="J46" sqref="J46"/>
    </sheetView>
  </sheetViews>
  <sheetFormatPr baseColWidth="10" defaultRowHeight="15"/>
  <cols>
    <col min="1" max="2" width="3.83203125" style="9" customWidth="1"/>
    <col min="3" max="3" width="33.33203125" style="9" customWidth="1"/>
    <col min="4" max="6" width="12.83203125" style="42" customWidth="1"/>
    <col min="7" max="61" width="14" style="42" customWidth="1"/>
    <col min="62" max="67" width="14" style="34" customWidth="1"/>
  </cols>
  <sheetData>
    <row r="1" spans="1:67" ht="18">
      <c r="A1" s="21" t="s">
        <v>1678</v>
      </c>
      <c r="B1" s="11"/>
      <c r="C1" s="11"/>
      <c r="D1" s="33"/>
      <c r="E1" s="33"/>
      <c r="F1" s="43"/>
      <c r="G1" s="33"/>
      <c r="H1" s="33"/>
      <c r="I1" s="33"/>
      <c r="J1" s="33"/>
      <c r="K1" s="33"/>
      <c r="L1" s="33"/>
      <c r="M1" s="33"/>
      <c r="N1" s="33"/>
      <c r="O1" s="33"/>
      <c r="P1" s="33"/>
      <c r="Q1" s="33"/>
      <c r="R1" s="33"/>
      <c r="S1" s="33"/>
      <c r="T1" s="33"/>
      <c r="U1" s="33"/>
      <c r="V1" s="33"/>
      <c r="W1" s="33"/>
      <c r="X1" s="33"/>
      <c r="Y1" s="33"/>
      <c r="Z1" s="33"/>
      <c r="AA1" s="33"/>
      <c r="AB1" s="33"/>
      <c r="AC1" s="33"/>
      <c r="AD1" s="33"/>
      <c r="AE1" s="33"/>
      <c r="AF1" s="33"/>
      <c r="AG1" s="33"/>
      <c r="AH1" s="33"/>
      <c r="AI1" s="33"/>
      <c r="AJ1" s="33"/>
      <c r="AK1" s="33"/>
      <c r="AL1" s="33"/>
      <c r="AM1" s="33"/>
      <c r="AN1" s="33"/>
      <c r="AO1" s="33"/>
      <c r="AP1" s="33"/>
      <c r="AQ1" s="33"/>
      <c r="AR1" s="33"/>
      <c r="AS1" s="33"/>
      <c r="AT1" s="33"/>
      <c r="AU1" s="33"/>
      <c r="AV1" s="33"/>
      <c r="AW1" s="33"/>
      <c r="AX1" s="33"/>
      <c r="AY1" s="33"/>
      <c r="AZ1" s="33"/>
      <c r="BA1" s="33"/>
      <c r="BB1" s="33"/>
      <c r="BC1" s="33"/>
      <c r="BD1" s="33"/>
      <c r="BE1" s="33"/>
      <c r="BF1" s="33"/>
      <c r="BG1" s="33"/>
      <c r="BH1" s="33"/>
      <c r="BI1" s="33"/>
      <c r="BJ1" s="33"/>
      <c r="BK1" s="33"/>
      <c r="BL1" s="33"/>
      <c r="BM1" s="33"/>
      <c r="BN1" s="33"/>
      <c r="BO1" s="33"/>
    </row>
    <row r="2" spans="1:67" ht="16">
      <c r="A2" s="12" t="s">
        <v>390</v>
      </c>
      <c r="B2" s="11"/>
      <c r="C2" s="11"/>
      <c r="D2" s="33"/>
      <c r="E2" s="33"/>
      <c r="F2" s="4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row>
    <row r="3" spans="1:67">
      <c r="A3" s="13" t="s">
        <v>391</v>
      </c>
      <c r="B3" s="11"/>
      <c r="C3" s="11"/>
      <c r="D3" s="33"/>
      <c r="E3" s="33"/>
      <c r="F3" s="4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row>
    <row r="4" spans="1:67">
      <c r="A4" s="11"/>
      <c r="B4" s="11"/>
      <c r="C4" s="11"/>
      <c r="D4" s="33"/>
      <c r="E4" s="33"/>
      <c r="F4" s="4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row>
    <row r="5" spans="1:67">
      <c r="A5" s="11"/>
      <c r="B5" s="22" t="s">
        <v>213</v>
      </c>
      <c r="C5" s="11"/>
      <c r="D5" s="33"/>
      <c r="E5" s="33"/>
      <c r="F5" s="43"/>
      <c r="G5" s="23" t="str">
        <f>'01 Major Assumptions'!G$12</f>
        <v>Jan-27</v>
      </c>
      <c r="H5" s="23" t="str">
        <f>'01 Major Assumptions'!H$12</f>
        <v>Feb-27</v>
      </c>
      <c r="I5" s="23" t="str">
        <f>'01 Major Assumptions'!I$12</f>
        <v>Mar-27</v>
      </c>
      <c r="J5" s="23" t="str">
        <f>'01 Major Assumptions'!J$12</f>
        <v>Apr-27</v>
      </c>
      <c r="K5" s="23" t="str">
        <f>'01 Major Assumptions'!K$12</f>
        <v>May-27</v>
      </c>
      <c r="L5" s="23" t="str">
        <f>'01 Major Assumptions'!L$12</f>
        <v>Jun-27</v>
      </c>
      <c r="M5" s="23" t="str">
        <f>'01 Major Assumptions'!M$12</f>
        <v>Jul-27</v>
      </c>
      <c r="N5" s="23" t="str">
        <f>'01 Major Assumptions'!N$12</f>
        <v>Aug-27</v>
      </c>
      <c r="O5" s="23" t="str">
        <f>'01 Major Assumptions'!O$12</f>
        <v>Sep-27</v>
      </c>
      <c r="P5" s="23" t="str">
        <f>'01 Major Assumptions'!P$12</f>
        <v>Oct-27</v>
      </c>
      <c r="Q5" s="23" t="str">
        <f>'01 Major Assumptions'!Q$12</f>
        <v>Nov-27</v>
      </c>
      <c r="R5" s="23" t="str">
        <f>'01 Major Assumptions'!R$12</f>
        <v>Dec-27</v>
      </c>
      <c r="S5" s="23" t="str">
        <f>'01 Major Assumptions'!S$12</f>
        <v>Jan-28</v>
      </c>
      <c r="T5" s="23" t="str">
        <f>'01 Major Assumptions'!T$12</f>
        <v>Feb-28</v>
      </c>
      <c r="U5" s="23" t="str">
        <f>'01 Major Assumptions'!U$12</f>
        <v>Mar-28</v>
      </c>
      <c r="V5" s="23" t="str">
        <f>'01 Major Assumptions'!V$12</f>
        <v>Apr-28</v>
      </c>
      <c r="W5" s="23" t="str">
        <f>'01 Major Assumptions'!W$12</f>
        <v>May-28</v>
      </c>
      <c r="X5" s="23" t="str">
        <f>'01 Major Assumptions'!X$12</f>
        <v>Jun-28</v>
      </c>
      <c r="Y5" s="23" t="str">
        <f>'01 Major Assumptions'!Y$12</f>
        <v>Jul-28</v>
      </c>
      <c r="Z5" s="23" t="str">
        <f>'01 Major Assumptions'!Z$12</f>
        <v>Aug-28</v>
      </c>
      <c r="AA5" s="23" t="str">
        <f>'01 Major Assumptions'!AA$12</f>
        <v>Sep-28</v>
      </c>
      <c r="AB5" s="23" t="str">
        <f>'01 Major Assumptions'!AB$12</f>
        <v>Oct-28</v>
      </c>
      <c r="AC5" s="23" t="str">
        <f>'01 Major Assumptions'!AC$12</f>
        <v>Nov-28</v>
      </c>
      <c r="AD5" s="23" t="str">
        <f>'01 Major Assumptions'!AD$12</f>
        <v>Dec-28</v>
      </c>
      <c r="AE5" s="23" t="str">
        <f>'01 Major Assumptions'!AE$12</f>
        <v>Jan-29</v>
      </c>
      <c r="AF5" s="23" t="str">
        <f>'01 Major Assumptions'!AF$12</f>
        <v>Feb-29</v>
      </c>
      <c r="AG5" s="23" t="str">
        <f>'01 Major Assumptions'!AG$12</f>
        <v>Mar-29</v>
      </c>
      <c r="AH5" s="23" t="str">
        <f>'01 Major Assumptions'!AH$12</f>
        <v>Apr-29</v>
      </c>
      <c r="AI5" s="23" t="str">
        <f>'01 Major Assumptions'!AI$12</f>
        <v>May-29</v>
      </c>
      <c r="AJ5" s="23" t="str">
        <f>'01 Major Assumptions'!AJ$12</f>
        <v>Jun-29</v>
      </c>
      <c r="AK5" s="23" t="str">
        <f>'01 Major Assumptions'!AK$12</f>
        <v>Jul-29</v>
      </c>
      <c r="AL5" s="23" t="str">
        <f>'01 Major Assumptions'!AL$12</f>
        <v>Aug-29</v>
      </c>
      <c r="AM5" s="23" t="str">
        <f>'01 Major Assumptions'!AM$12</f>
        <v>Sep-29</v>
      </c>
      <c r="AN5" s="23" t="str">
        <f>'01 Major Assumptions'!AN$12</f>
        <v>Oct-29</v>
      </c>
      <c r="AO5" s="23" t="str">
        <f>'01 Major Assumptions'!AO$12</f>
        <v>Nov-29</v>
      </c>
      <c r="AP5" s="23" t="str">
        <f>'01 Major Assumptions'!AP$12</f>
        <v>Dec-29</v>
      </c>
      <c r="AQ5" s="23" t="str">
        <f>'01 Major Assumptions'!AQ$12</f>
        <v>Jan-30</v>
      </c>
      <c r="AR5" s="23" t="str">
        <f>'01 Major Assumptions'!AR$12</f>
        <v>Feb-30</v>
      </c>
      <c r="AS5" s="23" t="str">
        <f>'01 Major Assumptions'!AS$12</f>
        <v>Mar-30</v>
      </c>
      <c r="AT5" s="23" t="str">
        <f>'01 Major Assumptions'!AT$12</f>
        <v>Apr-30</v>
      </c>
      <c r="AU5" s="23" t="str">
        <f>'01 Major Assumptions'!AU$12</f>
        <v>May-30</v>
      </c>
      <c r="AV5" s="23" t="str">
        <f>'01 Major Assumptions'!AV$12</f>
        <v>Jun-30</v>
      </c>
      <c r="AW5" s="23" t="str">
        <f>'01 Major Assumptions'!AW$12</f>
        <v>Jul-30</v>
      </c>
      <c r="AX5" s="23" t="str">
        <f>'01 Major Assumptions'!AX$12</f>
        <v>Aug-30</v>
      </c>
      <c r="AY5" s="23" t="str">
        <f>'01 Major Assumptions'!AY$12</f>
        <v>Sep-30</v>
      </c>
      <c r="AZ5" s="23" t="str">
        <f>'01 Major Assumptions'!AZ$12</f>
        <v>Oct-30</v>
      </c>
      <c r="BA5" s="23" t="str">
        <f>'01 Major Assumptions'!BA$12</f>
        <v>Nov-30</v>
      </c>
      <c r="BB5" s="23" t="str">
        <f>'01 Major Assumptions'!BB$12</f>
        <v>Dec-30</v>
      </c>
      <c r="BC5" s="23" t="str">
        <f>'01 Major Assumptions'!BC$12</f>
        <v>Jan-31</v>
      </c>
      <c r="BD5" s="23" t="str">
        <f>'01 Major Assumptions'!BD$12</f>
        <v>Feb-31</v>
      </c>
      <c r="BE5" s="23" t="str">
        <f>'01 Major Assumptions'!BE$12</f>
        <v>Mar-31</v>
      </c>
      <c r="BF5" s="23" t="str">
        <f>'01 Major Assumptions'!BF$12</f>
        <v>Apr-31</v>
      </c>
      <c r="BG5" s="23" t="str">
        <f>'01 Major Assumptions'!BG$12</f>
        <v>May-31</v>
      </c>
      <c r="BH5" s="23" t="str">
        <f>'01 Major Assumptions'!BH$12</f>
        <v>Jun-31</v>
      </c>
      <c r="BI5" s="23" t="str">
        <f>'01 Major Assumptions'!BI$12</f>
        <v>FY2032</v>
      </c>
      <c r="BJ5" s="23" t="str">
        <f>'01 Major Assumptions'!BJ$12</f>
        <v>FY2033</v>
      </c>
      <c r="BK5" s="23" t="str">
        <f>'01 Major Assumptions'!BK$12</f>
        <v>FY2034</v>
      </c>
      <c r="BL5" s="23" t="str">
        <f>'01 Major Assumptions'!BL$12</f>
        <v>FY2035</v>
      </c>
      <c r="BM5" s="23" t="str">
        <f>'01 Major Assumptions'!BM$12</f>
        <v>FY2036</v>
      </c>
      <c r="BN5" s="23" t="str">
        <f>'01 Major Assumptions'!BN$12</f>
        <v>FY2037</v>
      </c>
      <c r="BO5" s="23" t="str">
        <f>'01 Major Assumptions'!BO$12</f>
        <v>FY2038</v>
      </c>
    </row>
    <row r="6" spans="1:67">
      <c r="A6" s="11"/>
      <c r="B6" s="11"/>
      <c r="C6" s="11"/>
      <c r="D6" s="33"/>
      <c r="E6" s="33"/>
      <c r="F6" s="4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row>
    <row r="7" spans="1:67">
      <c r="A7" s="18" t="s">
        <v>392</v>
      </c>
      <c r="B7" s="18"/>
      <c r="C7" s="18"/>
      <c r="D7" s="39"/>
      <c r="E7" s="39"/>
      <c r="F7" s="39"/>
      <c r="G7" s="39"/>
      <c r="H7" s="39"/>
      <c r="I7" s="39"/>
      <c r="J7" s="39"/>
      <c r="K7" s="39"/>
      <c r="L7" s="39"/>
      <c r="M7" s="39"/>
      <c r="N7" s="39"/>
      <c r="O7" s="39"/>
      <c r="P7" s="39"/>
      <c r="Q7" s="39"/>
      <c r="R7" s="39"/>
      <c r="S7" s="39"/>
      <c r="T7" s="39"/>
      <c r="U7" s="39"/>
      <c r="V7" s="39"/>
      <c r="W7" s="39"/>
      <c r="X7" s="39"/>
      <c r="Y7" s="39"/>
      <c r="Z7" s="39"/>
      <c r="AA7" s="39"/>
      <c r="AB7" s="39"/>
      <c r="AC7" s="39"/>
      <c r="AD7" s="39"/>
      <c r="AE7" s="39"/>
      <c r="AF7" s="39"/>
      <c r="AG7" s="39"/>
      <c r="AH7" s="39"/>
      <c r="AI7" s="39"/>
      <c r="AJ7" s="39"/>
      <c r="AK7" s="39"/>
      <c r="AL7" s="39"/>
      <c r="AM7" s="39"/>
      <c r="AN7" s="39"/>
      <c r="AO7" s="39"/>
      <c r="AP7" s="39"/>
      <c r="AQ7" s="39"/>
      <c r="AR7" s="39"/>
      <c r="AS7" s="39"/>
      <c r="AT7" s="39"/>
      <c r="AU7" s="39"/>
      <c r="AV7" s="39"/>
      <c r="AW7" s="39"/>
      <c r="AX7" s="39"/>
      <c r="AY7" s="39"/>
      <c r="AZ7" s="39"/>
      <c r="BA7" s="39"/>
      <c r="BB7" s="39"/>
      <c r="BC7" s="39"/>
      <c r="BD7" s="39"/>
      <c r="BE7" s="39"/>
      <c r="BF7" s="39"/>
      <c r="BG7" s="39"/>
      <c r="BH7" s="39"/>
      <c r="BI7" s="39"/>
      <c r="BJ7" s="39"/>
      <c r="BK7" s="39"/>
      <c r="BL7" s="39"/>
      <c r="BM7" s="39"/>
      <c r="BN7" s="39"/>
      <c r="BO7" s="39"/>
    </row>
    <row r="8" spans="1:67">
      <c r="A8" s="11"/>
      <c r="B8" s="11"/>
      <c r="C8" s="11" t="s">
        <v>393</v>
      </c>
      <c r="D8" s="33"/>
      <c r="E8" s="33"/>
      <c r="F8" s="10" t="s">
        <v>13</v>
      </c>
      <c r="G8" s="90">
        <f>'04 Operating Model'!G$59</f>
        <v>0</v>
      </c>
      <c r="H8" s="90">
        <f>'04 Operating Model'!H$59</f>
        <v>0</v>
      </c>
      <c r="I8" s="90">
        <f>'04 Operating Model'!I$59</f>
        <v>0</v>
      </c>
      <c r="J8" s="90">
        <f>'04 Operating Model'!J$59</f>
        <v>0</v>
      </c>
      <c r="K8" s="90">
        <f>'04 Operating Model'!K$59</f>
        <v>0</v>
      </c>
      <c r="L8" s="90">
        <f>'04 Operating Model'!L$59</f>
        <v>0</v>
      </c>
      <c r="M8" s="90">
        <f>'04 Operating Model'!M$59</f>
        <v>0</v>
      </c>
      <c r="N8" s="90">
        <f>'04 Operating Model'!N$59</f>
        <v>0</v>
      </c>
      <c r="O8" s="90">
        <f>'04 Operating Model'!O$59</f>
        <v>0</v>
      </c>
      <c r="P8" s="90">
        <f>'04 Operating Model'!P$59</f>
        <v>0</v>
      </c>
      <c r="Q8" s="90">
        <f>'04 Operating Model'!Q$59</f>
        <v>0</v>
      </c>
      <c r="R8" s="90">
        <f>'04 Operating Model'!R$59</f>
        <v>0</v>
      </c>
      <c r="S8" s="90">
        <f>'04 Operating Model'!S$59</f>
        <v>0</v>
      </c>
      <c r="T8" s="90">
        <f>'04 Operating Model'!T$59</f>
        <v>0</v>
      </c>
      <c r="U8" s="90">
        <f>'04 Operating Model'!U$59</f>
        <v>0</v>
      </c>
      <c r="V8" s="90">
        <f>'04 Operating Model'!V$59</f>
        <v>0</v>
      </c>
      <c r="W8" s="90">
        <f>'04 Operating Model'!W$59</f>
        <v>0</v>
      </c>
      <c r="X8" s="90">
        <f>'04 Operating Model'!X$59</f>
        <v>0</v>
      </c>
      <c r="Y8" s="90">
        <f>'04 Operating Model'!Y$59</f>
        <v>0</v>
      </c>
      <c r="Z8" s="90">
        <f>'04 Operating Model'!Z$59</f>
        <v>0</v>
      </c>
      <c r="AA8" s="90">
        <f>'04 Operating Model'!AA$59</f>
        <v>0</v>
      </c>
      <c r="AB8" s="90">
        <f>'04 Operating Model'!AB$59</f>
        <v>20046862.653140757</v>
      </c>
      <c r="AC8" s="90">
        <f>'04 Operating Model'!AC$59</f>
        <v>4230580.9053037409</v>
      </c>
      <c r="AD8" s="90">
        <f>'04 Operating Model'!AD$59</f>
        <v>5268270.5613216525</v>
      </c>
      <c r="AE8" s="90">
        <f>'04 Operating Model'!AE$59</f>
        <v>6449910.9514385723</v>
      </c>
      <c r="AF8" s="90">
        <f>'04 Operating Model'!AF$59</f>
        <v>7511288.7029411104</v>
      </c>
      <c r="AG8" s="90">
        <f>'04 Operating Model'!AG$59</f>
        <v>8572666.4544436615</v>
      </c>
      <c r="AH8" s="90">
        <f>'04 Operating Model'!AH$59</f>
        <v>9634044.2059462089</v>
      </c>
      <c r="AI8" s="90">
        <f>'04 Operating Model'!AI$59</f>
        <v>10695421.957448756</v>
      </c>
      <c r="AJ8" s="90">
        <f>'04 Operating Model'!AJ$59</f>
        <v>11756799.708951313</v>
      </c>
      <c r="AK8" s="90">
        <f>'04 Operating Model'!AK$59</f>
        <v>12818177.460453855</v>
      </c>
      <c r="AL8" s="90">
        <f>'04 Operating Model'!AL$59</f>
        <v>13879555.211956404</v>
      </c>
      <c r="AM8" s="90">
        <f>'04 Operating Model'!AM$59</f>
        <v>14940932.963458961</v>
      </c>
      <c r="AN8" s="90">
        <f>'04 Operating Model'!AN$59</f>
        <v>16002310.714961493</v>
      </c>
      <c r="AO8" s="90">
        <f>'04 Operating Model'!AO$59</f>
        <v>16002310.714961501</v>
      </c>
      <c r="AP8" s="90">
        <f>'04 Operating Model'!AP$59</f>
        <v>16002310.714961501</v>
      </c>
      <c r="AQ8" s="90">
        <f>'04 Operating Model'!AQ$59</f>
        <v>16367614.706065277</v>
      </c>
      <c r="AR8" s="90">
        <f>'04 Operating Model'!AR$59</f>
        <v>16367614.706065277</v>
      </c>
      <c r="AS8" s="90">
        <f>'04 Operating Model'!AS$59</f>
        <v>16367614.706065277</v>
      </c>
      <c r="AT8" s="90">
        <f>'04 Operating Model'!AT$59</f>
        <v>16367614.706065277</v>
      </c>
      <c r="AU8" s="90">
        <f>'04 Operating Model'!AU$59</f>
        <v>16367614.706065277</v>
      </c>
      <c r="AV8" s="90">
        <f>'04 Operating Model'!AV$59</f>
        <v>16367614.706065277</v>
      </c>
      <c r="AW8" s="90">
        <f>'04 Operating Model'!AW$59</f>
        <v>16367614.706065277</v>
      </c>
      <c r="AX8" s="90">
        <f>'04 Operating Model'!AX$59</f>
        <v>16367614.706065277</v>
      </c>
      <c r="AY8" s="90">
        <f>'04 Operating Model'!AY$59</f>
        <v>16367614.706065277</v>
      </c>
      <c r="AZ8" s="90">
        <f>'04 Operating Model'!AZ$59</f>
        <v>16367614.706065277</v>
      </c>
      <c r="BA8" s="90">
        <f>'04 Operating Model'!BA$59</f>
        <v>16367614.706065277</v>
      </c>
      <c r="BB8" s="90">
        <f>'04 Operating Model'!BB$59</f>
        <v>16367614.706065277</v>
      </c>
      <c r="BC8" s="90">
        <f>'04 Operating Model'!BC$59</f>
        <v>16741265.705857635</v>
      </c>
      <c r="BD8" s="90">
        <f>'04 Operating Model'!BD$59</f>
        <v>16741265.705857635</v>
      </c>
      <c r="BE8" s="90">
        <f>'04 Operating Model'!BE$59</f>
        <v>16741265.705857635</v>
      </c>
      <c r="BF8" s="90">
        <f>'04 Operating Model'!BF$59</f>
        <v>16741265.705857635</v>
      </c>
      <c r="BG8" s="90">
        <f>'04 Operating Model'!BG$59</f>
        <v>16741265.705857635</v>
      </c>
      <c r="BH8" s="90">
        <f>'04 Operating Model'!BH$59</f>
        <v>16741265.705857635</v>
      </c>
      <c r="BI8" s="90">
        <f>'04 Operating Model'!BI$59</f>
        <v>205481455.15051526</v>
      </c>
      <c r="BJ8" s="90">
        <f>'04 Operating Model'!BJ$59</f>
        <v>210172519.51129225</v>
      </c>
      <c r="BK8" s="90">
        <f>'04 Operating Model'!BK$59</f>
        <v>214970778.17021331</v>
      </c>
      <c r="BL8" s="90">
        <f>'04 Operating Model'!BL$59</f>
        <v>219878682.59249288</v>
      </c>
      <c r="BM8" s="90">
        <f>'04 Operating Model'!BM$59</f>
        <v>224898740.34697211</v>
      </c>
      <c r="BN8" s="90">
        <f>'04 Operating Model'!BN$59</f>
        <v>230033516.39090145</v>
      </c>
      <c r="BO8" s="90">
        <f>'04 Operating Model'!BO$59</f>
        <v>235027948.49261314</v>
      </c>
    </row>
    <row r="9" spans="1:67">
      <c r="A9" s="11"/>
      <c r="B9" s="11"/>
      <c r="C9" s="11" t="s">
        <v>141</v>
      </c>
      <c r="D9" s="33"/>
      <c r="E9" s="33"/>
      <c r="F9" s="10" t="s">
        <v>13</v>
      </c>
      <c r="G9" s="90">
        <f>'04 Operating Model'!G$81*'01 Major Assumptions'!$D$105*(1+'01 Major Assumptions'!$D$23)^'02 Oil Price Analysis'!G$57</f>
        <v>0</v>
      </c>
      <c r="H9" s="90">
        <f>'04 Operating Model'!H$81*'01 Major Assumptions'!$D$105*(1+'01 Major Assumptions'!$D$23)^'02 Oil Price Analysis'!H$57</f>
        <v>0</v>
      </c>
      <c r="I9" s="90">
        <f>'04 Operating Model'!I$81*'01 Major Assumptions'!$D$105*(1+'01 Major Assumptions'!$D$23)^'02 Oil Price Analysis'!I$57</f>
        <v>0</v>
      </c>
      <c r="J9" s="90">
        <f>'04 Operating Model'!J$81*'01 Major Assumptions'!$D$105*(1+'01 Major Assumptions'!$D$23)^'02 Oil Price Analysis'!J$57</f>
        <v>0</v>
      </c>
      <c r="K9" s="90">
        <f>'04 Operating Model'!K$81*'01 Major Assumptions'!$D$105*(1+'01 Major Assumptions'!$D$23)^'02 Oil Price Analysis'!K$57</f>
        <v>0</v>
      </c>
      <c r="L9" s="90">
        <f>'04 Operating Model'!L$81*'01 Major Assumptions'!$D$105*(1+'01 Major Assumptions'!$D$23)^'02 Oil Price Analysis'!L$57</f>
        <v>0</v>
      </c>
      <c r="M9" s="90">
        <f>'04 Operating Model'!M$81*'01 Major Assumptions'!$D$105*(1+'01 Major Assumptions'!$D$23)^'02 Oil Price Analysis'!M$57</f>
        <v>0</v>
      </c>
      <c r="N9" s="90">
        <f>'04 Operating Model'!N$81*'01 Major Assumptions'!$D$105*(1+'01 Major Assumptions'!$D$23)^'02 Oil Price Analysis'!N$57</f>
        <v>0</v>
      </c>
      <c r="O9" s="90">
        <f>'04 Operating Model'!O$81*'01 Major Assumptions'!$D$105*(1+'01 Major Assumptions'!$D$23)^'02 Oil Price Analysis'!O$57</f>
        <v>0</v>
      </c>
      <c r="P9" s="90">
        <f>'04 Operating Model'!P$81*'01 Major Assumptions'!$D$105*(1+'01 Major Assumptions'!$D$23)^'02 Oil Price Analysis'!P$57</f>
        <v>0</v>
      </c>
      <c r="Q9" s="90">
        <f>'04 Operating Model'!Q$81*'01 Major Assumptions'!$D$105*(1+'01 Major Assumptions'!$D$23)^'02 Oil Price Analysis'!Q$57</f>
        <v>0</v>
      </c>
      <c r="R9" s="90">
        <f>'04 Operating Model'!R$81*'01 Major Assumptions'!$D$105*(1+'01 Major Assumptions'!$D$23)^'02 Oil Price Analysis'!R$57</f>
        <v>0</v>
      </c>
      <c r="S9" s="90">
        <f>'04 Operating Model'!S$81*'01 Major Assumptions'!$D$105*(1+'01 Major Assumptions'!$D$23)^'02 Oil Price Analysis'!S$57</f>
        <v>0</v>
      </c>
      <c r="T9" s="90">
        <f>'04 Operating Model'!T$81*'01 Major Assumptions'!$D$105*(1+'01 Major Assumptions'!$D$23)^'02 Oil Price Analysis'!T$57</f>
        <v>0</v>
      </c>
      <c r="U9" s="90">
        <f>'04 Operating Model'!U$81*'01 Major Assumptions'!$D$105*(1+'01 Major Assumptions'!$D$23)^'02 Oil Price Analysis'!U$57</f>
        <v>0</v>
      </c>
      <c r="V9" s="90">
        <f>'04 Operating Model'!V$81*'01 Major Assumptions'!$D$105*(1+'01 Major Assumptions'!$D$23)^'02 Oil Price Analysis'!V$57</f>
        <v>0</v>
      </c>
      <c r="W9" s="90">
        <f>'04 Operating Model'!W$81*'01 Major Assumptions'!$D$105*(1+'01 Major Assumptions'!$D$23)^'02 Oil Price Analysis'!W$57</f>
        <v>0</v>
      </c>
      <c r="X9" s="90">
        <f>'04 Operating Model'!X$81*'01 Major Assumptions'!$D$105*(1+'01 Major Assumptions'!$D$23)^'02 Oil Price Analysis'!X$57</f>
        <v>0</v>
      </c>
      <c r="Y9" s="90">
        <f>'04 Operating Model'!Y$81*'01 Major Assumptions'!$D$105*(1+'01 Major Assumptions'!$D$23)^'02 Oil Price Analysis'!Y$57</f>
        <v>0</v>
      </c>
      <c r="Z9" s="90">
        <f>'04 Operating Model'!Z$81*'01 Major Assumptions'!$D$105*(1+'01 Major Assumptions'!$D$23)^'02 Oil Price Analysis'!Z$57</f>
        <v>0</v>
      </c>
      <c r="AA9" s="90">
        <f>'04 Operating Model'!AA$81*'01 Major Assumptions'!$D$105*(1+'01 Major Assumptions'!$D$23)^'02 Oil Price Analysis'!AA$57</f>
        <v>0</v>
      </c>
      <c r="AB9" s="90">
        <f>'04 Operating Model'!AB$81*'01 Major Assumptions'!$D$105*(1+'01 Major Assumptions'!$D$23)^'02 Oil Price Analysis'!AB$57</f>
        <v>0</v>
      </c>
      <c r="AC9" s="90">
        <f>'04 Operating Model'!AC$81*'01 Major Assumptions'!$D$105*(1+'01 Major Assumptions'!$D$23)^'02 Oil Price Analysis'!AC$57</f>
        <v>0</v>
      </c>
      <c r="AD9" s="90">
        <f>'04 Operating Model'!AD$81*'01 Major Assumptions'!$D$105*(1+'01 Major Assumptions'!$D$23)^'02 Oil Price Analysis'!AD$57</f>
        <v>0</v>
      </c>
      <c r="AE9" s="90">
        <f>'04 Operating Model'!AE$81*'01 Major Assumptions'!$D$105*(1+'01 Major Assumptions'!$D$23)^'02 Oil Price Analysis'!AE$57</f>
        <v>0</v>
      </c>
      <c r="AF9" s="90">
        <f>'04 Operating Model'!AF$81*'01 Major Assumptions'!$D$105*(1+'01 Major Assumptions'!$D$23)^'02 Oil Price Analysis'!AF$57</f>
        <v>0</v>
      </c>
      <c r="AG9" s="90">
        <f>'04 Operating Model'!AG$81*'01 Major Assumptions'!$D$105*(1+'01 Major Assumptions'!$D$23)^'02 Oil Price Analysis'!AG$57</f>
        <v>0</v>
      </c>
      <c r="AH9" s="90">
        <f>'04 Operating Model'!AH$81*'01 Major Assumptions'!$D$105*(1+'01 Major Assumptions'!$D$23)^'02 Oil Price Analysis'!AH$57</f>
        <v>0</v>
      </c>
      <c r="AI9" s="90">
        <f>'04 Operating Model'!AI$81*'01 Major Assumptions'!$D$105*(1+'01 Major Assumptions'!$D$23)^'02 Oil Price Analysis'!AI$57</f>
        <v>0</v>
      </c>
      <c r="AJ9" s="90">
        <f>'04 Operating Model'!AJ$81*'01 Major Assumptions'!$D$105*(1+'01 Major Assumptions'!$D$23)^'02 Oil Price Analysis'!AJ$57</f>
        <v>0</v>
      </c>
      <c r="AK9" s="90">
        <f>'04 Operating Model'!AK$81*'01 Major Assumptions'!$D$105*(1+'01 Major Assumptions'!$D$23)^'02 Oil Price Analysis'!AK$57</f>
        <v>0</v>
      </c>
      <c r="AL9" s="90">
        <f>'04 Operating Model'!AL$81*'01 Major Assumptions'!$D$105*(1+'01 Major Assumptions'!$D$23)^'02 Oil Price Analysis'!AL$57</f>
        <v>0</v>
      </c>
      <c r="AM9" s="90">
        <f>'04 Operating Model'!AM$81*'01 Major Assumptions'!$D$105*(1+'01 Major Assumptions'!$D$23)^'02 Oil Price Analysis'!AM$57</f>
        <v>0</v>
      </c>
      <c r="AN9" s="90">
        <f>'04 Operating Model'!AN$81*'01 Major Assumptions'!$D$105*(1+'01 Major Assumptions'!$D$23)^'02 Oil Price Analysis'!AN$57</f>
        <v>0</v>
      </c>
      <c r="AO9" s="90">
        <f>'04 Operating Model'!AO$81*'01 Major Assumptions'!$D$105*(1+'01 Major Assumptions'!$D$23)^'02 Oil Price Analysis'!AO$57</f>
        <v>0</v>
      </c>
      <c r="AP9" s="90">
        <f>'04 Operating Model'!AP$81*'01 Major Assumptions'!$D$105*(1+'01 Major Assumptions'!$D$23)^'02 Oil Price Analysis'!AP$57</f>
        <v>0</v>
      </c>
      <c r="AQ9" s="90">
        <f>'04 Operating Model'!AQ$81*'01 Major Assumptions'!$D$105*(1+'01 Major Assumptions'!$D$23)^'02 Oil Price Analysis'!AQ$57</f>
        <v>0</v>
      </c>
      <c r="AR9" s="90">
        <f>'04 Operating Model'!AR$81*'01 Major Assumptions'!$D$105*(1+'01 Major Assumptions'!$D$23)^'02 Oil Price Analysis'!AR$57</f>
        <v>0</v>
      </c>
      <c r="AS9" s="90">
        <f>'04 Operating Model'!AS$81*'01 Major Assumptions'!$D$105*(1+'01 Major Assumptions'!$D$23)^'02 Oil Price Analysis'!AS$57</f>
        <v>0</v>
      </c>
      <c r="AT9" s="90">
        <f>'04 Operating Model'!AT$81*'01 Major Assumptions'!$D$105*(1+'01 Major Assumptions'!$D$23)^'02 Oil Price Analysis'!AT$57</f>
        <v>0</v>
      </c>
      <c r="AU9" s="90">
        <f>'04 Operating Model'!AU$81*'01 Major Assumptions'!$D$105*(1+'01 Major Assumptions'!$D$23)^'02 Oil Price Analysis'!AU$57</f>
        <v>0</v>
      </c>
      <c r="AV9" s="90">
        <f>'04 Operating Model'!AV$81*'01 Major Assumptions'!$D$105*(1+'01 Major Assumptions'!$D$23)^'02 Oil Price Analysis'!AV$57</f>
        <v>0</v>
      </c>
      <c r="AW9" s="90">
        <f>'04 Operating Model'!AW$81*'01 Major Assumptions'!$D$105*(1+'01 Major Assumptions'!$D$23)^'02 Oil Price Analysis'!AW$57</f>
        <v>0</v>
      </c>
      <c r="AX9" s="90">
        <f>'04 Operating Model'!AX$81*'01 Major Assumptions'!$D$105*(1+'01 Major Assumptions'!$D$23)^'02 Oil Price Analysis'!AX$57</f>
        <v>0</v>
      </c>
      <c r="AY9" s="90">
        <f>'04 Operating Model'!AY$81*'01 Major Assumptions'!$D$105*(1+'01 Major Assumptions'!$D$23)^'02 Oil Price Analysis'!AY$57</f>
        <v>0</v>
      </c>
      <c r="AZ9" s="90">
        <f>'04 Operating Model'!AZ$81*'01 Major Assumptions'!$D$105*(1+'01 Major Assumptions'!$D$23)^'02 Oil Price Analysis'!AZ$57</f>
        <v>0</v>
      </c>
      <c r="BA9" s="90">
        <f>'04 Operating Model'!BA$81*'01 Major Assumptions'!$D$105*(1+'01 Major Assumptions'!$D$23)^'02 Oil Price Analysis'!BA$57</f>
        <v>0</v>
      </c>
      <c r="BB9" s="90">
        <f>'04 Operating Model'!BB$81*'01 Major Assumptions'!$D$105*(1+'01 Major Assumptions'!$D$23)^'02 Oil Price Analysis'!BB$57</f>
        <v>0</v>
      </c>
      <c r="BC9" s="90">
        <f>'04 Operating Model'!BC$81*'01 Major Assumptions'!$D$105*(1+'01 Major Assumptions'!$D$23)^'02 Oil Price Analysis'!BC$57</f>
        <v>0</v>
      </c>
      <c r="BD9" s="90">
        <f>'04 Operating Model'!BD$81*'01 Major Assumptions'!$D$105*(1+'01 Major Assumptions'!$D$23)^'02 Oil Price Analysis'!BD$57</f>
        <v>0</v>
      </c>
      <c r="BE9" s="90">
        <f>'04 Operating Model'!BE$81*'01 Major Assumptions'!$D$105*(1+'01 Major Assumptions'!$D$23)^'02 Oil Price Analysis'!BE$57</f>
        <v>0</v>
      </c>
      <c r="BF9" s="90">
        <f>'04 Operating Model'!BF$81*'01 Major Assumptions'!$D$105*(1+'01 Major Assumptions'!$D$23)^'02 Oil Price Analysis'!BF$57</f>
        <v>0</v>
      </c>
      <c r="BG9" s="90">
        <f>'04 Operating Model'!BG$81*'01 Major Assumptions'!$D$105*(1+'01 Major Assumptions'!$D$23)^'02 Oil Price Analysis'!BG$57</f>
        <v>0</v>
      </c>
      <c r="BH9" s="90">
        <f>'04 Operating Model'!BH$81*'01 Major Assumptions'!$D$105*(1+'01 Major Assumptions'!$D$23)^'02 Oil Price Analysis'!BH$57</f>
        <v>0</v>
      </c>
      <c r="BI9" s="90">
        <f>'04 Operating Model'!BI$81*'01 Major Assumptions'!$D$105*(1+'01 Major Assumptions'!$D$23)^'02 Oil Price Analysis'!BI$57</f>
        <v>0</v>
      </c>
      <c r="BJ9" s="90">
        <f>'04 Operating Model'!BJ$81*'01 Major Assumptions'!$D$105*(1+'01 Major Assumptions'!$D$23)^'02 Oil Price Analysis'!BJ$57</f>
        <v>0</v>
      </c>
      <c r="BK9" s="90">
        <f>'04 Operating Model'!BK$81*'01 Major Assumptions'!$D$105*(1+'01 Major Assumptions'!$D$23)^'02 Oil Price Analysis'!BK$57</f>
        <v>0</v>
      </c>
      <c r="BL9" s="90">
        <f>'04 Operating Model'!BL$81*'01 Major Assumptions'!$D$105*(1+'01 Major Assumptions'!$D$23)^'02 Oil Price Analysis'!BL$57</f>
        <v>0</v>
      </c>
      <c r="BM9" s="90">
        <f>'04 Operating Model'!BM$81*'01 Major Assumptions'!$D$105*(1+'01 Major Assumptions'!$D$23)^'02 Oil Price Analysis'!BM$57</f>
        <v>0</v>
      </c>
      <c r="BN9" s="90">
        <f>'04 Operating Model'!BN$81*'01 Major Assumptions'!$D$105*(1+'01 Major Assumptions'!$D$23)^'02 Oil Price Analysis'!BN$57</f>
        <v>0</v>
      </c>
      <c r="BO9" s="90">
        <f>'04 Operating Model'!BO$81*'01 Major Assumptions'!$D$105*(1+'01 Major Assumptions'!$D$23)^'02 Oil Price Analysis'!BO$57</f>
        <v>0</v>
      </c>
    </row>
    <row r="10" spans="1:67">
      <c r="A10" s="11"/>
      <c r="B10" s="11"/>
      <c r="C10" s="11" t="s">
        <v>142</v>
      </c>
      <c r="D10" s="33"/>
      <c r="E10" s="33"/>
      <c r="F10" s="10" t="s">
        <v>13</v>
      </c>
      <c r="G10" s="90">
        <f>'04 Operating Model'!G$82*'01 Major Assumptions'!$D$106*(1+'01 Major Assumptions'!$D$23)^'02 Oil Price Analysis'!G$57</f>
        <v>0</v>
      </c>
      <c r="H10" s="90">
        <f>'04 Operating Model'!H$82*'01 Major Assumptions'!$D$106*(1+'01 Major Assumptions'!$D$23)^'02 Oil Price Analysis'!H$57</f>
        <v>0</v>
      </c>
      <c r="I10" s="90">
        <f>'04 Operating Model'!I$82*'01 Major Assumptions'!$D$106*(1+'01 Major Assumptions'!$D$23)^'02 Oil Price Analysis'!I$57</f>
        <v>0</v>
      </c>
      <c r="J10" s="90">
        <f>'04 Operating Model'!J$82*'01 Major Assumptions'!$D$106*(1+'01 Major Assumptions'!$D$23)^'02 Oil Price Analysis'!J$57</f>
        <v>0</v>
      </c>
      <c r="K10" s="90">
        <f>'04 Operating Model'!K$82*'01 Major Assumptions'!$D$106*(1+'01 Major Assumptions'!$D$23)^'02 Oil Price Analysis'!K$57</f>
        <v>0</v>
      </c>
      <c r="L10" s="90">
        <f>'04 Operating Model'!L$82*'01 Major Assumptions'!$D$106*(1+'01 Major Assumptions'!$D$23)^'02 Oil Price Analysis'!L$57</f>
        <v>0</v>
      </c>
      <c r="M10" s="90">
        <f>'04 Operating Model'!M$82*'01 Major Assumptions'!$D$106*(1+'01 Major Assumptions'!$D$23)^'02 Oil Price Analysis'!M$57</f>
        <v>0</v>
      </c>
      <c r="N10" s="90">
        <f>'04 Operating Model'!N$82*'01 Major Assumptions'!$D$106*(1+'01 Major Assumptions'!$D$23)^'02 Oil Price Analysis'!N$57</f>
        <v>0</v>
      </c>
      <c r="O10" s="90">
        <f>'04 Operating Model'!O$82*'01 Major Assumptions'!$D$106*(1+'01 Major Assumptions'!$D$23)^'02 Oil Price Analysis'!O$57</f>
        <v>0</v>
      </c>
      <c r="P10" s="90">
        <f>'04 Operating Model'!P$82*'01 Major Assumptions'!$D$106*(1+'01 Major Assumptions'!$D$23)^'02 Oil Price Analysis'!P$57</f>
        <v>0</v>
      </c>
      <c r="Q10" s="90">
        <f>'04 Operating Model'!Q$82*'01 Major Assumptions'!$D$106*(1+'01 Major Assumptions'!$D$23)^'02 Oil Price Analysis'!Q$57</f>
        <v>0</v>
      </c>
      <c r="R10" s="90">
        <f>'04 Operating Model'!R$82*'01 Major Assumptions'!$D$106*(1+'01 Major Assumptions'!$D$23)^'02 Oil Price Analysis'!R$57</f>
        <v>0</v>
      </c>
      <c r="S10" s="90">
        <f>'04 Operating Model'!S$82*'01 Major Assumptions'!$D$106*(1+'01 Major Assumptions'!$D$23)^'02 Oil Price Analysis'!S$57</f>
        <v>0</v>
      </c>
      <c r="T10" s="90">
        <f>'04 Operating Model'!T$82*'01 Major Assumptions'!$D$106*(1+'01 Major Assumptions'!$D$23)^'02 Oil Price Analysis'!T$57</f>
        <v>0</v>
      </c>
      <c r="U10" s="90">
        <f>'04 Operating Model'!U$82*'01 Major Assumptions'!$D$106*(1+'01 Major Assumptions'!$D$23)^'02 Oil Price Analysis'!U$57</f>
        <v>0</v>
      </c>
      <c r="V10" s="90">
        <f>'04 Operating Model'!V$82*'01 Major Assumptions'!$D$106*(1+'01 Major Assumptions'!$D$23)^'02 Oil Price Analysis'!V$57</f>
        <v>0</v>
      </c>
      <c r="W10" s="90">
        <f>'04 Operating Model'!W$82*'01 Major Assumptions'!$D$106*(1+'01 Major Assumptions'!$D$23)^'02 Oil Price Analysis'!W$57</f>
        <v>0</v>
      </c>
      <c r="X10" s="90">
        <f>'04 Operating Model'!X$82*'01 Major Assumptions'!$D$106*(1+'01 Major Assumptions'!$D$23)^'02 Oil Price Analysis'!X$57</f>
        <v>0</v>
      </c>
      <c r="Y10" s="90">
        <f>'04 Operating Model'!Y$82*'01 Major Assumptions'!$D$106*(1+'01 Major Assumptions'!$D$23)^'02 Oil Price Analysis'!Y$57</f>
        <v>0</v>
      </c>
      <c r="Z10" s="90">
        <f>'04 Operating Model'!Z$82*'01 Major Assumptions'!$D$106*(1+'01 Major Assumptions'!$D$23)^'02 Oil Price Analysis'!Z$57</f>
        <v>0</v>
      </c>
      <c r="AA10" s="90">
        <f>'04 Operating Model'!AA$82*'01 Major Assumptions'!$D$106*(1+'01 Major Assumptions'!$D$23)^'02 Oil Price Analysis'!AA$57</f>
        <v>0</v>
      </c>
      <c r="AB10" s="90">
        <f>'04 Operating Model'!AB$82*'01 Major Assumptions'!$D$106*(1+'01 Major Assumptions'!$D$23)^'02 Oil Price Analysis'!AB$57</f>
        <v>145048.91939999998</v>
      </c>
      <c r="AC10" s="90">
        <f>'04 Operating Model'!AC$82*'01 Major Assumptions'!$D$106*(1+'01 Major Assumptions'!$D$23)^'02 Oil Price Analysis'!AC$57</f>
        <v>192189.81820499993</v>
      </c>
      <c r="AD10" s="90">
        <f>'04 Operating Model'!AD$82*'01 Major Assumptions'!$D$106*(1+'01 Major Assumptions'!$D$23)^'02 Oil Price Analysis'!AD$57</f>
        <v>239330.71700999999</v>
      </c>
      <c r="AE10" s="90">
        <f>'04 Operating Model'!AE$82*'01 Major Assumptions'!$D$106*(1+'01 Major Assumptions'!$D$23)^'02 Oil Price Analysis'!AE$57</f>
        <v>293060.46297874511</v>
      </c>
      <c r="AF10" s="90">
        <f>'04 Operating Model'!AF$82*'01 Major Assumptions'!$D$106*(1+'01 Major Assumptions'!$D$23)^'02 Oil Price Analysis'!AF$57</f>
        <v>341285.60245625995</v>
      </c>
      <c r="AG10" s="90">
        <f>'04 Operating Model'!AG$82*'01 Major Assumptions'!$D$106*(1+'01 Major Assumptions'!$D$23)^'02 Oil Price Analysis'!AG$57</f>
        <v>389510.7419337749</v>
      </c>
      <c r="AH10" s="90">
        <f>'04 Operating Model'!AH$82*'01 Major Assumptions'!$D$106*(1+'01 Major Assumptions'!$D$23)^'02 Oil Price Analysis'!AH$57</f>
        <v>437735.88141128985</v>
      </c>
      <c r="AI10" s="90">
        <f>'04 Operating Model'!AI$82*'01 Major Assumptions'!$D$106*(1+'01 Major Assumptions'!$D$23)^'02 Oil Price Analysis'!AI$57</f>
        <v>485961.02088880492</v>
      </c>
      <c r="AJ10" s="90">
        <f>'04 Operating Model'!AJ$82*'01 Major Assumptions'!$D$106*(1+'01 Major Assumptions'!$D$23)^'02 Oil Price Analysis'!AJ$57</f>
        <v>534186.16036631993</v>
      </c>
      <c r="AK10" s="90">
        <f>'04 Operating Model'!AK$82*'01 Major Assumptions'!$D$106*(1+'01 Major Assumptions'!$D$23)^'02 Oil Price Analysis'!AK$57</f>
        <v>582411.29984383495</v>
      </c>
      <c r="AL10" s="90">
        <f>'04 Operating Model'!AL$82*'01 Major Assumptions'!$D$106*(1+'01 Major Assumptions'!$D$23)^'02 Oil Price Analysis'!AL$57</f>
        <v>630636.43932134984</v>
      </c>
      <c r="AM10" s="90">
        <f>'04 Operating Model'!AM$82*'01 Major Assumptions'!$D$106*(1+'01 Major Assumptions'!$D$23)^'02 Oil Price Analysis'!AM$57</f>
        <v>678861.57879886497</v>
      </c>
      <c r="AN10" s="90">
        <f>'04 Operating Model'!AN$82*'01 Major Assumptions'!$D$106*(1+'01 Major Assumptions'!$D$23)^'02 Oil Price Analysis'!AN$57</f>
        <v>727086.71827637975</v>
      </c>
      <c r="AO10" s="90">
        <f>'04 Operating Model'!AO$82*'01 Major Assumptions'!$D$106*(1+'01 Major Assumptions'!$D$23)^'02 Oil Price Analysis'!AO$57</f>
        <v>727086.71827637975</v>
      </c>
      <c r="AP10" s="90">
        <f>'04 Operating Model'!AP$82*'01 Major Assumptions'!$D$106*(1+'01 Major Assumptions'!$D$23)^'02 Oil Price Analysis'!AP$57</f>
        <v>727086.71827637975</v>
      </c>
      <c r="AQ10" s="90">
        <f>'04 Operating Model'!AQ$82*'01 Major Assumptions'!$D$106*(1+'01 Major Assumptions'!$D$23)^'02 Oil Price Analysis'!AQ$57</f>
        <v>743809.71279673639</v>
      </c>
      <c r="AR10" s="90">
        <f>'04 Operating Model'!AR$82*'01 Major Assumptions'!$D$106*(1+'01 Major Assumptions'!$D$23)^'02 Oil Price Analysis'!AR$57</f>
        <v>743809.71279673639</v>
      </c>
      <c r="AS10" s="90">
        <f>'04 Operating Model'!AS$82*'01 Major Assumptions'!$D$106*(1+'01 Major Assumptions'!$D$23)^'02 Oil Price Analysis'!AS$57</f>
        <v>743809.71279673639</v>
      </c>
      <c r="AT10" s="90">
        <f>'04 Operating Model'!AT$82*'01 Major Assumptions'!$D$106*(1+'01 Major Assumptions'!$D$23)^'02 Oil Price Analysis'!AT$57</f>
        <v>743809.71279673639</v>
      </c>
      <c r="AU10" s="90">
        <f>'04 Operating Model'!AU$82*'01 Major Assumptions'!$D$106*(1+'01 Major Assumptions'!$D$23)^'02 Oil Price Analysis'!AU$57</f>
        <v>743809.71279673639</v>
      </c>
      <c r="AV10" s="90">
        <f>'04 Operating Model'!AV$82*'01 Major Assumptions'!$D$106*(1+'01 Major Assumptions'!$D$23)^'02 Oil Price Analysis'!AV$57</f>
        <v>743809.71279673639</v>
      </c>
      <c r="AW10" s="90">
        <f>'04 Operating Model'!AW$82*'01 Major Assumptions'!$D$106*(1+'01 Major Assumptions'!$D$23)^'02 Oil Price Analysis'!AW$57</f>
        <v>743809.71279673639</v>
      </c>
      <c r="AX10" s="90">
        <f>'04 Operating Model'!AX$82*'01 Major Assumptions'!$D$106*(1+'01 Major Assumptions'!$D$23)^'02 Oil Price Analysis'!AX$57</f>
        <v>743809.71279673639</v>
      </c>
      <c r="AY10" s="90">
        <f>'04 Operating Model'!AY$82*'01 Major Assumptions'!$D$106*(1+'01 Major Assumptions'!$D$23)^'02 Oil Price Analysis'!AY$57</f>
        <v>743809.71279673639</v>
      </c>
      <c r="AZ10" s="90">
        <f>'04 Operating Model'!AZ$82*'01 Major Assumptions'!$D$106*(1+'01 Major Assumptions'!$D$23)^'02 Oil Price Analysis'!AZ$57</f>
        <v>743809.71279673639</v>
      </c>
      <c r="BA10" s="90">
        <f>'04 Operating Model'!BA$82*'01 Major Assumptions'!$D$106*(1+'01 Major Assumptions'!$D$23)^'02 Oil Price Analysis'!BA$57</f>
        <v>743809.71279673639</v>
      </c>
      <c r="BB10" s="90">
        <f>'04 Operating Model'!BB$82*'01 Major Assumptions'!$D$106*(1+'01 Major Assumptions'!$D$23)^'02 Oil Price Analysis'!BB$57</f>
        <v>743809.71279673639</v>
      </c>
      <c r="BC10" s="90">
        <f>'04 Operating Model'!BC$82*'01 Major Assumptions'!$D$106*(1+'01 Major Assumptions'!$D$23)^'02 Oil Price Analysis'!BC$57</f>
        <v>760917.3361910613</v>
      </c>
      <c r="BD10" s="90">
        <f>'04 Operating Model'!BD$82*'01 Major Assumptions'!$D$106*(1+'01 Major Assumptions'!$D$23)^'02 Oil Price Analysis'!BD$57</f>
        <v>760917.3361910613</v>
      </c>
      <c r="BE10" s="90">
        <f>'04 Operating Model'!BE$82*'01 Major Assumptions'!$D$106*(1+'01 Major Assumptions'!$D$23)^'02 Oil Price Analysis'!BE$57</f>
        <v>760917.3361910613</v>
      </c>
      <c r="BF10" s="90">
        <f>'04 Operating Model'!BF$82*'01 Major Assumptions'!$D$106*(1+'01 Major Assumptions'!$D$23)^'02 Oil Price Analysis'!BF$57</f>
        <v>760917.3361910613</v>
      </c>
      <c r="BG10" s="90">
        <f>'04 Operating Model'!BG$82*'01 Major Assumptions'!$D$106*(1+'01 Major Assumptions'!$D$23)^'02 Oil Price Analysis'!BG$57</f>
        <v>760917.3361910613</v>
      </c>
      <c r="BH10" s="90">
        <f>'04 Operating Model'!BH$82*'01 Major Assumptions'!$D$106*(1+'01 Major Assumptions'!$D$23)^'02 Oil Price Analysis'!BH$57</f>
        <v>760917.3361910613</v>
      </c>
      <c r="BI10" s="90">
        <f>'04 Operating Model'!BI$82*'01 Major Assumptions'!$D$106*(1+'01 Major Assumptions'!$D$23)^'02 Oil Price Analysis'!BI$57</f>
        <v>9341021.219081467</v>
      </c>
      <c r="BJ10" s="90">
        <f>'04 Operating Model'!BJ$82*'01 Major Assumptions'!$D$106*(1+'01 Major Assumptions'!$D$23)^'02 Oil Price Analysis'!BJ$57</f>
        <v>9555864.7071203422</v>
      </c>
      <c r="BK10" s="90">
        <f>'04 Operating Model'!BK$82*'01 Major Assumptions'!$D$106*(1+'01 Major Assumptions'!$D$23)^'02 Oil Price Analysis'!BK$57</f>
        <v>9775649.5953841079</v>
      </c>
      <c r="BL10" s="90">
        <f>'04 Operating Model'!BL$82*'01 Major Assumptions'!$D$106*(1+'01 Major Assumptions'!$D$23)^'02 Oil Price Analysis'!BL$57</f>
        <v>10000489.536077941</v>
      </c>
      <c r="BM10" s="90">
        <f>'04 Operating Model'!BM$82*'01 Major Assumptions'!$D$106*(1+'01 Major Assumptions'!$D$23)^'02 Oil Price Analysis'!BM$57</f>
        <v>10230500.795407733</v>
      </c>
      <c r="BN10" s="90">
        <f>'04 Operating Model'!BN$82*'01 Major Assumptions'!$D$106*(1+'01 Major Assumptions'!$D$23)^'02 Oil Price Analysis'!BN$57</f>
        <v>10465802.31370211</v>
      </c>
      <c r="BO10" s="90">
        <f>'04 Operating Model'!BO$82*'01 Major Assumptions'!$D$106*(1+'01 Major Assumptions'!$D$23)^'02 Oil Price Analysis'!BO$57</f>
        <v>10706515.766917259</v>
      </c>
    </row>
    <row r="11" spans="1:67">
      <c r="A11" s="11"/>
      <c r="B11" s="11"/>
      <c r="C11" s="11" t="s">
        <v>138</v>
      </c>
      <c r="D11" s="33"/>
      <c r="E11" s="33"/>
      <c r="F11" s="10" t="s">
        <v>13</v>
      </c>
      <c r="G11" s="90">
        <f>'04 Operating Model'!G$49*'01 Major Assumptions'!$D$103*(1+'01 Major Assumptions'!$D$24)^'02 Oil Price Analysis'!G$57</f>
        <v>0</v>
      </c>
      <c r="H11" s="90">
        <f>'04 Operating Model'!H$49*'01 Major Assumptions'!$D$103*(1+'01 Major Assumptions'!$D$24)^'02 Oil Price Analysis'!H$57</f>
        <v>0</v>
      </c>
      <c r="I11" s="90">
        <f>'04 Operating Model'!I$49*'01 Major Assumptions'!$D$103*(1+'01 Major Assumptions'!$D$24)^'02 Oil Price Analysis'!I$57</f>
        <v>0</v>
      </c>
      <c r="J11" s="90">
        <f>'04 Operating Model'!J$49*'01 Major Assumptions'!$D$103*(1+'01 Major Assumptions'!$D$24)^'02 Oil Price Analysis'!J$57</f>
        <v>0</v>
      </c>
      <c r="K11" s="90">
        <f>'04 Operating Model'!K$49*'01 Major Assumptions'!$D$103*(1+'01 Major Assumptions'!$D$24)^'02 Oil Price Analysis'!K$57</f>
        <v>0</v>
      </c>
      <c r="L11" s="90">
        <f>'04 Operating Model'!L$49*'01 Major Assumptions'!$D$103*(1+'01 Major Assumptions'!$D$24)^'02 Oil Price Analysis'!L$57</f>
        <v>0</v>
      </c>
      <c r="M11" s="90">
        <f>'04 Operating Model'!M$49*'01 Major Assumptions'!$D$103*(1+'01 Major Assumptions'!$D$24)^'02 Oil Price Analysis'!M$57</f>
        <v>0</v>
      </c>
      <c r="N11" s="90">
        <f>'04 Operating Model'!N$49*'01 Major Assumptions'!$D$103*(1+'01 Major Assumptions'!$D$24)^'02 Oil Price Analysis'!N$57</f>
        <v>0</v>
      </c>
      <c r="O11" s="90">
        <f>'04 Operating Model'!O$49*'01 Major Assumptions'!$D$103*(1+'01 Major Assumptions'!$D$24)^'02 Oil Price Analysis'!O$57</f>
        <v>0</v>
      </c>
      <c r="P11" s="90">
        <f>'04 Operating Model'!P$49*'01 Major Assumptions'!$D$103*(1+'01 Major Assumptions'!$D$24)^'02 Oil Price Analysis'!P$57</f>
        <v>0</v>
      </c>
      <c r="Q11" s="90">
        <f>'04 Operating Model'!Q$49*'01 Major Assumptions'!$D$103*(1+'01 Major Assumptions'!$D$24)^'02 Oil Price Analysis'!Q$57</f>
        <v>0</v>
      </c>
      <c r="R11" s="90">
        <f>'04 Operating Model'!R$49*'01 Major Assumptions'!$D$103*(1+'01 Major Assumptions'!$D$24)^'02 Oil Price Analysis'!R$57</f>
        <v>0</v>
      </c>
      <c r="S11" s="90">
        <f>'04 Operating Model'!S$49*'01 Major Assumptions'!$D$103*(1+'01 Major Assumptions'!$D$24)^'02 Oil Price Analysis'!S$57</f>
        <v>0</v>
      </c>
      <c r="T11" s="90">
        <f>'04 Operating Model'!T$49*'01 Major Assumptions'!$D$103*(1+'01 Major Assumptions'!$D$24)^'02 Oil Price Analysis'!T$57</f>
        <v>0</v>
      </c>
      <c r="U11" s="90">
        <f>'04 Operating Model'!U$49*'01 Major Assumptions'!$D$103*(1+'01 Major Assumptions'!$D$24)^'02 Oil Price Analysis'!U$57</f>
        <v>0</v>
      </c>
      <c r="V11" s="90">
        <f>'04 Operating Model'!V$49*'01 Major Assumptions'!$D$103*(1+'01 Major Assumptions'!$D$24)^'02 Oil Price Analysis'!V$57</f>
        <v>0</v>
      </c>
      <c r="W11" s="90">
        <f>'04 Operating Model'!W$49*'01 Major Assumptions'!$D$103*(1+'01 Major Assumptions'!$D$24)^'02 Oil Price Analysis'!W$57</f>
        <v>0</v>
      </c>
      <c r="X11" s="90">
        <f>'04 Operating Model'!X$49*'01 Major Assumptions'!$D$103*(1+'01 Major Assumptions'!$D$24)^'02 Oil Price Analysis'!X$57</f>
        <v>0</v>
      </c>
      <c r="Y11" s="90">
        <f>'04 Operating Model'!Y$49*'01 Major Assumptions'!$D$103*(1+'01 Major Assumptions'!$D$24)^'02 Oil Price Analysis'!Y$57</f>
        <v>0</v>
      </c>
      <c r="Z11" s="90">
        <f>'04 Operating Model'!Z$49*'01 Major Assumptions'!$D$103*(1+'01 Major Assumptions'!$D$24)^'02 Oil Price Analysis'!Z$57</f>
        <v>0</v>
      </c>
      <c r="AA11" s="90">
        <f>'04 Operating Model'!AA$49*'01 Major Assumptions'!$D$103*(1+'01 Major Assumptions'!$D$24)^'02 Oil Price Analysis'!AA$57</f>
        <v>0</v>
      </c>
      <c r="AB11" s="90">
        <f>'04 Operating Model'!AB$49*'01 Major Assumptions'!$D$103*(1+'01 Major Assumptions'!$D$24)^'02 Oil Price Analysis'!AB$57</f>
        <v>82658.399999999994</v>
      </c>
      <c r="AC11" s="90">
        <f>'04 Operating Model'!AC$49*'01 Major Assumptions'!$D$103*(1+'01 Major Assumptions'!$D$24)^'02 Oil Price Analysis'!AC$57</f>
        <v>109522.37999999999</v>
      </c>
      <c r="AD11" s="90">
        <f>'04 Operating Model'!AD$49*'01 Major Assumptions'!$D$103*(1+'01 Major Assumptions'!$D$24)^'02 Oil Price Analysis'!AD$57</f>
        <v>136386.36000000004</v>
      </c>
      <c r="AE11" s="90">
        <f>'04 Operating Model'!AE$49*'01 Major Assumptions'!$D$103*(1+'01 Major Assumptions'!$D$24)^'02 Oil Price Analysis'!AE$57</f>
        <v>164882.84340000007</v>
      </c>
      <c r="AF11" s="90">
        <f>'04 Operating Model'!AF$49*'01 Major Assumptions'!$D$103*(1+'01 Major Assumptions'!$D$24)^'02 Oil Price Analysis'!AF$57</f>
        <v>192015.46320000003</v>
      </c>
      <c r="AG11" s="90">
        <f>'04 Operating Model'!AG$49*'01 Major Assumptions'!$D$103*(1+'01 Major Assumptions'!$D$24)^'02 Oil Price Analysis'!AG$57</f>
        <v>219148.08300000004</v>
      </c>
      <c r="AH11" s="90">
        <f>'04 Operating Model'!AH$49*'01 Major Assumptions'!$D$103*(1+'01 Major Assumptions'!$D$24)^'02 Oil Price Analysis'!AH$57</f>
        <v>246280.70279999997</v>
      </c>
      <c r="AI11" s="90">
        <f>'04 Operating Model'!AI$49*'01 Major Assumptions'!$D$103*(1+'01 Major Assumptions'!$D$24)^'02 Oil Price Analysis'!AI$57</f>
        <v>273413.32259999996</v>
      </c>
      <c r="AJ11" s="90">
        <f>'04 Operating Model'!AJ$49*'01 Major Assumptions'!$D$103*(1+'01 Major Assumptions'!$D$24)^'02 Oil Price Analysis'!AJ$57</f>
        <v>300545.94240000006</v>
      </c>
      <c r="AK11" s="90">
        <f>'04 Operating Model'!AK$49*'01 Major Assumptions'!$D$103*(1+'01 Major Assumptions'!$D$24)^'02 Oil Price Analysis'!AK$57</f>
        <v>327678.56220000004</v>
      </c>
      <c r="AL11" s="90">
        <f>'04 Operating Model'!AL$49*'01 Major Assumptions'!$D$103*(1+'01 Major Assumptions'!$D$24)^'02 Oil Price Analysis'!AL$57</f>
        <v>354811.18200000003</v>
      </c>
      <c r="AM11" s="90">
        <f>'04 Operating Model'!AM$49*'01 Major Assumptions'!$D$103*(1+'01 Major Assumptions'!$D$24)^'02 Oil Price Analysis'!AM$57</f>
        <v>381943.80180000007</v>
      </c>
      <c r="AN11" s="90">
        <f>'04 Operating Model'!AN$49*'01 Major Assumptions'!$D$103*(1+'01 Major Assumptions'!$D$24)^'02 Oil Price Analysis'!AN$57</f>
        <v>409076.42159999994</v>
      </c>
      <c r="AO11" s="90">
        <f>'04 Operating Model'!AO$49*'01 Major Assumptions'!$D$103*(1+'01 Major Assumptions'!$D$24)^'02 Oil Price Analysis'!AO$57</f>
        <v>409076.42159999994</v>
      </c>
      <c r="AP11" s="90">
        <f>'04 Operating Model'!AP$49*'01 Major Assumptions'!$D$103*(1+'01 Major Assumptions'!$D$24)^'02 Oil Price Analysis'!AP$57</f>
        <v>409076.42159999994</v>
      </c>
      <c r="AQ11" s="90">
        <f>'04 Operating Model'!AQ$49*'01 Major Assumptions'!$D$103*(1+'01 Major Assumptions'!$D$24)^'02 Oil Price Analysis'!AQ$57</f>
        <v>413167.18581599992</v>
      </c>
      <c r="AR11" s="90">
        <f>'04 Operating Model'!AR$49*'01 Major Assumptions'!$D$103*(1+'01 Major Assumptions'!$D$24)^'02 Oil Price Analysis'!AR$57</f>
        <v>413167.18581599992</v>
      </c>
      <c r="AS11" s="90">
        <f>'04 Operating Model'!AS$49*'01 Major Assumptions'!$D$103*(1+'01 Major Assumptions'!$D$24)^'02 Oil Price Analysis'!AS$57</f>
        <v>413167.18581599992</v>
      </c>
      <c r="AT11" s="90">
        <f>'04 Operating Model'!AT$49*'01 Major Assumptions'!$D$103*(1+'01 Major Assumptions'!$D$24)^'02 Oil Price Analysis'!AT$57</f>
        <v>413167.18581599992</v>
      </c>
      <c r="AU11" s="90">
        <f>'04 Operating Model'!AU$49*'01 Major Assumptions'!$D$103*(1+'01 Major Assumptions'!$D$24)^'02 Oil Price Analysis'!AU$57</f>
        <v>413167.18581599992</v>
      </c>
      <c r="AV11" s="90">
        <f>'04 Operating Model'!AV$49*'01 Major Assumptions'!$D$103*(1+'01 Major Assumptions'!$D$24)^'02 Oil Price Analysis'!AV$57</f>
        <v>413167.18581599992</v>
      </c>
      <c r="AW11" s="90">
        <f>'04 Operating Model'!AW$49*'01 Major Assumptions'!$D$103*(1+'01 Major Assumptions'!$D$24)^'02 Oil Price Analysis'!AW$57</f>
        <v>413167.18581599992</v>
      </c>
      <c r="AX11" s="90">
        <f>'04 Operating Model'!AX$49*'01 Major Assumptions'!$D$103*(1+'01 Major Assumptions'!$D$24)^'02 Oil Price Analysis'!AX$57</f>
        <v>413167.18581599992</v>
      </c>
      <c r="AY11" s="90">
        <f>'04 Operating Model'!AY$49*'01 Major Assumptions'!$D$103*(1+'01 Major Assumptions'!$D$24)^'02 Oil Price Analysis'!AY$57</f>
        <v>413167.18581599992</v>
      </c>
      <c r="AZ11" s="90">
        <f>'04 Operating Model'!AZ$49*'01 Major Assumptions'!$D$103*(1+'01 Major Assumptions'!$D$24)^'02 Oil Price Analysis'!AZ$57</f>
        <v>413167.18581599992</v>
      </c>
      <c r="BA11" s="90">
        <f>'04 Operating Model'!BA$49*'01 Major Assumptions'!$D$103*(1+'01 Major Assumptions'!$D$24)^'02 Oil Price Analysis'!BA$57</f>
        <v>413167.18581599992</v>
      </c>
      <c r="BB11" s="90">
        <f>'04 Operating Model'!BB$49*'01 Major Assumptions'!$D$103*(1+'01 Major Assumptions'!$D$24)^'02 Oil Price Analysis'!BB$57</f>
        <v>413167.18581599992</v>
      </c>
      <c r="BC11" s="90">
        <f>'04 Operating Model'!BC$49*'01 Major Assumptions'!$D$103*(1+'01 Major Assumptions'!$D$24)^'02 Oil Price Analysis'!BC$57</f>
        <v>417298.85767415992</v>
      </c>
      <c r="BD11" s="90">
        <f>'04 Operating Model'!BD$49*'01 Major Assumptions'!$D$103*(1+'01 Major Assumptions'!$D$24)^'02 Oil Price Analysis'!BD$57</f>
        <v>417298.85767415992</v>
      </c>
      <c r="BE11" s="90">
        <f>'04 Operating Model'!BE$49*'01 Major Assumptions'!$D$103*(1+'01 Major Assumptions'!$D$24)^'02 Oil Price Analysis'!BE$57</f>
        <v>417298.85767415992</v>
      </c>
      <c r="BF11" s="90">
        <f>'04 Operating Model'!BF$49*'01 Major Assumptions'!$D$103*(1+'01 Major Assumptions'!$D$24)^'02 Oil Price Analysis'!BF$57</f>
        <v>417298.85767415992</v>
      </c>
      <c r="BG11" s="90">
        <f>'04 Operating Model'!BG$49*'01 Major Assumptions'!$D$103*(1+'01 Major Assumptions'!$D$24)^'02 Oil Price Analysis'!BG$57</f>
        <v>417298.85767415992</v>
      </c>
      <c r="BH11" s="90">
        <f>'04 Operating Model'!BH$49*'01 Major Assumptions'!$D$103*(1+'01 Major Assumptions'!$D$24)^'02 Oil Price Analysis'!BH$57</f>
        <v>417298.85767415992</v>
      </c>
      <c r="BI11" s="90">
        <f>'04 Operating Model'!BI$49*'01 Major Assumptions'!$D$103*(1+'01 Major Assumptions'!$D$24)^'02 Oil Price Analysis'!BI$57</f>
        <v>5057662.1550108185</v>
      </c>
      <c r="BJ11" s="90">
        <f>'04 Operating Model'!BJ$49*'01 Major Assumptions'!$D$103*(1+'01 Major Assumptions'!$D$24)^'02 Oil Price Analysis'!BJ$57</f>
        <v>5108238.7765609277</v>
      </c>
      <c r="BK11" s="90">
        <f>'04 Operating Model'!BK$49*'01 Major Assumptions'!$D$103*(1+'01 Major Assumptions'!$D$24)^'02 Oil Price Analysis'!BK$57</f>
        <v>5159321.1643265355</v>
      </c>
      <c r="BL11" s="90">
        <f>'04 Operating Model'!BL$49*'01 Major Assumptions'!$D$103*(1+'01 Major Assumptions'!$D$24)^'02 Oil Price Analysis'!BL$57</f>
        <v>5210914.375969803</v>
      </c>
      <c r="BM11" s="90">
        <f>'04 Operating Model'!BM$49*'01 Major Assumptions'!$D$103*(1+'01 Major Assumptions'!$D$24)^'02 Oil Price Analysis'!BM$57</f>
        <v>5263023.5197295006</v>
      </c>
      <c r="BN11" s="90">
        <f>'04 Operating Model'!BN$49*'01 Major Assumptions'!$D$103*(1+'01 Major Assumptions'!$D$24)^'02 Oil Price Analysis'!BN$57</f>
        <v>5315653.7549267961</v>
      </c>
      <c r="BO11" s="90">
        <f>'04 Operating Model'!BO$49*'01 Major Assumptions'!$D$103*(1+'01 Major Assumptions'!$D$24)^'02 Oil Price Analysis'!BO$57</f>
        <v>5368810.2924760627</v>
      </c>
    </row>
    <row r="12" spans="1:67">
      <c r="A12" s="11"/>
      <c r="B12" s="11"/>
      <c r="C12" s="11" t="s">
        <v>143</v>
      </c>
      <c r="D12" s="33"/>
      <c r="E12" s="33"/>
      <c r="F12" s="10" t="s">
        <v>13</v>
      </c>
      <c r="G12" s="90">
        <f>'04 Operating Model'!G$49*'01 Major Assumptions'!$D$108*(1+'01 Major Assumptions'!$D$23)^'02 Oil Price Analysis'!G$57</f>
        <v>0</v>
      </c>
      <c r="H12" s="90">
        <f>'04 Operating Model'!H$49*'01 Major Assumptions'!$D$108*(1+'01 Major Assumptions'!$D$23)^'02 Oil Price Analysis'!H$57</f>
        <v>0</v>
      </c>
      <c r="I12" s="90">
        <f>'04 Operating Model'!I$49*'01 Major Assumptions'!$D$108*(1+'01 Major Assumptions'!$D$23)^'02 Oil Price Analysis'!I$57</f>
        <v>0</v>
      </c>
      <c r="J12" s="90">
        <f>'04 Operating Model'!J$49*'01 Major Assumptions'!$D$108*(1+'01 Major Assumptions'!$D$23)^'02 Oil Price Analysis'!J$57</f>
        <v>0</v>
      </c>
      <c r="K12" s="90">
        <f>'04 Operating Model'!K$49*'01 Major Assumptions'!$D$108*(1+'01 Major Assumptions'!$D$23)^'02 Oil Price Analysis'!K$57</f>
        <v>0</v>
      </c>
      <c r="L12" s="90">
        <f>'04 Operating Model'!L$49*'01 Major Assumptions'!$D$108*(1+'01 Major Assumptions'!$D$23)^'02 Oil Price Analysis'!L$57</f>
        <v>0</v>
      </c>
      <c r="M12" s="90">
        <f>'04 Operating Model'!M$49*'01 Major Assumptions'!$D$108*(1+'01 Major Assumptions'!$D$23)^'02 Oil Price Analysis'!M$57</f>
        <v>0</v>
      </c>
      <c r="N12" s="90">
        <f>'04 Operating Model'!N$49*'01 Major Assumptions'!$D$108*(1+'01 Major Assumptions'!$D$23)^'02 Oil Price Analysis'!N$57</f>
        <v>0</v>
      </c>
      <c r="O12" s="90">
        <f>'04 Operating Model'!O$49*'01 Major Assumptions'!$D$108*(1+'01 Major Assumptions'!$D$23)^'02 Oil Price Analysis'!O$57</f>
        <v>0</v>
      </c>
      <c r="P12" s="90">
        <f>'04 Operating Model'!P$49*'01 Major Assumptions'!$D$108*(1+'01 Major Assumptions'!$D$23)^'02 Oil Price Analysis'!P$57</f>
        <v>0</v>
      </c>
      <c r="Q12" s="90">
        <f>'04 Operating Model'!Q$49*'01 Major Assumptions'!$D$108*(1+'01 Major Assumptions'!$D$23)^'02 Oil Price Analysis'!Q$57</f>
        <v>0</v>
      </c>
      <c r="R12" s="90">
        <f>'04 Operating Model'!R$49*'01 Major Assumptions'!$D$108*(1+'01 Major Assumptions'!$D$23)^'02 Oil Price Analysis'!R$57</f>
        <v>0</v>
      </c>
      <c r="S12" s="90">
        <f>'04 Operating Model'!S$49*'01 Major Assumptions'!$D$108*(1+'01 Major Assumptions'!$D$23)^'02 Oil Price Analysis'!S$57</f>
        <v>0</v>
      </c>
      <c r="T12" s="90">
        <f>'04 Operating Model'!T$49*'01 Major Assumptions'!$D$108*(1+'01 Major Assumptions'!$D$23)^'02 Oil Price Analysis'!T$57</f>
        <v>0</v>
      </c>
      <c r="U12" s="90">
        <f>'04 Operating Model'!U$49*'01 Major Assumptions'!$D$108*(1+'01 Major Assumptions'!$D$23)^'02 Oil Price Analysis'!U$57</f>
        <v>0</v>
      </c>
      <c r="V12" s="90">
        <f>'04 Operating Model'!V$49*'01 Major Assumptions'!$D$108*(1+'01 Major Assumptions'!$D$23)^'02 Oil Price Analysis'!V$57</f>
        <v>0</v>
      </c>
      <c r="W12" s="90">
        <f>'04 Operating Model'!W$49*'01 Major Assumptions'!$D$108*(1+'01 Major Assumptions'!$D$23)^'02 Oil Price Analysis'!W$57</f>
        <v>0</v>
      </c>
      <c r="X12" s="90">
        <f>'04 Operating Model'!X$49*'01 Major Assumptions'!$D$108*(1+'01 Major Assumptions'!$D$23)^'02 Oil Price Analysis'!X$57</f>
        <v>0</v>
      </c>
      <c r="Y12" s="90">
        <f>'04 Operating Model'!Y$49*'01 Major Assumptions'!$D$108*(1+'01 Major Assumptions'!$D$23)^'02 Oil Price Analysis'!Y$57</f>
        <v>0</v>
      </c>
      <c r="Z12" s="90">
        <f>'04 Operating Model'!Z$49*'01 Major Assumptions'!$D$108*(1+'01 Major Assumptions'!$D$23)^'02 Oil Price Analysis'!Z$57</f>
        <v>0</v>
      </c>
      <c r="AA12" s="90">
        <f>'04 Operating Model'!AA$49*'01 Major Assumptions'!$D$108*(1+'01 Major Assumptions'!$D$23)^'02 Oil Price Analysis'!AA$57</f>
        <v>0</v>
      </c>
      <c r="AB12" s="90">
        <f>'04 Operating Model'!AB$49*'01 Major Assumptions'!$D$108*(1+'01 Major Assumptions'!$D$23)^'02 Oil Price Analysis'!AB$57</f>
        <v>27907.439999999999</v>
      </c>
      <c r="AC12" s="90">
        <f>'04 Operating Model'!AC$49*'01 Major Assumptions'!$D$108*(1+'01 Major Assumptions'!$D$23)^'02 Oil Price Analysis'!AC$57</f>
        <v>36977.357999999993</v>
      </c>
      <c r="AD12" s="90">
        <f>'04 Operating Model'!AD$49*'01 Major Assumptions'!$D$108*(1+'01 Major Assumptions'!$D$23)^'02 Oil Price Analysis'!AD$57</f>
        <v>46047.276000000005</v>
      </c>
      <c r="AE12" s="90">
        <f>'04 Operating Model'!AE$49*'01 Major Assumptions'!$D$108*(1+'01 Major Assumptions'!$D$23)^'02 Oil Price Analysis'!AE$57</f>
        <v>56384.889462000014</v>
      </c>
      <c r="AF12" s="90">
        <f>'04 Operating Model'!AF$49*'01 Major Assumptions'!$D$108*(1+'01 Major Assumptions'!$D$23)^'02 Oil Price Analysis'!AF$57</f>
        <v>65663.415575999999</v>
      </c>
      <c r="AG12" s="90">
        <f>'04 Operating Model'!AG$49*'01 Major Assumptions'!$D$108*(1+'01 Major Assumptions'!$D$23)^'02 Oil Price Analysis'!AG$57</f>
        <v>74941.941690000007</v>
      </c>
      <c r="AH12" s="90">
        <f>'04 Operating Model'!AH$49*'01 Major Assumptions'!$D$108*(1+'01 Major Assumptions'!$D$23)^'02 Oil Price Analysis'!AH$57</f>
        <v>84220.467803999985</v>
      </c>
      <c r="AI12" s="90">
        <f>'04 Operating Model'!AI$49*'01 Major Assumptions'!$D$108*(1+'01 Major Assumptions'!$D$23)^'02 Oil Price Analysis'!AI$57</f>
        <v>93498.993917999964</v>
      </c>
      <c r="AJ12" s="90">
        <f>'04 Operating Model'!AJ$49*'01 Major Assumptions'!$D$108*(1+'01 Major Assumptions'!$D$23)^'02 Oil Price Analysis'!AJ$57</f>
        <v>102777.520032</v>
      </c>
      <c r="AK12" s="90">
        <f>'04 Operating Model'!AK$49*'01 Major Assumptions'!$D$108*(1+'01 Major Assumptions'!$D$23)^'02 Oil Price Analysis'!AK$57</f>
        <v>112056.04614599999</v>
      </c>
      <c r="AL12" s="90">
        <f>'04 Operating Model'!AL$49*'01 Major Assumptions'!$D$108*(1+'01 Major Assumptions'!$D$23)^'02 Oil Price Analysis'!AL$57</f>
        <v>121334.57225999999</v>
      </c>
      <c r="AM12" s="90">
        <f>'04 Operating Model'!AM$49*'01 Major Assumptions'!$D$108*(1+'01 Major Assumptions'!$D$23)^'02 Oil Price Analysis'!AM$57</f>
        <v>130613.09837400001</v>
      </c>
      <c r="AN12" s="90">
        <f>'04 Operating Model'!AN$49*'01 Major Assumptions'!$D$108*(1+'01 Major Assumptions'!$D$23)^'02 Oil Price Analysis'!AN$57</f>
        <v>139891.62448799997</v>
      </c>
      <c r="AO12" s="90">
        <f>'04 Operating Model'!AO$49*'01 Major Assumptions'!$D$108*(1+'01 Major Assumptions'!$D$23)^'02 Oil Price Analysis'!AO$57</f>
        <v>139891.62448799997</v>
      </c>
      <c r="AP12" s="90">
        <f>'04 Operating Model'!AP$49*'01 Major Assumptions'!$D$108*(1+'01 Major Assumptions'!$D$23)^'02 Oil Price Analysis'!AP$57</f>
        <v>139891.62448799997</v>
      </c>
      <c r="AQ12" s="90">
        <f>'04 Operating Model'!AQ$49*'01 Major Assumptions'!$D$108*(1+'01 Major Assumptions'!$D$23)^'02 Oil Price Analysis'!AQ$57</f>
        <v>143109.13185122397</v>
      </c>
      <c r="AR12" s="90">
        <f>'04 Operating Model'!AR$49*'01 Major Assumptions'!$D$108*(1+'01 Major Assumptions'!$D$23)^'02 Oil Price Analysis'!AR$57</f>
        <v>143109.13185122397</v>
      </c>
      <c r="AS12" s="90">
        <f>'04 Operating Model'!AS$49*'01 Major Assumptions'!$D$108*(1+'01 Major Assumptions'!$D$23)^'02 Oil Price Analysis'!AS$57</f>
        <v>143109.13185122397</v>
      </c>
      <c r="AT12" s="90">
        <f>'04 Operating Model'!AT$49*'01 Major Assumptions'!$D$108*(1+'01 Major Assumptions'!$D$23)^'02 Oil Price Analysis'!AT$57</f>
        <v>143109.13185122397</v>
      </c>
      <c r="AU12" s="90">
        <f>'04 Operating Model'!AU$49*'01 Major Assumptions'!$D$108*(1+'01 Major Assumptions'!$D$23)^'02 Oil Price Analysis'!AU$57</f>
        <v>143109.13185122397</v>
      </c>
      <c r="AV12" s="90">
        <f>'04 Operating Model'!AV$49*'01 Major Assumptions'!$D$108*(1+'01 Major Assumptions'!$D$23)^'02 Oil Price Analysis'!AV$57</f>
        <v>143109.13185122397</v>
      </c>
      <c r="AW12" s="90">
        <f>'04 Operating Model'!AW$49*'01 Major Assumptions'!$D$108*(1+'01 Major Assumptions'!$D$23)^'02 Oil Price Analysis'!AW$57</f>
        <v>143109.13185122397</v>
      </c>
      <c r="AX12" s="90">
        <f>'04 Operating Model'!AX$49*'01 Major Assumptions'!$D$108*(1+'01 Major Assumptions'!$D$23)^'02 Oil Price Analysis'!AX$57</f>
        <v>143109.13185122397</v>
      </c>
      <c r="AY12" s="90">
        <f>'04 Operating Model'!AY$49*'01 Major Assumptions'!$D$108*(1+'01 Major Assumptions'!$D$23)^'02 Oil Price Analysis'!AY$57</f>
        <v>143109.13185122397</v>
      </c>
      <c r="AZ12" s="90">
        <f>'04 Operating Model'!AZ$49*'01 Major Assumptions'!$D$108*(1+'01 Major Assumptions'!$D$23)^'02 Oil Price Analysis'!AZ$57</f>
        <v>143109.13185122397</v>
      </c>
      <c r="BA12" s="90">
        <f>'04 Operating Model'!BA$49*'01 Major Assumptions'!$D$108*(1+'01 Major Assumptions'!$D$23)^'02 Oil Price Analysis'!BA$57</f>
        <v>143109.13185122397</v>
      </c>
      <c r="BB12" s="90">
        <f>'04 Operating Model'!BB$49*'01 Major Assumptions'!$D$108*(1+'01 Major Assumptions'!$D$23)^'02 Oil Price Analysis'!BB$57</f>
        <v>143109.13185122397</v>
      </c>
      <c r="BC12" s="90">
        <f>'04 Operating Model'!BC$49*'01 Major Assumptions'!$D$108*(1+'01 Major Assumptions'!$D$23)^'02 Oil Price Analysis'!BC$57</f>
        <v>146400.64188380211</v>
      </c>
      <c r="BD12" s="90">
        <f>'04 Operating Model'!BD$49*'01 Major Assumptions'!$D$108*(1+'01 Major Assumptions'!$D$23)^'02 Oil Price Analysis'!BD$57</f>
        <v>146400.64188380211</v>
      </c>
      <c r="BE12" s="90">
        <f>'04 Operating Model'!BE$49*'01 Major Assumptions'!$D$108*(1+'01 Major Assumptions'!$D$23)^'02 Oil Price Analysis'!BE$57</f>
        <v>146400.64188380211</v>
      </c>
      <c r="BF12" s="90">
        <f>'04 Operating Model'!BF$49*'01 Major Assumptions'!$D$108*(1+'01 Major Assumptions'!$D$23)^'02 Oil Price Analysis'!BF$57</f>
        <v>146400.64188380211</v>
      </c>
      <c r="BG12" s="90">
        <f>'04 Operating Model'!BG$49*'01 Major Assumptions'!$D$108*(1+'01 Major Assumptions'!$D$23)^'02 Oil Price Analysis'!BG$57</f>
        <v>146400.64188380211</v>
      </c>
      <c r="BH12" s="90">
        <f>'04 Operating Model'!BH$49*'01 Major Assumptions'!$D$108*(1+'01 Major Assumptions'!$D$23)^'02 Oil Price Analysis'!BH$57</f>
        <v>146400.64188380211</v>
      </c>
      <c r="BI12" s="90">
        <f>'04 Operating Model'!BI$49*'01 Major Assumptions'!$D$108*(1+'01 Major Assumptions'!$D$23)^'02 Oil Price Analysis'!BI$57</f>
        <v>1797214.2797655542</v>
      </c>
      <c r="BJ12" s="90">
        <f>'04 Operating Model'!BJ$49*'01 Major Assumptions'!$D$108*(1+'01 Major Assumptions'!$D$23)^'02 Oil Price Analysis'!BJ$57</f>
        <v>1838550.208200162</v>
      </c>
      <c r="BK12" s="90">
        <f>'04 Operating Model'!BK$49*'01 Major Assumptions'!$D$108*(1+'01 Major Assumptions'!$D$23)^'02 Oil Price Analysis'!BK$57</f>
        <v>1880836.8629887654</v>
      </c>
      <c r="BL12" s="90">
        <f>'04 Operating Model'!BL$49*'01 Major Assumptions'!$D$108*(1+'01 Major Assumptions'!$D$23)^'02 Oil Price Analysis'!BL$57</f>
        <v>1924096.1108375068</v>
      </c>
      <c r="BM12" s="90">
        <f>'04 Operating Model'!BM$49*'01 Major Assumptions'!$D$108*(1+'01 Major Assumptions'!$D$23)^'02 Oil Price Analysis'!BM$57</f>
        <v>1968350.3213867694</v>
      </c>
      <c r="BN12" s="90">
        <f>'04 Operating Model'!BN$49*'01 Major Assumptions'!$D$108*(1+'01 Major Assumptions'!$D$23)^'02 Oil Price Analysis'!BN$57</f>
        <v>2013622.3787786649</v>
      </c>
      <c r="BO12" s="90">
        <f>'04 Operating Model'!BO$49*'01 Major Assumptions'!$D$108*(1+'01 Major Assumptions'!$D$23)^'02 Oil Price Analysis'!BO$57</f>
        <v>2059935.6934905739</v>
      </c>
    </row>
    <row r="13" spans="1:67">
      <c r="A13" s="11"/>
      <c r="B13" s="11" t="s">
        <v>786</v>
      </c>
      <c r="C13" s="11" t="s">
        <v>394</v>
      </c>
      <c r="D13" s="33"/>
      <c r="E13" s="33"/>
      <c r="F13" s="10" t="s">
        <v>13</v>
      </c>
      <c r="G13" s="90">
        <f>('04 Operating Model'!G$66+'04 Operating Model'!G$74)*'01 Major Assumptions'!$D$199*(1+'01 Major Assumptions'!$D$23)^'02 Oil Price Analysis'!G$57</f>
        <v>0</v>
      </c>
      <c r="H13" s="90">
        <f>('04 Operating Model'!H$66+'04 Operating Model'!H$74)*'01 Major Assumptions'!$D$199*(1+'01 Major Assumptions'!$D$23)^'02 Oil Price Analysis'!H$57</f>
        <v>0</v>
      </c>
      <c r="I13" s="90">
        <f>('04 Operating Model'!I$66+'04 Operating Model'!I$74)*'01 Major Assumptions'!$D$199*(1+'01 Major Assumptions'!$D$23)^'02 Oil Price Analysis'!I$57</f>
        <v>0</v>
      </c>
      <c r="J13" s="90">
        <f>('04 Operating Model'!J$66+'04 Operating Model'!J$74)*'01 Major Assumptions'!$D$199*(1+'01 Major Assumptions'!$D$23)^'02 Oil Price Analysis'!J$57</f>
        <v>0</v>
      </c>
      <c r="K13" s="90">
        <f>('04 Operating Model'!K$66+'04 Operating Model'!K$74)*'01 Major Assumptions'!$D$199*(1+'01 Major Assumptions'!$D$23)^'02 Oil Price Analysis'!K$57</f>
        <v>0</v>
      </c>
      <c r="L13" s="90">
        <f>('04 Operating Model'!L$66+'04 Operating Model'!L$74)*'01 Major Assumptions'!$D$199*(1+'01 Major Assumptions'!$D$23)^'02 Oil Price Analysis'!L$57</f>
        <v>0</v>
      </c>
      <c r="M13" s="90">
        <f>('04 Operating Model'!M$66+'04 Operating Model'!M$74)*'01 Major Assumptions'!$D$199*(1+'01 Major Assumptions'!$D$23)^'02 Oil Price Analysis'!M$57</f>
        <v>0</v>
      </c>
      <c r="N13" s="90">
        <f>('04 Operating Model'!N$66+'04 Operating Model'!N$74)*'01 Major Assumptions'!$D$199*(1+'01 Major Assumptions'!$D$23)^'02 Oil Price Analysis'!N$57</f>
        <v>0</v>
      </c>
      <c r="O13" s="90">
        <f>('04 Operating Model'!O$66+'04 Operating Model'!O$74)*'01 Major Assumptions'!$D$199*(1+'01 Major Assumptions'!$D$23)^'02 Oil Price Analysis'!O$57</f>
        <v>0</v>
      </c>
      <c r="P13" s="90">
        <f>('04 Operating Model'!P$66+'04 Operating Model'!P$74)*'01 Major Assumptions'!$D$199*(1+'01 Major Assumptions'!$D$23)^'02 Oil Price Analysis'!P$57</f>
        <v>0</v>
      </c>
      <c r="Q13" s="90">
        <f>('04 Operating Model'!Q$66+'04 Operating Model'!Q$74)*'01 Major Assumptions'!$D$199*(1+'01 Major Assumptions'!$D$23)^'02 Oil Price Analysis'!Q$57</f>
        <v>0</v>
      </c>
      <c r="R13" s="90">
        <f>('04 Operating Model'!R$66+'04 Operating Model'!R$74)*'01 Major Assumptions'!$D$199*(1+'01 Major Assumptions'!$D$23)^'02 Oil Price Analysis'!R$57</f>
        <v>0</v>
      </c>
      <c r="S13" s="90">
        <f>('04 Operating Model'!S$66+'04 Operating Model'!S$74)*'01 Major Assumptions'!$D$199*(1+'01 Major Assumptions'!$D$23)^'02 Oil Price Analysis'!S$57</f>
        <v>0</v>
      </c>
      <c r="T13" s="90">
        <f>('04 Operating Model'!T$66+'04 Operating Model'!T$74)*'01 Major Assumptions'!$D$199*(1+'01 Major Assumptions'!$D$23)^'02 Oil Price Analysis'!T$57</f>
        <v>0</v>
      </c>
      <c r="U13" s="90">
        <f>('04 Operating Model'!U$66+'04 Operating Model'!U$74)*'01 Major Assumptions'!$D$199*(1+'01 Major Assumptions'!$D$23)^'02 Oil Price Analysis'!U$57</f>
        <v>0</v>
      </c>
      <c r="V13" s="90">
        <f>('04 Operating Model'!V$66+'04 Operating Model'!V$74)*'01 Major Assumptions'!$D$199*(1+'01 Major Assumptions'!$D$23)^'02 Oil Price Analysis'!V$57</f>
        <v>0</v>
      </c>
      <c r="W13" s="90">
        <f>('04 Operating Model'!W$66+'04 Operating Model'!W$74)*'01 Major Assumptions'!$D$199*(1+'01 Major Assumptions'!$D$23)^'02 Oil Price Analysis'!W$57</f>
        <v>0</v>
      </c>
      <c r="X13" s="90">
        <f>('04 Operating Model'!X$66+'04 Operating Model'!X$74)*'01 Major Assumptions'!$D$199*(1+'01 Major Assumptions'!$D$23)^'02 Oil Price Analysis'!X$57</f>
        <v>0</v>
      </c>
      <c r="Y13" s="90">
        <f>('04 Operating Model'!Y$66+'04 Operating Model'!Y$74)*'01 Major Assumptions'!$D$199*(1+'01 Major Assumptions'!$D$23)^'02 Oil Price Analysis'!Y$57</f>
        <v>0</v>
      </c>
      <c r="Z13" s="90">
        <f>('04 Operating Model'!Z$66+'04 Operating Model'!Z$74)*'01 Major Assumptions'!$D$199*(1+'01 Major Assumptions'!$D$23)^'02 Oil Price Analysis'!Z$57</f>
        <v>0</v>
      </c>
      <c r="AA13" s="90">
        <f>('04 Operating Model'!AA$66+'04 Operating Model'!AA$74)*'01 Major Assumptions'!$D$199*(1+'01 Major Assumptions'!$D$23)^'02 Oil Price Analysis'!AA$57</f>
        <v>0</v>
      </c>
      <c r="AB13" s="90">
        <f>('04 Operating Model'!AB$66+'04 Operating Model'!AB$74)*'01 Major Assumptions'!$D$199*(1+'01 Major Assumptions'!$D$23)^'02 Oil Price Analysis'!AB$57</f>
        <v>120901.63973684209</v>
      </c>
      <c r="AC13" s="90">
        <f>('04 Operating Model'!AC$66+'04 Operating Model'!AC$74)*'01 Major Assumptions'!$D$199*(1+'01 Major Assumptions'!$D$23)^'02 Oil Price Analysis'!AC$57</f>
        <v>160194.67265131581</v>
      </c>
      <c r="AD13" s="90">
        <f>('04 Operating Model'!AD$66+'04 Operating Model'!AD$74)*'01 Major Assumptions'!$D$199*(1+'01 Major Assumptions'!$D$23)^'02 Oil Price Analysis'!AD$57</f>
        <v>199487.70556578948</v>
      </c>
      <c r="AE13" s="90">
        <f>('04 Operating Model'!AE$66+'04 Operating Model'!AE$74)*'01 Major Assumptions'!$D$199*(1+'01 Major Assumptions'!$D$23)^'02 Oil Price Analysis'!AE$57</f>
        <v>244272.69546530923</v>
      </c>
      <c r="AF13" s="90">
        <f>('04 Operating Model'!AF$66+'04 Operating Model'!AF$74)*'01 Major Assumptions'!$D$199*(1+'01 Major Assumptions'!$D$23)^'02 Oil Price Analysis'!AF$57</f>
        <v>284469.46813681582</v>
      </c>
      <c r="AG13" s="90">
        <f>('04 Operating Model'!AG$66+'04 Operating Model'!AG$74)*'01 Major Assumptions'!$D$199*(1+'01 Major Assumptions'!$D$23)^'02 Oil Price Analysis'!AG$57</f>
        <v>324666.24080832244</v>
      </c>
      <c r="AH13" s="90">
        <f>('04 Operating Model'!AH$66+'04 Operating Model'!AH$74)*'01 Major Assumptions'!$D$199*(1+'01 Major Assumptions'!$D$23)^'02 Oil Price Analysis'!AH$57</f>
        <v>364863.01347982895</v>
      </c>
      <c r="AI13" s="90">
        <f>('04 Operating Model'!AI$66+'04 Operating Model'!AI$74)*'01 Major Assumptions'!$D$199*(1+'01 Major Assumptions'!$D$23)^'02 Oil Price Analysis'!AI$57</f>
        <v>405059.78615133546</v>
      </c>
      <c r="AJ13" s="90">
        <f>('04 Operating Model'!AJ$66+'04 Operating Model'!AJ$74)*'01 Major Assumptions'!$D$199*(1+'01 Major Assumptions'!$D$23)^'02 Oil Price Analysis'!AJ$57</f>
        <v>445256.55882284208</v>
      </c>
      <c r="AK13" s="90">
        <f>('04 Operating Model'!AK$66+'04 Operating Model'!AK$74)*'01 Major Assumptions'!$D$199*(1+'01 Major Assumptions'!$D$23)^'02 Oil Price Analysis'!AK$57</f>
        <v>485453.33149434888</v>
      </c>
      <c r="AL13" s="90">
        <f>('04 Operating Model'!AL$66+'04 Operating Model'!AL$74)*'01 Major Assumptions'!$D$199*(1+'01 Major Assumptions'!$D$23)^'02 Oil Price Analysis'!AL$57</f>
        <v>525650.10416585533</v>
      </c>
      <c r="AM13" s="90">
        <f>('04 Operating Model'!AM$66+'04 Operating Model'!AM$74)*'01 Major Assumptions'!$D$199*(1+'01 Major Assumptions'!$D$23)^'02 Oil Price Analysis'!AM$57</f>
        <v>565846.87683736195</v>
      </c>
      <c r="AN13" s="90">
        <f>('04 Operating Model'!AN$66+'04 Operating Model'!AN$74)*'01 Major Assumptions'!$D$199*(1+'01 Major Assumptions'!$D$23)^'02 Oil Price Analysis'!AN$57</f>
        <v>606043.64950886834</v>
      </c>
      <c r="AO13" s="90">
        <f>('04 Operating Model'!AO$66+'04 Operating Model'!AO$74)*'01 Major Assumptions'!$D$199*(1+'01 Major Assumptions'!$D$23)^'02 Oil Price Analysis'!AO$57</f>
        <v>606043.64950886834</v>
      </c>
      <c r="AP13" s="90">
        <f>('04 Operating Model'!AP$66+'04 Operating Model'!AP$74)*'01 Major Assumptions'!$D$199*(1+'01 Major Assumptions'!$D$23)^'02 Oil Price Analysis'!AP$57</f>
        <v>606043.64950886834</v>
      </c>
      <c r="AQ13" s="90">
        <f>('04 Operating Model'!AQ$66+'04 Operating Model'!AQ$74)*'01 Major Assumptions'!$D$199*(1+'01 Major Assumptions'!$D$23)^'02 Oil Price Analysis'!AQ$57</f>
        <v>619982.65344757214</v>
      </c>
      <c r="AR13" s="90">
        <f>('04 Operating Model'!AR$66+'04 Operating Model'!AR$74)*'01 Major Assumptions'!$D$199*(1+'01 Major Assumptions'!$D$23)^'02 Oil Price Analysis'!AR$57</f>
        <v>619982.65344757214</v>
      </c>
      <c r="AS13" s="90">
        <f>('04 Operating Model'!AS$66+'04 Operating Model'!AS$74)*'01 Major Assumptions'!$D$199*(1+'01 Major Assumptions'!$D$23)^'02 Oil Price Analysis'!AS$57</f>
        <v>619982.65344757214</v>
      </c>
      <c r="AT13" s="90">
        <f>('04 Operating Model'!AT$66+'04 Operating Model'!AT$74)*'01 Major Assumptions'!$D$199*(1+'01 Major Assumptions'!$D$23)^'02 Oil Price Analysis'!AT$57</f>
        <v>619982.65344757214</v>
      </c>
      <c r="AU13" s="90">
        <f>('04 Operating Model'!AU$66+'04 Operating Model'!AU$74)*'01 Major Assumptions'!$D$199*(1+'01 Major Assumptions'!$D$23)^'02 Oil Price Analysis'!AU$57</f>
        <v>619982.65344757214</v>
      </c>
      <c r="AV13" s="90">
        <f>('04 Operating Model'!AV$66+'04 Operating Model'!AV$74)*'01 Major Assumptions'!$D$199*(1+'01 Major Assumptions'!$D$23)^'02 Oil Price Analysis'!AV$57</f>
        <v>619982.65344757214</v>
      </c>
      <c r="AW13" s="90">
        <f>('04 Operating Model'!AW$66+'04 Operating Model'!AW$74)*'01 Major Assumptions'!$D$199*(1+'01 Major Assumptions'!$D$23)^'02 Oil Price Analysis'!AW$57</f>
        <v>619982.65344757214</v>
      </c>
      <c r="AX13" s="90">
        <f>('04 Operating Model'!AX$66+'04 Operating Model'!AX$74)*'01 Major Assumptions'!$D$199*(1+'01 Major Assumptions'!$D$23)^'02 Oil Price Analysis'!AX$57</f>
        <v>619982.65344757214</v>
      </c>
      <c r="AY13" s="90">
        <f>('04 Operating Model'!AY$66+'04 Operating Model'!AY$74)*'01 Major Assumptions'!$D$199*(1+'01 Major Assumptions'!$D$23)^'02 Oil Price Analysis'!AY$57</f>
        <v>619982.65344757214</v>
      </c>
      <c r="AZ13" s="90">
        <f>('04 Operating Model'!AZ$66+'04 Operating Model'!AZ$74)*'01 Major Assumptions'!$D$199*(1+'01 Major Assumptions'!$D$23)^'02 Oil Price Analysis'!AZ$57</f>
        <v>619982.65344757214</v>
      </c>
      <c r="BA13" s="90">
        <f>('04 Operating Model'!BA$66+'04 Operating Model'!BA$74)*'01 Major Assumptions'!$D$199*(1+'01 Major Assumptions'!$D$23)^'02 Oil Price Analysis'!BA$57</f>
        <v>619982.65344757214</v>
      </c>
      <c r="BB13" s="90">
        <f>('04 Operating Model'!BB$66+'04 Operating Model'!BB$74)*'01 Major Assumptions'!$D$199*(1+'01 Major Assumptions'!$D$23)^'02 Oil Price Analysis'!BB$57</f>
        <v>619982.65344757214</v>
      </c>
      <c r="BC13" s="90">
        <f>('04 Operating Model'!BC$66+'04 Operating Model'!BC$74)*'01 Major Assumptions'!$D$199*(1+'01 Major Assumptions'!$D$23)^'02 Oil Price Analysis'!BC$57</f>
        <v>634242.25447686634</v>
      </c>
      <c r="BD13" s="90">
        <f>('04 Operating Model'!BD$66+'04 Operating Model'!BD$74)*'01 Major Assumptions'!$D$199*(1+'01 Major Assumptions'!$D$23)^'02 Oil Price Analysis'!BD$57</f>
        <v>634242.25447686634</v>
      </c>
      <c r="BE13" s="90">
        <f>('04 Operating Model'!BE$66+'04 Operating Model'!BE$74)*'01 Major Assumptions'!$D$199*(1+'01 Major Assumptions'!$D$23)^'02 Oil Price Analysis'!BE$57</f>
        <v>634242.25447686634</v>
      </c>
      <c r="BF13" s="90">
        <f>('04 Operating Model'!BF$66+'04 Operating Model'!BF$74)*'01 Major Assumptions'!$D$199*(1+'01 Major Assumptions'!$D$23)^'02 Oil Price Analysis'!BF$57</f>
        <v>634242.25447686634</v>
      </c>
      <c r="BG13" s="90">
        <f>('04 Operating Model'!BG$66+'04 Operating Model'!BG$74)*'01 Major Assumptions'!$D$199*(1+'01 Major Assumptions'!$D$23)^'02 Oil Price Analysis'!BG$57</f>
        <v>634242.25447686634</v>
      </c>
      <c r="BH13" s="90">
        <f>('04 Operating Model'!BH$66+'04 Operating Model'!BH$74)*'01 Major Assumptions'!$D$199*(1+'01 Major Assumptions'!$D$23)^'02 Oil Price Analysis'!BH$57</f>
        <v>634242.25447686634</v>
      </c>
      <c r="BI13" s="90">
        <f>('04 Operating Model'!BI$66+'04 Operating Model'!BI$74)*'01 Major Assumptions'!$D$199*(1+'01 Major Assumptions'!$D$23)^'02 Oil Price Analysis'!BI$57</f>
        <v>7785957.9159580087</v>
      </c>
      <c r="BJ13" s="90">
        <f>('04 Operating Model'!BJ$66+'04 Operating Model'!BJ$74)*'01 Major Assumptions'!$D$199*(1+'01 Major Assumptions'!$D$23)^'02 Oil Price Analysis'!BJ$57</f>
        <v>7965034.9480250431</v>
      </c>
      <c r="BK13" s="90">
        <f>('04 Operating Model'!BK$66+'04 Operating Model'!BK$74)*'01 Major Assumptions'!$D$199*(1+'01 Major Assumptions'!$D$23)^'02 Oil Price Analysis'!BK$57</f>
        <v>8148230.7518296177</v>
      </c>
      <c r="BL13" s="90">
        <f>('04 Operating Model'!BL$66+'04 Operating Model'!BL$74)*'01 Major Assumptions'!$D$199*(1+'01 Major Assumptions'!$D$23)^'02 Oil Price Analysis'!BL$57</f>
        <v>8335640.0591216981</v>
      </c>
      <c r="BM13" s="90">
        <f>('04 Operating Model'!BM$66+'04 Operating Model'!BM$74)*'01 Major Assumptions'!$D$199*(1+'01 Major Assumptions'!$D$23)^'02 Oil Price Analysis'!BM$57</f>
        <v>8527359.7804814968</v>
      </c>
      <c r="BN13" s="90">
        <f>('04 Operating Model'!BN$66+'04 Operating Model'!BN$74)*'01 Major Assumptions'!$D$199*(1+'01 Major Assumptions'!$D$23)^'02 Oil Price Analysis'!BN$57</f>
        <v>8723489.0554325692</v>
      </c>
      <c r="BO13" s="90">
        <f>('04 Operating Model'!BO$66+'04 Operating Model'!BO$74)*'01 Major Assumptions'!$D$199*(1+'01 Major Assumptions'!$D$23)^'02 Oil Price Analysis'!BO$57</f>
        <v>8924129.3037075195</v>
      </c>
    </row>
    <row r="14" spans="1:67">
      <c r="A14" s="11"/>
      <c r="B14" s="22" t="s">
        <v>395</v>
      </c>
      <c r="C14" s="11"/>
      <c r="D14" s="33"/>
      <c r="E14" s="33"/>
      <c r="F14" s="10" t="s">
        <v>13</v>
      </c>
      <c r="G14" s="89">
        <f>SUM(G8:G13)</f>
        <v>0</v>
      </c>
      <c r="H14" s="89">
        <f t="shared" ref="H14:BI14" si="0">SUM(H8:H13)</f>
        <v>0</v>
      </c>
      <c r="I14" s="89">
        <f t="shared" si="0"/>
        <v>0</v>
      </c>
      <c r="J14" s="89">
        <f t="shared" si="0"/>
        <v>0</v>
      </c>
      <c r="K14" s="89">
        <f t="shared" si="0"/>
        <v>0</v>
      </c>
      <c r="L14" s="89">
        <f t="shared" si="0"/>
        <v>0</v>
      </c>
      <c r="M14" s="89">
        <f t="shared" si="0"/>
        <v>0</v>
      </c>
      <c r="N14" s="89">
        <f t="shared" si="0"/>
        <v>0</v>
      </c>
      <c r="O14" s="89">
        <f t="shared" si="0"/>
        <v>0</v>
      </c>
      <c r="P14" s="89">
        <f t="shared" si="0"/>
        <v>0</v>
      </c>
      <c r="Q14" s="89">
        <f t="shared" si="0"/>
        <v>0</v>
      </c>
      <c r="R14" s="89">
        <f t="shared" si="0"/>
        <v>0</v>
      </c>
      <c r="S14" s="89">
        <f t="shared" si="0"/>
        <v>0</v>
      </c>
      <c r="T14" s="89">
        <f t="shared" si="0"/>
        <v>0</v>
      </c>
      <c r="U14" s="89">
        <f t="shared" si="0"/>
        <v>0</v>
      </c>
      <c r="V14" s="89">
        <f t="shared" si="0"/>
        <v>0</v>
      </c>
      <c r="W14" s="89">
        <f t="shared" si="0"/>
        <v>0</v>
      </c>
      <c r="X14" s="89">
        <f t="shared" si="0"/>
        <v>0</v>
      </c>
      <c r="Y14" s="89">
        <f t="shared" si="0"/>
        <v>0</v>
      </c>
      <c r="Z14" s="89">
        <f t="shared" si="0"/>
        <v>0</v>
      </c>
      <c r="AA14" s="89">
        <f t="shared" si="0"/>
        <v>0</v>
      </c>
      <c r="AB14" s="89">
        <f t="shared" si="0"/>
        <v>20423379.052277599</v>
      </c>
      <c r="AC14" s="89">
        <f t="shared" si="0"/>
        <v>4729465.1341600567</v>
      </c>
      <c r="AD14" s="89">
        <f t="shared" si="0"/>
        <v>5889522.6198974419</v>
      </c>
      <c r="AE14" s="89">
        <f t="shared" si="0"/>
        <v>7208511.8427446261</v>
      </c>
      <c r="AF14" s="89">
        <f t="shared" si="0"/>
        <v>8394722.6523101851</v>
      </c>
      <c r="AG14" s="89">
        <f t="shared" si="0"/>
        <v>9580933.4618757591</v>
      </c>
      <c r="AH14" s="89">
        <f t="shared" si="0"/>
        <v>10767144.271441327</v>
      </c>
      <c r="AI14" s="89">
        <f t="shared" si="0"/>
        <v>11953355.081006896</v>
      </c>
      <c r="AJ14" s="89">
        <f t="shared" si="0"/>
        <v>13139565.890572475</v>
      </c>
      <c r="AK14" s="89">
        <f t="shared" si="0"/>
        <v>14325776.700138038</v>
      </c>
      <c r="AL14" s="89">
        <f t="shared" si="0"/>
        <v>15511987.50970361</v>
      </c>
      <c r="AM14" s="89">
        <f t="shared" si="0"/>
        <v>16698198.319269188</v>
      </c>
      <c r="AN14" s="89">
        <f t="shared" si="0"/>
        <v>17884409.128834739</v>
      </c>
      <c r="AO14" s="89">
        <f t="shared" si="0"/>
        <v>17884409.128834747</v>
      </c>
      <c r="AP14" s="89">
        <f t="shared" si="0"/>
        <v>17884409.128834747</v>
      </c>
      <c r="AQ14" s="89">
        <f t="shared" si="0"/>
        <v>18287683.389976807</v>
      </c>
      <c r="AR14" s="89">
        <f t="shared" si="0"/>
        <v>18287683.389976807</v>
      </c>
      <c r="AS14" s="89">
        <f t="shared" si="0"/>
        <v>18287683.389976807</v>
      </c>
      <c r="AT14" s="89">
        <f t="shared" si="0"/>
        <v>18287683.389976807</v>
      </c>
      <c r="AU14" s="89">
        <f t="shared" si="0"/>
        <v>18287683.389976807</v>
      </c>
      <c r="AV14" s="89">
        <f t="shared" si="0"/>
        <v>18287683.389976807</v>
      </c>
      <c r="AW14" s="89">
        <f t="shared" si="0"/>
        <v>18287683.389976807</v>
      </c>
      <c r="AX14" s="89">
        <f t="shared" si="0"/>
        <v>18287683.389976807</v>
      </c>
      <c r="AY14" s="89">
        <f t="shared" si="0"/>
        <v>18287683.389976807</v>
      </c>
      <c r="AZ14" s="89">
        <f t="shared" si="0"/>
        <v>18287683.389976807</v>
      </c>
      <c r="BA14" s="89">
        <f t="shared" si="0"/>
        <v>18287683.389976807</v>
      </c>
      <c r="BB14" s="89">
        <f t="shared" si="0"/>
        <v>18287683.389976807</v>
      </c>
      <c r="BC14" s="89">
        <f t="shared" si="0"/>
        <v>18700124.796083525</v>
      </c>
      <c r="BD14" s="89">
        <f t="shared" si="0"/>
        <v>18700124.796083525</v>
      </c>
      <c r="BE14" s="89">
        <f t="shared" si="0"/>
        <v>18700124.796083525</v>
      </c>
      <c r="BF14" s="89">
        <f t="shared" si="0"/>
        <v>18700124.796083525</v>
      </c>
      <c r="BG14" s="89">
        <f t="shared" si="0"/>
        <v>18700124.796083525</v>
      </c>
      <c r="BH14" s="89">
        <f t="shared" si="0"/>
        <v>18700124.796083525</v>
      </c>
      <c r="BI14" s="89">
        <f t="shared" si="0"/>
        <v>229463310.7203311</v>
      </c>
      <c r="BJ14" s="89">
        <f t="shared" ref="BJ14" si="1">SUM(BJ8:BJ13)</f>
        <v>234640208.15119871</v>
      </c>
      <c r="BK14" s="89">
        <f t="shared" ref="BK14" si="2">SUM(BK8:BK13)</f>
        <v>239934816.54474238</v>
      </c>
      <c r="BL14" s="89">
        <f t="shared" ref="BL14" si="3">SUM(BL8:BL13)</f>
        <v>245349822.67449984</v>
      </c>
      <c r="BM14" s="89">
        <f t="shared" ref="BM14" si="4">SUM(BM8:BM13)</f>
        <v>250887974.76397762</v>
      </c>
      <c r="BN14" s="89">
        <f t="shared" ref="BN14" si="5">SUM(BN8:BN13)</f>
        <v>256552083.89374158</v>
      </c>
      <c r="BO14" s="89">
        <f t="shared" ref="BO14" si="6">SUM(BO8:BO13)</f>
        <v>262087339.54920453</v>
      </c>
    </row>
    <row r="15" spans="1:67">
      <c r="A15" s="11"/>
      <c r="B15" s="11"/>
      <c r="C15" s="11"/>
      <c r="D15" s="33"/>
      <c r="E15" s="33"/>
      <c r="F15" s="4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row>
    <row r="16" spans="1:67">
      <c r="A16" s="18" t="s">
        <v>396</v>
      </c>
      <c r="B16" s="18"/>
      <c r="C16" s="18"/>
      <c r="D16" s="39"/>
      <c r="E16" s="39"/>
      <c r="F16" s="39"/>
      <c r="G16" s="40"/>
      <c r="H16" s="40"/>
      <c r="I16" s="40"/>
      <c r="J16" s="40"/>
      <c r="K16" s="40"/>
      <c r="L16" s="40"/>
      <c r="M16" s="40"/>
      <c r="N16" s="40"/>
      <c r="O16" s="40"/>
      <c r="P16" s="40"/>
      <c r="Q16" s="40"/>
      <c r="R16" s="40"/>
      <c r="S16" s="40"/>
      <c r="T16" s="40"/>
      <c r="U16" s="40"/>
      <c r="V16" s="40"/>
      <c r="W16" s="40"/>
      <c r="X16" s="40"/>
      <c r="Y16" s="40"/>
      <c r="Z16" s="40"/>
      <c r="AA16" s="40"/>
      <c r="AB16" s="40"/>
      <c r="AC16" s="40"/>
      <c r="AD16" s="40"/>
      <c r="AE16" s="40"/>
      <c r="AF16" s="40"/>
      <c r="AG16" s="40"/>
      <c r="AH16" s="40"/>
      <c r="AI16" s="40"/>
      <c r="AJ16" s="40"/>
      <c r="AK16" s="40"/>
      <c r="AL16" s="40"/>
      <c r="AM16" s="40"/>
      <c r="AN16" s="40"/>
      <c r="AO16" s="40"/>
      <c r="AP16" s="40"/>
      <c r="AQ16" s="40"/>
      <c r="AR16" s="40"/>
      <c r="AS16" s="40"/>
      <c r="AT16" s="40"/>
      <c r="AU16" s="40"/>
      <c r="AV16" s="40"/>
      <c r="AW16" s="40"/>
      <c r="AX16" s="40"/>
      <c r="AY16" s="40"/>
      <c r="AZ16" s="40"/>
      <c r="BA16" s="40"/>
      <c r="BB16" s="40"/>
      <c r="BC16" s="40"/>
      <c r="BD16" s="40"/>
      <c r="BE16" s="40"/>
      <c r="BF16" s="40"/>
      <c r="BG16" s="40"/>
      <c r="BH16" s="40"/>
      <c r="BI16" s="40"/>
      <c r="BJ16" s="40"/>
      <c r="BK16" s="40"/>
      <c r="BL16" s="40"/>
      <c r="BM16" s="40"/>
      <c r="BN16" s="40"/>
      <c r="BO16" s="40"/>
    </row>
    <row r="17" spans="1:67">
      <c r="A17" s="11"/>
      <c r="B17" s="11"/>
      <c r="C17" s="11" t="s">
        <v>97</v>
      </c>
      <c r="D17" s="33"/>
      <c r="E17" s="33"/>
      <c r="F17" s="10" t="s">
        <v>397</v>
      </c>
      <c r="G17" s="90">
        <f>'04 Operating Model'!G$49*'01 Major Assumptions'!$D$70</f>
        <v>0</v>
      </c>
      <c r="H17" s="90">
        <f>'04 Operating Model'!H$49*'01 Major Assumptions'!$D$70</f>
        <v>0</v>
      </c>
      <c r="I17" s="90">
        <f>'04 Operating Model'!I$49*'01 Major Assumptions'!$D$70</f>
        <v>0</v>
      </c>
      <c r="J17" s="90">
        <f>'04 Operating Model'!J$49*'01 Major Assumptions'!$D$70</f>
        <v>0</v>
      </c>
      <c r="K17" s="90">
        <f>'04 Operating Model'!K$49*'01 Major Assumptions'!$D$70</f>
        <v>0</v>
      </c>
      <c r="L17" s="90">
        <f>'04 Operating Model'!L$49*'01 Major Assumptions'!$D$70</f>
        <v>0</v>
      </c>
      <c r="M17" s="90">
        <f>'04 Operating Model'!M$49*'01 Major Assumptions'!$D$70</f>
        <v>0</v>
      </c>
      <c r="N17" s="90">
        <f>'04 Operating Model'!N$49*'01 Major Assumptions'!$D$70</f>
        <v>0</v>
      </c>
      <c r="O17" s="90">
        <f>'04 Operating Model'!O$49*'01 Major Assumptions'!$D$70</f>
        <v>0</v>
      </c>
      <c r="P17" s="90">
        <f>'04 Operating Model'!P$49*'01 Major Assumptions'!$D$70</f>
        <v>0</v>
      </c>
      <c r="Q17" s="90">
        <f>'04 Operating Model'!Q$49*'01 Major Assumptions'!$D$70</f>
        <v>0</v>
      </c>
      <c r="R17" s="90">
        <f>'04 Operating Model'!R$49*'01 Major Assumptions'!$D$70</f>
        <v>0</v>
      </c>
      <c r="S17" s="90">
        <f>'04 Operating Model'!S$49*'01 Major Assumptions'!$D$70</f>
        <v>0</v>
      </c>
      <c r="T17" s="90">
        <f>'04 Operating Model'!T$49*'01 Major Assumptions'!$D$70</f>
        <v>0</v>
      </c>
      <c r="U17" s="90">
        <f>'04 Operating Model'!U$49*'01 Major Assumptions'!$D$70</f>
        <v>0</v>
      </c>
      <c r="V17" s="90">
        <f>'04 Operating Model'!V$49*'01 Major Assumptions'!$D$70</f>
        <v>0</v>
      </c>
      <c r="W17" s="90">
        <f>'04 Operating Model'!W$49*'01 Major Assumptions'!$D$70</f>
        <v>0</v>
      </c>
      <c r="X17" s="90">
        <f>'04 Operating Model'!X$49*'01 Major Assumptions'!$D$70</f>
        <v>0</v>
      </c>
      <c r="Y17" s="90">
        <f>'04 Operating Model'!Y$49*'01 Major Assumptions'!$D$70</f>
        <v>0</v>
      </c>
      <c r="Z17" s="90">
        <f>'04 Operating Model'!Z$49*'01 Major Assumptions'!$D$70</f>
        <v>0</v>
      </c>
      <c r="AA17" s="90">
        <f>'04 Operating Model'!AA$49*'01 Major Assumptions'!$D$70</f>
        <v>0</v>
      </c>
      <c r="AB17" s="90">
        <f>'04 Operating Model'!AB$49*'01 Major Assumptions'!$D$70</f>
        <v>349898.73272639996</v>
      </c>
      <c r="AC17" s="90">
        <f>'04 Operating Model'!AC$49*'01 Major Assumptions'!$D$70</f>
        <v>463615.82086247986</v>
      </c>
      <c r="AD17" s="90">
        <f>'04 Operating Model'!AD$49*'01 Major Assumptions'!$D$70</f>
        <v>577332.90899856004</v>
      </c>
      <c r="AE17" s="90">
        <f>'04 Operating Model'!AE$49*'01 Major Assumptions'!$D$70</f>
        <v>691049.99713464023</v>
      </c>
      <c r="AF17" s="90">
        <f>'04 Operating Model'!AF$49*'01 Major Assumptions'!$D$70</f>
        <v>804767.08527071995</v>
      </c>
      <c r="AG17" s="90">
        <f>'04 Operating Model'!AG$49*'01 Major Assumptions'!$D$70</f>
        <v>918484.17340680002</v>
      </c>
      <c r="AH17" s="90">
        <f>'04 Operating Model'!AH$49*'01 Major Assumptions'!$D$70</f>
        <v>1032201.2615428799</v>
      </c>
      <c r="AI17" s="90">
        <f>'04 Operating Model'!AI$49*'01 Major Assumptions'!$D$70</f>
        <v>1145918.3496789597</v>
      </c>
      <c r="AJ17" s="90">
        <f>'04 Operating Model'!AJ$49*'01 Major Assumptions'!$D$70</f>
        <v>1259635.4378150401</v>
      </c>
      <c r="AK17" s="90">
        <f>'04 Operating Model'!AK$49*'01 Major Assumptions'!$D$70</f>
        <v>1373352.5259511201</v>
      </c>
      <c r="AL17" s="90">
        <f>'04 Operating Model'!AL$49*'01 Major Assumptions'!$D$70</f>
        <v>1487069.6140871998</v>
      </c>
      <c r="AM17" s="90">
        <f>'04 Operating Model'!AM$49*'01 Major Assumptions'!$D$70</f>
        <v>1600786.7022232802</v>
      </c>
      <c r="AN17" s="90">
        <f>'04 Operating Model'!AN$49*'01 Major Assumptions'!$D$70</f>
        <v>1714503.7903593597</v>
      </c>
      <c r="AO17" s="90">
        <f>'04 Operating Model'!AO$49*'01 Major Assumptions'!$D$70</f>
        <v>1714503.7903593597</v>
      </c>
      <c r="AP17" s="90">
        <f>'04 Operating Model'!AP$49*'01 Major Assumptions'!$D$70</f>
        <v>1714503.7903593597</v>
      </c>
      <c r="AQ17" s="90">
        <f>'04 Operating Model'!AQ$49*'01 Major Assumptions'!$D$70</f>
        <v>1714503.7903593597</v>
      </c>
      <c r="AR17" s="90">
        <f>'04 Operating Model'!AR$49*'01 Major Assumptions'!$D$70</f>
        <v>1714503.7903593597</v>
      </c>
      <c r="AS17" s="90">
        <f>'04 Operating Model'!AS$49*'01 Major Assumptions'!$D$70</f>
        <v>1714503.7903593597</v>
      </c>
      <c r="AT17" s="90">
        <f>'04 Operating Model'!AT$49*'01 Major Assumptions'!$D$70</f>
        <v>1714503.7903593597</v>
      </c>
      <c r="AU17" s="90">
        <f>'04 Operating Model'!AU$49*'01 Major Assumptions'!$D$70</f>
        <v>1714503.7903593597</v>
      </c>
      <c r="AV17" s="90">
        <f>'04 Operating Model'!AV$49*'01 Major Assumptions'!$D$70</f>
        <v>1714503.7903593597</v>
      </c>
      <c r="AW17" s="90">
        <f>'04 Operating Model'!AW$49*'01 Major Assumptions'!$D$70</f>
        <v>1714503.7903593597</v>
      </c>
      <c r="AX17" s="90">
        <f>'04 Operating Model'!AX$49*'01 Major Assumptions'!$D$70</f>
        <v>1714503.7903593597</v>
      </c>
      <c r="AY17" s="90">
        <f>'04 Operating Model'!AY$49*'01 Major Assumptions'!$D$70</f>
        <v>1714503.7903593597</v>
      </c>
      <c r="AZ17" s="90">
        <f>'04 Operating Model'!AZ$49*'01 Major Assumptions'!$D$70</f>
        <v>1714503.7903593597</v>
      </c>
      <c r="BA17" s="90">
        <f>'04 Operating Model'!BA$49*'01 Major Assumptions'!$D$70</f>
        <v>1714503.7903593597</v>
      </c>
      <c r="BB17" s="90">
        <f>'04 Operating Model'!BB$49*'01 Major Assumptions'!$D$70</f>
        <v>1714503.7903593597</v>
      </c>
      <c r="BC17" s="90">
        <f>'04 Operating Model'!BC$49*'01 Major Assumptions'!$D$70</f>
        <v>1714503.7903593597</v>
      </c>
      <c r="BD17" s="90">
        <f>'04 Operating Model'!BD$49*'01 Major Assumptions'!$D$70</f>
        <v>1714503.7903593597</v>
      </c>
      <c r="BE17" s="90">
        <f>'04 Operating Model'!BE$49*'01 Major Assumptions'!$D$70</f>
        <v>1714503.7903593597</v>
      </c>
      <c r="BF17" s="90">
        <f>'04 Operating Model'!BF$49*'01 Major Assumptions'!$D$70</f>
        <v>1714503.7903593597</v>
      </c>
      <c r="BG17" s="90">
        <f>'04 Operating Model'!BG$49*'01 Major Assumptions'!$D$70</f>
        <v>1714503.7903593597</v>
      </c>
      <c r="BH17" s="90">
        <f>'04 Operating Model'!BH$49*'01 Major Assumptions'!$D$70</f>
        <v>1714503.7903593597</v>
      </c>
      <c r="BI17" s="90">
        <f>'04 Operating Model'!BI$49*'01 Major Assumptions'!$D$70</f>
        <v>20574045.484312318</v>
      </c>
      <c r="BJ17" s="90">
        <f>'04 Operating Model'!BJ$49*'01 Major Assumptions'!$D$70</f>
        <v>20574045.484312318</v>
      </c>
      <c r="BK17" s="90">
        <f>'04 Operating Model'!BK$49*'01 Major Assumptions'!$D$70</f>
        <v>20574045.484312318</v>
      </c>
      <c r="BL17" s="90">
        <f>'04 Operating Model'!BL$49*'01 Major Assumptions'!$D$70</f>
        <v>20574045.484312318</v>
      </c>
      <c r="BM17" s="90">
        <f>'04 Operating Model'!BM$49*'01 Major Assumptions'!$D$70</f>
        <v>20574045.484312318</v>
      </c>
      <c r="BN17" s="90">
        <f>'04 Operating Model'!BN$49*'01 Major Assumptions'!$D$70</f>
        <v>20574045.484312318</v>
      </c>
      <c r="BO17" s="90">
        <f>'04 Operating Model'!BO$49*'01 Major Assumptions'!$D$70</f>
        <v>20574045.484312318</v>
      </c>
    </row>
    <row r="18" spans="1:67">
      <c r="A18" s="11"/>
      <c r="B18" s="11"/>
      <c r="C18" s="11" t="s">
        <v>95</v>
      </c>
      <c r="D18" s="33"/>
      <c r="E18" s="33"/>
      <c r="F18" s="10" t="s">
        <v>96</v>
      </c>
      <c r="G18" s="63">
        <f>'01 Major Assumptions'!$D$69*(1+'01 Major Assumptions'!$D$26)^'02 Oil Price Analysis'!G$57</f>
        <v>4.2</v>
      </c>
      <c r="H18" s="63">
        <f>'01 Major Assumptions'!$D$69*(1+'01 Major Assumptions'!$D$26)^'02 Oil Price Analysis'!H$57</f>
        <v>4.2</v>
      </c>
      <c r="I18" s="63">
        <f>'01 Major Assumptions'!$D$69*(1+'01 Major Assumptions'!$D$26)^'02 Oil Price Analysis'!I$57</f>
        <v>4.2</v>
      </c>
      <c r="J18" s="63">
        <f>'01 Major Assumptions'!$D$69*(1+'01 Major Assumptions'!$D$26)^'02 Oil Price Analysis'!J$57</f>
        <v>4.2</v>
      </c>
      <c r="K18" s="63">
        <f>'01 Major Assumptions'!$D$69*(1+'01 Major Assumptions'!$D$26)^'02 Oil Price Analysis'!K$57</f>
        <v>4.2</v>
      </c>
      <c r="L18" s="63">
        <f>'01 Major Assumptions'!$D$69*(1+'01 Major Assumptions'!$D$26)^'02 Oil Price Analysis'!L$57</f>
        <v>4.2</v>
      </c>
      <c r="M18" s="63">
        <f>'01 Major Assumptions'!$D$69*(1+'01 Major Assumptions'!$D$26)^'02 Oil Price Analysis'!M$57</f>
        <v>4.2</v>
      </c>
      <c r="N18" s="63">
        <f>'01 Major Assumptions'!$D$69*(1+'01 Major Assumptions'!$D$26)^'02 Oil Price Analysis'!N$57</f>
        <v>4.2</v>
      </c>
      <c r="O18" s="63">
        <f>'01 Major Assumptions'!$D$69*(1+'01 Major Assumptions'!$D$26)^'02 Oil Price Analysis'!O$57</f>
        <v>4.2</v>
      </c>
      <c r="P18" s="63">
        <f>'01 Major Assumptions'!$D$69*(1+'01 Major Assumptions'!$D$26)^'02 Oil Price Analysis'!P$57</f>
        <v>4.2</v>
      </c>
      <c r="Q18" s="63">
        <f>'01 Major Assumptions'!$D$69*(1+'01 Major Assumptions'!$D$26)^'02 Oil Price Analysis'!Q$57</f>
        <v>4.2</v>
      </c>
      <c r="R18" s="63">
        <f>'01 Major Assumptions'!$D$69*(1+'01 Major Assumptions'!$D$26)^'02 Oil Price Analysis'!R$57</f>
        <v>4.2</v>
      </c>
      <c r="S18" s="63">
        <f>'01 Major Assumptions'!$D$69*(1+'01 Major Assumptions'!$D$26)^'02 Oil Price Analysis'!S$57</f>
        <v>4.2840000000000007</v>
      </c>
      <c r="T18" s="63">
        <f>'01 Major Assumptions'!$D$69*(1+'01 Major Assumptions'!$D$26)^'02 Oil Price Analysis'!T$57</f>
        <v>4.2840000000000007</v>
      </c>
      <c r="U18" s="63">
        <f>'01 Major Assumptions'!$D$69*(1+'01 Major Assumptions'!$D$26)^'02 Oil Price Analysis'!U$57</f>
        <v>4.2840000000000007</v>
      </c>
      <c r="V18" s="63">
        <f>'01 Major Assumptions'!$D$69*(1+'01 Major Assumptions'!$D$26)^'02 Oil Price Analysis'!V$57</f>
        <v>4.2840000000000007</v>
      </c>
      <c r="W18" s="63">
        <f>'01 Major Assumptions'!$D$69*(1+'01 Major Assumptions'!$D$26)^'02 Oil Price Analysis'!W$57</f>
        <v>4.2840000000000007</v>
      </c>
      <c r="X18" s="63">
        <f>'01 Major Assumptions'!$D$69*(1+'01 Major Assumptions'!$D$26)^'02 Oil Price Analysis'!X$57</f>
        <v>4.2840000000000007</v>
      </c>
      <c r="Y18" s="63">
        <f>'01 Major Assumptions'!$D$69*(1+'01 Major Assumptions'!$D$26)^'02 Oil Price Analysis'!Y$57</f>
        <v>4.2840000000000007</v>
      </c>
      <c r="Z18" s="63">
        <f>'01 Major Assumptions'!$D$69*(1+'01 Major Assumptions'!$D$26)^'02 Oil Price Analysis'!Z$57</f>
        <v>4.2840000000000007</v>
      </c>
      <c r="AA18" s="63">
        <f>'01 Major Assumptions'!$D$69*(1+'01 Major Assumptions'!$D$26)^'02 Oil Price Analysis'!AA$57</f>
        <v>4.2840000000000007</v>
      </c>
      <c r="AB18" s="63">
        <f>'01 Major Assumptions'!$D$69*(1+'01 Major Assumptions'!$D$26)^'02 Oil Price Analysis'!AB$57</f>
        <v>4.2840000000000007</v>
      </c>
      <c r="AC18" s="63">
        <f>'01 Major Assumptions'!$D$69*(1+'01 Major Assumptions'!$D$26)^'02 Oil Price Analysis'!AC$57</f>
        <v>4.2840000000000007</v>
      </c>
      <c r="AD18" s="63">
        <f>'01 Major Assumptions'!$D$69*(1+'01 Major Assumptions'!$D$26)^'02 Oil Price Analysis'!AD$57</f>
        <v>4.2840000000000007</v>
      </c>
      <c r="AE18" s="63">
        <f>'01 Major Assumptions'!$D$69*(1+'01 Major Assumptions'!$D$26)^'02 Oil Price Analysis'!AE$57</f>
        <v>4.3696799999999998</v>
      </c>
      <c r="AF18" s="63">
        <f>'01 Major Assumptions'!$D$69*(1+'01 Major Assumptions'!$D$26)^'02 Oil Price Analysis'!AF$57</f>
        <v>4.3696799999999998</v>
      </c>
      <c r="AG18" s="63">
        <f>'01 Major Assumptions'!$D$69*(1+'01 Major Assumptions'!$D$26)^'02 Oil Price Analysis'!AG$57</f>
        <v>4.3696799999999998</v>
      </c>
      <c r="AH18" s="63">
        <f>'01 Major Assumptions'!$D$69*(1+'01 Major Assumptions'!$D$26)^'02 Oil Price Analysis'!AH$57</f>
        <v>4.3696799999999998</v>
      </c>
      <c r="AI18" s="63">
        <f>'01 Major Assumptions'!$D$69*(1+'01 Major Assumptions'!$D$26)^'02 Oil Price Analysis'!AI$57</f>
        <v>4.3696799999999998</v>
      </c>
      <c r="AJ18" s="63">
        <f>'01 Major Assumptions'!$D$69*(1+'01 Major Assumptions'!$D$26)^'02 Oil Price Analysis'!AJ$57</f>
        <v>4.3696799999999998</v>
      </c>
      <c r="AK18" s="63">
        <f>'01 Major Assumptions'!$D$69*(1+'01 Major Assumptions'!$D$26)^'02 Oil Price Analysis'!AK$57</f>
        <v>4.3696799999999998</v>
      </c>
      <c r="AL18" s="63">
        <f>'01 Major Assumptions'!$D$69*(1+'01 Major Assumptions'!$D$26)^'02 Oil Price Analysis'!AL$57</f>
        <v>4.3696799999999998</v>
      </c>
      <c r="AM18" s="63">
        <f>'01 Major Assumptions'!$D$69*(1+'01 Major Assumptions'!$D$26)^'02 Oil Price Analysis'!AM$57</f>
        <v>4.3696799999999998</v>
      </c>
      <c r="AN18" s="63">
        <f>'01 Major Assumptions'!$D$69*(1+'01 Major Assumptions'!$D$26)^'02 Oil Price Analysis'!AN$57</f>
        <v>4.3696799999999998</v>
      </c>
      <c r="AO18" s="63">
        <f>'01 Major Assumptions'!$D$69*(1+'01 Major Assumptions'!$D$26)^'02 Oil Price Analysis'!AO$57</f>
        <v>4.3696799999999998</v>
      </c>
      <c r="AP18" s="63">
        <f>'01 Major Assumptions'!$D$69*(1+'01 Major Assumptions'!$D$26)^'02 Oil Price Analysis'!AP$57</f>
        <v>4.3696799999999998</v>
      </c>
      <c r="AQ18" s="63">
        <f>'01 Major Assumptions'!$D$69*(1+'01 Major Assumptions'!$D$26)^'02 Oil Price Analysis'!AQ$57</f>
        <v>4.4570736000000002</v>
      </c>
      <c r="AR18" s="63">
        <f>'01 Major Assumptions'!$D$69*(1+'01 Major Assumptions'!$D$26)^'02 Oil Price Analysis'!AR$57</f>
        <v>4.4570736000000002</v>
      </c>
      <c r="AS18" s="63">
        <f>'01 Major Assumptions'!$D$69*(1+'01 Major Assumptions'!$D$26)^'02 Oil Price Analysis'!AS$57</f>
        <v>4.4570736000000002</v>
      </c>
      <c r="AT18" s="63">
        <f>'01 Major Assumptions'!$D$69*(1+'01 Major Assumptions'!$D$26)^'02 Oil Price Analysis'!AT$57</f>
        <v>4.4570736000000002</v>
      </c>
      <c r="AU18" s="63">
        <f>'01 Major Assumptions'!$D$69*(1+'01 Major Assumptions'!$D$26)^'02 Oil Price Analysis'!AU$57</f>
        <v>4.4570736000000002</v>
      </c>
      <c r="AV18" s="63">
        <f>'01 Major Assumptions'!$D$69*(1+'01 Major Assumptions'!$D$26)^'02 Oil Price Analysis'!AV$57</f>
        <v>4.4570736000000002</v>
      </c>
      <c r="AW18" s="63">
        <f>'01 Major Assumptions'!$D$69*(1+'01 Major Assumptions'!$D$26)^'02 Oil Price Analysis'!AW$57</f>
        <v>4.4570736000000002</v>
      </c>
      <c r="AX18" s="63">
        <f>'01 Major Assumptions'!$D$69*(1+'01 Major Assumptions'!$D$26)^'02 Oil Price Analysis'!AX$57</f>
        <v>4.4570736000000002</v>
      </c>
      <c r="AY18" s="63">
        <f>'01 Major Assumptions'!$D$69*(1+'01 Major Assumptions'!$D$26)^'02 Oil Price Analysis'!AY$57</f>
        <v>4.4570736000000002</v>
      </c>
      <c r="AZ18" s="63">
        <f>'01 Major Assumptions'!$D$69*(1+'01 Major Assumptions'!$D$26)^'02 Oil Price Analysis'!AZ$57</f>
        <v>4.4570736000000002</v>
      </c>
      <c r="BA18" s="63">
        <f>'01 Major Assumptions'!$D$69*(1+'01 Major Assumptions'!$D$26)^'02 Oil Price Analysis'!BA$57</f>
        <v>4.4570736000000002</v>
      </c>
      <c r="BB18" s="63">
        <f>'01 Major Assumptions'!$D$69*(1+'01 Major Assumptions'!$D$26)^'02 Oil Price Analysis'!BB$57</f>
        <v>4.4570736000000002</v>
      </c>
      <c r="BC18" s="63">
        <f>'01 Major Assumptions'!$D$69*(1+'01 Major Assumptions'!$D$26)^'02 Oil Price Analysis'!BC$57</f>
        <v>4.5462150719999999</v>
      </c>
      <c r="BD18" s="63">
        <f>'01 Major Assumptions'!$D$69*(1+'01 Major Assumptions'!$D$26)^'02 Oil Price Analysis'!BD$57</f>
        <v>4.5462150719999999</v>
      </c>
      <c r="BE18" s="63">
        <f>'01 Major Assumptions'!$D$69*(1+'01 Major Assumptions'!$D$26)^'02 Oil Price Analysis'!BE$57</f>
        <v>4.5462150719999999</v>
      </c>
      <c r="BF18" s="63">
        <f>'01 Major Assumptions'!$D$69*(1+'01 Major Assumptions'!$D$26)^'02 Oil Price Analysis'!BF$57</f>
        <v>4.5462150719999999</v>
      </c>
      <c r="BG18" s="63">
        <f>'01 Major Assumptions'!$D$69*(1+'01 Major Assumptions'!$D$26)^'02 Oil Price Analysis'!BG$57</f>
        <v>4.5462150719999999</v>
      </c>
      <c r="BH18" s="63">
        <f>'01 Major Assumptions'!$D$69*(1+'01 Major Assumptions'!$D$26)^'02 Oil Price Analysis'!BH$57</f>
        <v>4.5462150719999999</v>
      </c>
      <c r="BI18" s="63">
        <f>'01 Major Assumptions'!$D$69*(1+'01 Major Assumptions'!$D$26)^'02 Oil Price Analysis'!BI$57</f>
        <v>4.6371393734400002</v>
      </c>
      <c r="BJ18" s="63">
        <f>'01 Major Assumptions'!$D$69*(1+'01 Major Assumptions'!$D$26)^'02 Oil Price Analysis'!BJ$57</f>
        <v>4.7298821609088009</v>
      </c>
      <c r="BK18" s="63">
        <f>'01 Major Assumptions'!$D$69*(1+'01 Major Assumptions'!$D$26)^'02 Oil Price Analysis'!BK$57</f>
        <v>4.8244798041269759</v>
      </c>
      <c r="BL18" s="63">
        <f>'01 Major Assumptions'!$D$69*(1+'01 Major Assumptions'!$D$26)^'02 Oil Price Analysis'!BL$57</f>
        <v>4.9209694002095157</v>
      </c>
      <c r="BM18" s="63">
        <f>'01 Major Assumptions'!$D$69*(1+'01 Major Assumptions'!$D$26)^'02 Oil Price Analysis'!BM$57</f>
        <v>5.019388788213706</v>
      </c>
      <c r="BN18" s="63">
        <f>'01 Major Assumptions'!$D$69*(1+'01 Major Assumptions'!$D$26)^'02 Oil Price Analysis'!BN$57</f>
        <v>5.1197765639779798</v>
      </c>
      <c r="BO18" s="63">
        <f>'01 Major Assumptions'!$D$69*(1+'01 Major Assumptions'!$D$26)^'02 Oil Price Analysis'!BO$57</f>
        <v>5.2221720952575383</v>
      </c>
    </row>
    <row r="19" spans="1:67">
      <c r="A19" s="11"/>
      <c r="B19" s="11"/>
      <c r="C19" s="11" t="s">
        <v>398</v>
      </c>
      <c r="D19" s="33"/>
      <c r="E19" s="33"/>
      <c r="F19" s="10" t="s">
        <v>13</v>
      </c>
      <c r="G19" s="90">
        <f>G17*G18</f>
        <v>0</v>
      </c>
      <c r="H19" s="90">
        <f t="shared" ref="H19:BI19" si="7">H17*H18</f>
        <v>0</v>
      </c>
      <c r="I19" s="90">
        <f t="shared" si="7"/>
        <v>0</v>
      </c>
      <c r="J19" s="90">
        <f t="shared" si="7"/>
        <v>0</v>
      </c>
      <c r="K19" s="90">
        <f t="shared" si="7"/>
        <v>0</v>
      </c>
      <c r="L19" s="90">
        <f t="shared" si="7"/>
        <v>0</v>
      </c>
      <c r="M19" s="90">
        <f t="shared" si="7"/>
        <v>0</v>
      </c>
      <c r="N19" s="90">
        <f t="shared" si="7"/>
        <v>0</v>
      </c>
      <c r="O19" s="90">
        <f t="shared" si="7"/>
        <v>0</v>
      </c>
      <c r="P19" s="90">
        <f t="shared" si="7"/>
        <v>0</v>
      </c>
      <c r="Q19" s="90">
        <f t="shared" si="7"/>
        <v>0</v>
      </c>
      <c r="R19" s="90">
        <f t="shared" si="7"/>
        <v>0</v>
      </c>
      <c r="S19" s="90">
        <f t="shared" si="7"/>
        <v>0</v>
      </c>
      <c r="T19" s="90">
        <f t="shared" si="7"/>
        <v>0</v>
      </c>
      <c r="U19" s="90">
        <f t="shared" si="7"/>
        <v>0</v>
      </c>
      <c r="V19" s="90">
        <f t="shared" si="7"/>
        <v>0</v>
      </c>
      <c r="W19" s="90">
        <f t="shared" si="7"/>
        <v>0</v>
      </c>
      <c r="X19" s="90">
        <f t="shared" si="7"/>
        <v>0</v>
      </c>
      <c r="Y19" s="90">
        <f t="shared" si="7"/>
        <v>0</v>
      </c>
      <c r="Z19" s="90">
        <f t="shared" si="7"/>
        <v>0</v>
      </c>
      <c r="AA19" s="90">
        <f t="shared" si="7"/>
        <v>0</v>
      </c>
      <c r="AB19" s="90">
        <f t="shared" si="7"/>
        <v>1498966.1709998976</v>
      </c>
      <c r="AC19" s="90">
        <f t="shared" si="7"/>
        <v>1986130.176574864</v>
      </c>
      <c r="AD19" s="90">
        <f t="shared" si="7"/>
        <v>2473294.1821498317</v>
      </c>
      <c r="AE19" s="90">
        <f t="shared" si="7"/>
        <v>3019667.3514792947</v>
      </c>
      <c r="AF19" s="90">
        <f t="shared" si="7"/>
        <v>3516574.6371657592</v>
      </c>
      <c r="AG19" s="90">
        <f t="shared" si="7"/>
        <v>4013481.9228522256</v>
      </c>
      <c r="AH19" s="90">
        <f t="shared" si="7"/>
        <v>4510389.2085386906</v>
      </c>
      <c r="AI19" s="90">
        <f t="shared" si="7"/>
        <v>5007296.4942251565</v>
      </c>
      <c r="AJ19" s="90">
        <f t="shared" si="7"/>
        <v>5504203.7799116243</v>
      </c>
      <c r="AK19" s="90">
        <f t="shared" si="7"/>
        <v>6001111.0655980902</v>
      </c>
      <c r="AL19" s="90">
        <f t="shared" si="7"/>
        <v>6498018.3512845552</v>
      </c>
      <c r="AM19" s="90">
        <f t="shared" si="7"/>
        <v>6994925.6369710229</v>
      </c>
      <c r="AN19" s="90">
        <f t="shared" si="7"/>
        <v>7491832.922657487</v>
      </c>
      <c r="AO19" s="90">
        <f t="shared" si="7"/>
        <v>7491832.922657487</v>
      </c>
      <c r="AP19" s="90">
        <f t="shared" si="7"/>
        <v>7491832.922657487</v>
      </c>
      <c r="AQ19" s="90">
        <f t="shared" si="7"/>
        <v>7641669.5811106367</v>
      </c>
      <c r="AR19" s="90">
        <f t="shared" si="7"/>
        <v>7641669.5811106367</v>
      </c>
      <c r="AS19" s="90">
        <f t="shared" si="7"/>
        <v>7641669.5811106367</v>
      </c>
      <c r="AT19" s="90">
        <f t="shared" si="7"/>
        <v>7641669.5811106367</v>
      </c>
      <c r="AU19" s="90">
        <f t="shared" si="7"/>
        <v>7641669.5811106367</v>
      </c>
      <c r="AV19" s="90">
        <f t="shared" si="7"/>
        <v>7641669.5811106367</v>
      </c>
      <c r="AW19" s="90">
        <f t="shared" si="7"/>
        <v>7641669.5811106367</v>
      </c>
      <c r="AX19" s="90">
        <f t="shared" si="7"/>
        <v>7641669.5811106367</v>
      </c>
      <c r="AY19" s="90">
        <f t="shared" si="7"/>
        <v>7641669.5811106367</v>
      </c>
      <c r="AZ19" s="90">
        <f t="shared" si="7"/>
        <v>7641669.5811106367</v>
      </c>
      <c r="BA19" s="90">
        <f t="shared" si="7"/>
        <v>7641669.5811106367</v>
      </c>
      <c r="BB19" s="90">
        <f t="shared" si="7"/>
        <v>7641669.5811106367</v>
      </c>
      <c r="BC19" s="90">
        <f t="shared" si="7"/>
        <v>7794502.9727328494</v>
      </c>
      <c r="BD19" s="90">
        <f t="shared" si="7"/>
        <v>7794502.9727328494</v>
      </c>
      <c r="BE19" s="90">
        <f t="shared" si="7"/>
        <v>7794502.9727328494</v>
      </c>
      <c r="BF19" s="90">
        <f t="shared" si="7"/>
        <v>7794502.9727328494</v>
      </c>
      <c r="BG19" s="90">
        <f t="shared" si="7"/>
        <v>7794502.9727328494</v>
      </c>
      <c r="BH19" s="90">
        <f t="shared" si="7"/>
        <v>7794502.9727328494</v>
      </c>
      <c r="BI19" s="90">
        <f t="shared" si="7"/>
        <v>95404716.386250094</v>
      </c>
      <c r="BJ19" s="90">
        <f t="shared" ref="BJ19" si="8">BJ17*BJ18</f>
        <v>97312810.713975102</v>
      </c>
      <c r="BK19" s="90">
        <f t="shared" ref="BK19" si="9">BK17*BK18</f>
        <v>99259066.928254589</v>
      </c>
      <c r="BL19" s="90">
        <f t="shared" ref="BL19" si="10">BL17*BL18</f>
        <v>101244248.26681969</v>
      </c>
      <c r="BM19" s="90">
        <f t="shared" ref="BM19" si="11">BM17*BM18</f>
        <v>103269133.23215608</v>
      </c>
      <c r="BN19" s="90">
        <f t="shared" ref="BN19" si="12">BN17*BN18</f>
        <v>105334515.89679919</v>
      </c>
      <c r="BO19" s="90">
        <f t="shared" ref="BO19" si="13">BO17*BO18</f>
        <v>107441206.21473515</v>
      </c>
    </row>
    <row r="20" spans="1:67">
      <c r="A20" s="11"/>
      <c r="B20" s="11"/>
      <c r="C20" s="11" t="s">
        <v>399</v>
      </c>
      <c r="D20" s="33"/>
      <c r="E20" s="33"/>
      <c r="F20" s="10" t="s">
        <v>400</v>
      </c>
      <c r="G20" s="90">
        <f>'04 Operating Model'!G$49*'01 Major Assumptions'!$D$72</f>
        <v>0</v>
      </c>
      <c r="H20" s="90">
        <f>'04 Operating Model'!H$49*'01 Major Assumptions'!$D$72</f>
        <v>0</v>
      </c>
      <c r="I20" s="90">
        <f>'04 Operating Model'!I$49*'01 Major Assumptions'!$D$72</f>
        <v>0</v>
      </c>
      <c r="J20" s="90">
        <f>'04 Operating Model'!J$49*'01 Major Assumptions'!$D$72</f>
        <v>0</v>
      </c>
      <c r="K20" s="90">
        <f>'04 Operating Model'!K$49*'01 Major Assumptions'!$D$72</f>
        <v>0</v>
      </c>
      <c r="L20" s="90">
        <f>'04 Operating Model'!L$49*'01 Major Assumptions'!$D$72</f>
        <v>0</v>
      </c>
      <c r="M20" s="90">
        <f>'04 Operating Model'!M$49*'01 Major Assumptions'!$D$72</f>
        <v>0</v>
      </c>
      <c r="N20" s="90">
        <f>'04 Operating Model'!N$49*'01 Major Assumptions'!$D$72</f>
        <v>0</v>
      </c>
      <c r="O20" s="90">
        <f>'04 Operating Model'!O$49*'01 Major Assumptions'!$D$72</f>
        <v>0</v>
      </c>
      <c r="P20" s="90">
        <f>'04 Operating Model'!P$49*'01 Major Assumptions'!$D$72</f>
        <v>0</v>
      </c>
      <c r="Q20" s="90">
        <f>'04 Operating Model'!Q$49*'01 Major Assumptions'!$D$72</f>
        <v>0</v>
      </c>
      <c r="R20" s="90">
        <f>'04 Operating Model'!R$49*'01 Major Assumptions'!$D$72</f>
        <v>0</v>
      </c>
      <c r="S20" s="90">
        <f>'04 Operating Model'!S$49*'01 Major Assumptions'!$D$72</f>
        <v>0</v>
      </c>
      <c r="T20" s="90">
        <f>'04 Operating Model'!T$49*'01 Major Assumptions'!$D$72</f>
        <v>0</v>
      </c>
      <c r="U20" s="90">
        <f>'04 Operating Model'!U$49*'01 Major Assumptions'!$D$72</f>
        <v>0</v>
      </c>
      <c r="V20" s="90">
        <f>'04 Operating Model'!V$49*'01 Major Assumptions'!$D$72</f>
        <v>0</v>
      </c>
      <c r="W20" s="90">
        <f>'04 Operating Model'!W$49*'01 Major Assumptions'!$D$72</f>
        <v>0</v>
      </c>
      <c r="X20" s="90">
        <f>'04 Operating Model'!X$49*'01 Major Assumptions'!$D$72</f>
        <v>0</v>
      </c>
      <c r="Y20" s="63">
        <f>'04 Operating Model'!Y$49*'01 Major Assumptions'!$D$72</f>
        <v>0</v>
      </c>
      <c r="Z20" s="63">
        <f>'04 Operating Model'!Z$49*'01 Major Assumptions'!$D$72</f>
        <v>0</v>
      </c>
      <c r="AA20" s="63">
        <f>'04 Operating Model'!AA$49*'01 Major Assumptions'!$D$72</f>
        <v>0</v>
      </c>
      <c r="AB20" s="63">
        <f>'04 Operating Model'!AB$49*'01 Major Assumptions'!$D$72</f>
        <v>459.09668257756562</v>
      </c>
      <c r="AC20" s="63">
        <f>'04 Operating Model'!AC$49*'01 Major Assumptions'!$D$72</f>
        <v>608.30310441527433</v>
      </c>
      <c r="AD20" s="63">
        <f>'04 Operating Model'!AD$49*'01 Major Assumptions'!$D$72</f>
        <v>757.50952625298339</v>
      </c>
      <c r="AE20" s="90">
        <f>'04 Operating Model'!AE$49*'01 Major Assumptions'!$D$72</f>
        <v>906.71594809069245</v>
      </c>
      <c r="AF20" s="90">
        <f>'04 Operating Model'!AF$49*'01 Major Assumptions'!$D$72</f>
        <v>1055.9223699284009</v>
      </c>
      <c r="AG20" s="90">
        <f>'04 Operating Model'!AG$49*'01 Major Assumptions'!$D$72</f>
        <v>1205.1287917661098</v>
      </c>
      <c r="AH20" s="90">
        <f>'04 Operating Model'!AH$49*'01 Major Assumptions'!$D$72</f>
        <v>1354.3352136038184</v>
      </c>
      <c r="AI20" s="90">
        <f>'04 Operating Model'!AI$49*'01 Major Assumptions'!$D$72</f>
        <v>1503.5416354415272</v>
      </c>
      <c r="AJ20" s="90">
        <f>'04 Operating Model'!AJ$49*'01 Major Assumptions'!$D$72</f>
        <v>1652.7480572792363</v>
      </c>
      <c r="AK20" s="90">
        <f>'04 Operating Model'!AK$49*'01 Major Assumptions'!$D$72</f>
        <v>1801.9544791169453</v>
      </c>
      <c r="AL20" s="90">
        <f>'04 Operating Model'!AL$49*'01 Major Assumptions'!$D$72</f>
        <v>1951.1609009546539</v>
      </c>
      <c r="AM20" s="90">
        <f>'04 Operating Model'!AM$49*'01 Major Assumptions'!$D$72</f>
        <v>2100.3673227923632</v>
      </c>
      <c r="AN20" s="90">
        <f>'04 Operating Model'!AN$49*'01 Major Assumptions'!$D$72</f>
        <v>2249.5737446300714</v>
      </c>
      <c r="AO20" s="90">
        <f>'04 Operating Model'!AO$49*'01 Major Assumptions'!$D$72</f>
        <v>2249.5737446300714</v>
      </c>
      <c r="AP20" s="90">
        <f>'04 Operating Model'!AP$49*'01 Major Assumptions'!$D$72</f>
        <v>2249.5737446300714</v>
      </c>
      <c r="AQ20" s="90">
        <f>'04 Operating Model'!AQ$49*'01 Major Assumptions'!$D$72</f>
        <v>2249.5737446300714</v>
      </c>
      <c r="AR20" s="90">
        <f>'04 Operating Model'!AR$49*'01 Major Assumptions'!$D$72</f>
        <v>2249.5737446300714</v>
      </c>
      <c r="AS20" s="90">
        <f>'04 Operating Model'!AS$49*'01 Major Assumptions'!$D$72</f>
        <v>2249.5737446300714</v>
      </c>
      <c r="AT20" s="90">
        <f>'04 Operating Model'!AT$49*'01 Major Assumptions'!$D$72</f>
        <v>2249.5737446300714</v>
      </c>
      <c r="AU20" s="90">
        <f>'04 Operating Model'!AU$49*'01 Major Assumptions'!$D$72</f>
        <v>2249.5737446300714</v>
      </c>
      <c r="AV20" s="90">
        <f>'04 Operating Model'!AV$49*'01 Major Assumptions'!$D$72</f>
        <v>2249.5737446300714</v>
      </c>
      <c r="AW20" s="90">
        <f>'04 Operating Model'!AW$49*'01 Major Assumptions'!$D$72</f>
        <v>2249.5737446300714</v>
      </c>
      <c r="AX20" s="90">
        <f>'04 Operating Model'!AX$49*'01 Major Assumptions'!$D$72</f>
        <v>2249.5737446300714</v>
      </c>
      <c r="AY20" s="90">
        <f>'04 Operating Model'!AY$49*'01 Major Assumptions'!$D$72</f>
        <v>2249.5737446300714</v>
      </c>
      <c r="AZ20" s="90">
        <f>'04 Operating Model'!AZ$49*'01 Major Assumptions'!$D$72</f>
        <v>2249.5737446300714</v>
      </c>
      <c r="BA20" s="90">
        <f>'04 Operating Model'!BA$49*'01 Major Assumptions'!$D$72</f>
        <v>2249.5737446300714</v>
      </c>
      <c r="BB20" s="90">
        <f>'04 Operating Model'!BB$49*'01 Major Assumptions'!$D$72</f>
        <v>2249.5737446300714</v>
      </c>
      <c r="BC20" s="90">
        <f>'04 Operating Model'!BC$49*'01 Major Assumptions'!$D$72</f>
        <v>2249.5737446300714</v>
      </c>
      <c r="BD20" s="90">
        <f>'04 Operating Model'!BD$49*'01 Major Assumptions'!$D$72</f>
        <v>2249.5737446300714</v>
      </c>
      <c r="BE20" s="90">
        <f>'04 Operating Model'!BE$49*'01 Major Assumptions'!$D$72</f>
        <v>2249.5737446300714</v>
      </c>
      <c r="BF20" s="90">
        <f>'04 Operating Model'!BF$49*'01 Major Assumptions'!$D$72</f>
        <v>2249.5737446300714</v>
      </c>
      <c r="BG20" s="90">
        <f>'04 Operating Model'!BG$49*'01 Major Assumptions'!$D$72</f>
        <v>2249.5737446300714</v>
      </c>
      <c r="BH20" s="90">
        <f>'04 Operating Model'!BH$49*'01 Major Assumptions'!$D$72</f>
        <v>2249.5737446300714</v>
      </c>
      <c r="BI20" s="90">
        <f>'04 Operating Model'!BI$49*'01 Major Assumptions'!$D$72</f>
        <v>26994.884935560858</v>
      </c>
      <c r="BJ20" s="90">
        <f>'04 Operating Model'!BJ$49*'01 Major Assumptions'!$D$72</f>
        <v>26994.884935560858</v>
      </c>
      <c r="BK20" s="90">
        <f>'04 Operating Model'!BK$49*'01 Major Assumptions'!$D$72</f>
        <v>26994.884935560858</v>
      </c>
      <c r="BL20" s="90">
        <f>'04 Operating Model'!BL$49*'01 Major Assumptions'!$D$72</f>
        <v>26994.884935560858</v>
      </c>
      <c r="BM20" s="90">
        <f>'04 Operating Model'!BM$49*'01 Major Assumptions'!$D$72</f>
        <v>26994.884935560858</v>
      </c>
      <c r="BN20" s="90">
        <f>'04 Operating Model'!BN$49*'01 Major Assumptions'!$D$72</f>
        <v>26994.884935560858</v>
      </c>
      <c r="BO20" s="90">
        <f>'04 Operating Model'!BO$49*'01 Major Assumptions'!$D$72</f>
        <v>26994.884935560858</v>
      </c>
    </row>
    <row r="21" spans="1:67">
      <c r="A21" s="11"/>
      <c r="B21" s="11"/>
      <c r="C21" s="11" t="s">
        <v>401</v>
      </c>
      <c r="D21" s="33"/>
      <c r="E21" s="33"/>
      <c r="F21" s="10" t="s">
        <v>99</v>
      </c>
      <c r="G21" s="90">
        <f>'01 Major Assumptions'!$D$71*(1+'01 Major Assumptions'!$D$26)^'02 Oil Price Analysis'!G$57</f>
        <v>25</v>
      </c>
      <c r="H21" s="90">
        <f>'01 Major Assumptions'!$D$71*(1+'01 Major Assumptions'!$D$26)^'02 Oil Price Analysis'!H$57</f>
        <v>25</v>
      </c>
      <c r="I21" s="90">
        <f>'01 Major Assumptions'!$D$71*(1+'01 Major Assumptions'!$D$26)^'02 Oil Price Analysis'!I$57</f>
        <v>25</v>
      </c>
      <c r="J21" s="90">
        <f>'01 Major Assumptions'!$D$71*(1+'01 Major Assumptions'!$D$26)^'02 Oil Price Analysis'!J$57</f>
        <v>25</v>
      </c>
      <c r="K21" s="90">
        <f>'01 Major Assumptions'!$D$71*(1+'01 Major Assumptions'!$D$26)^'02 Oil Price Analysis'!K$57</f>
        <v>25</v>
      </c>
      <c r="L21" s="90">
        <f>'01 Major Assumptions'!$D$71*(1+'01 Major Assumptions'!$D$26)^'02 Oil Price Analysis'!L$57</f>
        <v>25</v>
      </c>
      <c r="M21" s="90">
        <f>'01 Major Assumptions'!$D$71*(1+'01 Major Assumptions'!$D$26)^'02 Oil Price Analysis'!M$57</f>
        <v>25</v>
      </c>
      <c r="N21" s="90">
        <f>'01 Major Assumptions'!$D$71*(1+'01 Major Assumptions'!$D$26)^'02 Oil Price Analysis'!N$57</f>
        <v>25</v>
      </c>
      <c r="O21" s="90">
        <f>'01 Major Assumptions'!$D$71*(1+'01 Major Assumptions'!$D$26)^'02 Oil Price Analysis'!O$57</f>
        <v>25</v>
      </c>
      <c r="P21" s="90">
        <f>'01 Major Assumptions'!$D$71*(1+'01 Major Assumptions'!$D$26)^'02 Oil Price Analysis'!P$57</f>
        <v>25</v>
      </c>
      <c r="Q21" s="90">
        <f>'01 Major Assumptions'!$D$71*(1+'01 Major Assumptions'!$D$26)^'02 Oil Price Analysis'!Q$57</f>
        <v>25</v>
      </c>
      <c r="R21" s="90">
        <f>'01 Major Assumptions'!$D$71*(1+'01 Major Assumptions'!$D$26)^'02 Oil Price Analysis'!R$57</f>
        <v>25</v>
      </c>
      <c r="S21" s="63">
        <f>'01 Major Assumptions'!$D$71*(1+'01 Major Assumptions'!$D$26)^'02 Oil Price Analysis'!S$57</f>
        <v>25.5</v>
      </c>
      <c r="T21" s="63">
        <f>'01 Major Assumptions'!$D$71*(1+'01 Major Assumptions'!$D$26)^'02 Oil Price Analysis'!T$57</f>
        <v>25.5</v>
      </c>
      <c r="U21" s="63">
        <f>'01 Major Assumptions'!$D$71*(1+'01 Major Assumptions'!$D$26)^'02 Oil Price Analysis'!U$57</f>
        <v>25.5</v>
      </c>
      <c r="V21" s="63">
        <f>'01 Major Assumptions'!$D$71*(1+'01 Major Assumptions'!$D$26)^'02 Oil Price Analysis'!V$57</f>
        <v>25.5</v>
      </c>
      <c r="W21" s="63">
        <f>'01 Major Assumptions'!$D$71*(1+'01 Major Assumptions'!$D$26)^'02 Oil Price Analysis'!W$57</f>
        <v>25.5</v>
      </c>
      <c r="X21" s="63">
        <f>'01 Major Assumptions'!$D$71*(1+'01 Major Assumptions'!$D$26)^'02 Oil Price Analysis'!X$57</f>
        <v>25.5</v>
      </c>
      <c r="Y21" s="63">
        <f>'01 Major Assumptions'!$D$71*(1+'01 Major Assumptions'!$D$26)^'02 Oil Price Analysis'!Y$57</f>
        <v>25.5</v>
      </c>
      <c r="Z21" s="63">
        <f>'01 Major Assumptions'!$D$71*(1+'01 Major Assumptions'!$D$26)^'02 Oil Price Analysis'!Z$57</f>
        <v>25.5</v>
      </c>
      <c r="AA21" s="63">
        <f>'01 Major Assumptions'!$D$71*(1+'01 Major Assumptions'!$D$26)^'02 Oil Price Analysis'!AA$57</f>
        <v>25.5</v>
      </c>
      <c r="AB21" s="63">
        <f>'01 Major Assumptions'!$D$71*(1+'01 Major Assumptions'!$D$26)^'02 Oil Price Analysis'!AB$57</f>
        <v>25.5</v>
      </c>
      <c r="AC21" s="63">
        <f>'01 Major Assumptions'!$D$71*(1+'01 Major Assumptions'!$D$26)^'02 Oil Price Analysis'!AC$57</f>
        <v>25.5</v>
      </c>
      <c r="AD21" s="63">
        <f>'01 Major Assumptions'!$D$71*(1+'01 Major Assumptions'!$D$26)^'02 Oil Price Analysis'!AD$57</f>
        <v>25.5</v>
      </c>
      <c r="AE21" s="63">
        <f>'01 Major Assumptions'!$D$71*(1+'01 Major Assumptions'!$D$26)^'02 Oil Price Analysis'!AE$57</f>
        <v>26.009999999999998</v>
      </c>
      <c r="AF21" s="63">
        <f>'01 Major Assumptions'!$D$71*(1+'01 Major Assumptions'!$D$26)^'02 Oil Price Analysis'!AF$57</f>
        <v>26.009999999999998</v>
      </c>
      <c r="AG21" s="63">
        <f>'01 Major Assumptions'!$D$71*(1+'01 Major Assumptions'!$D$26)^'02 Oil Price Analysis'!AG$57</f>
        <v>26.009999999999998</v>
      </c>
      <c r="AH21" s="63">
        <f>'01 Major Assumptions'!$D$71*(1+'01 Major Assumptions'!$D$26)^'02 Oil Price Analysis'!AH$57</f>
        <v>26.009999999999998</v>
      </c>
      <c r="AI21" s="63">
        <f>'01 Major Assumptions'!$D$71*(1+'01 Major Assumptions'!$D$26)^'02 Oil Price Analysis'!AI$57</f>
        <v>26.009999999999998</v>
      </c>
      <c r="AJ21" s="63">
        <f>'01 Major Assumptions'!$D$71*(1+'01 Major Assumptions'!$D$26)^'02 Oil Price Analysis'!AJ$57</f>
        <v>26.009999999999998</v>
      </c>
      <c r="AK21" s="63">
        <f>'01 Major Assumptions'!$D$71*(1+'01 Major Assumptions'!$D$26)^'02 Oil Price Analysis'!AK$57</f>
        <v>26.009999999999998</v>
      </c>
      <c r="AL21" s="63">
        <f>'01 Major Assumptions'!$D$71*(1+'01 Major Assumptions'!$D$26)^'02 Oil Price Analysis'!AL$57</f>
        <v>26.009999999999998</v>
      </c>
      <c r="AM21" s="63">
        <f>'01 Major Assumptions'!$D$71*(1+'01 Major Assumptions'!$D$26)^'02 Oil Price Analysis'!AM$57</f>
        <v>26.009999999999998</v>
      </c>
      <c r="AN21" s="63">
        <f>'01 Major Assumptions'!$D$71*(1+'01 Major Assumptions'!$D$26)^'02 Oil Price Analysis'!AN$57</f>
        <v>26.009999999999998</v>
      </c>
      <c r="AO21" s="63">
        <f>'01 Major Assumptions'!$D$71*(1+'01 Major Assumptions'!$D$26)^'02 Oil Price Analysis'!AO$57</f>
        <v>26.009999999999998</v>
      </c>
      <c r="AP21" s="63">
        <f>'01 Major Assumptions'!$D$71*(1+'01 Major Assumptions'!$D$26)^'02 Oil Price Analysis'!AP$57</f>
        <v>26.009999999999998</v>
      </c>
      <c r="AQ21" s="63">
        <f>'01 Major Assumptions'!$D$71*(1+'01 Major Assumptions'!$D$26)^'02 Oil Price Analysis'!AQ$57</f>
        <v>26.530199999999997</v>
      </c>
      <c r="AR21" s="63">
        <f>'01 Major Assumptions'!$D$71*(1+'01 Major Assumptions'!$D$26)^'02 Oil Price Analysis'!AR$57</f>
        <v>26.530199999999997</v>
      </c>
      <c r="AS21" s="63">
        <f>'01 Major Assumptions'!$D$71*(1+'01 Major Assumptions'!$D$26)^'02 Oil Price Analysis'!AS$57</f>
        <v>26.530199999999997</v>
      </c>
      <c r="AT21" s="63">
        <f>'01 Major Assumptions'!$D$71*(1+'01 Major Assumptions'!$D$26)^'02 Oil Price Analysis'!AT$57</f>
        <v>26.530199999999997</v>
      </c>
      <c r="AU21" s="63">
        <f>'01 Major Assumptions'!$D$71*(1+'01 Major Assumptions'!$D$26)^'02 Oil Price Analysis'!AU$57</f>
        <v>26.530199999999997</v>
      </c>
      <c r="AV21" s="63">
        <f>'01 Major Assumptions'!$D$71*(1+'01 Major Assumptions'!$D$26)^'02 Oil Price Analysis'!AV$57</f>
        <v>26.530199999999997</v>
      </c>
      <c r="AW21" s="63">
        <f>'01 Major Assumptions'!$D$71*(1+'01 Major Assumptions'!$D$26)^'02 Oil Price Analysis'!AW$57</f>
        <v>26.530199999999997</v>
      </c>
      <c r="AX21" s="63">
        <f>'01 Major Assumptions'!$D$71*(1+'01 Major Assumptions'!$D$26)^'02 Oil Price Analysis'!AX$57</f>
        <v>26.530199999999997</v>
      </c>
      <c r="AY21" s="63">
        <f>'01 Major Assumptions'!$D$71*(1+'01 Major Assumptions'!$D$26)^'02 Oil Price Analysis'!AY$57</f>
        <v>26.530199999999997</v>
      </c>
      <c r="AZ21" s="63">
        <f>'01 Major Assumptions'!$D$71*(1+'01 Major Assumptions'!$D$26)^'02 Oil Price Analysis'!AZ$57</f>
        <v>26.530199999999997</v>
      </c>
      <c r="BA21" s="63">
        <f>'01 Major Assumptions'!$D$71*(1+'01 Major Assumptions'!$D$26)^'02 Oil Price Analysis'!BA$57</f>
        <v>26.530199999999997</v>
      </c>
      <c r="BB21" s="63">
        <f>'01 Major Assumptions'!$D$71*(1+'01 Major Assumptions'!$D$26)^'02 Oil Price Analysis'!BB$57</f>
        <v>26.530199999999997</v>
      </c>
      <c r="BC21" s="63">
        <f>'01 Major Assumptions'!$D$71*(1+'01 Major Assumptions'!$D$26)^'02 Oil Price Analysis'!BC$57</f>
        <v>27.060804000000001</v>
      </c>
      <c r="BD21" s="63">
        <f>'01 Major Assumptions'!$D$71*(1+'01 Major Assumptions'!$D$26)^'02 Oil Price Analysis'!BD$57</f>
        <v>27.060804000000001</v>
      </c>
      <c r="BE21" s="63">
        <f>'01 Major Assumptions'!$D$71*(1+'01 Major Assumptions'!$D$26)^'02 Oil Price Analysis'!BE$57</f>
        <v>27.060804000000001</v>
      </c>
      <c r="BF21" s="63">
        <f>'01 Major Assumptions'!$D$71*(1+'01 Major Assumptions'!$D$26)^'02 Oil Price Analysis'!BF$57</f>
        <v>27.060804000000001</v>
      </c>
      <c r="BG21" s="63">
        <f>'01 Major Assumptions'!$D$71*(1+'01 Major Assumptions'!$D$26)^'02 Oil Price Analysis'!BG$57</f>
        <v>27.060804000000001</v>
      </c>
      <c r="BH21" s="63">
        <f>'01 Major Assumptions'!$D$71*(1+'01 Major Assumptions'!$D$26)^'02 Oil Price Analysis'!BH$57</f>
        <v>27.060804000000001</v>
      </c>
      <c r="BI21" s="63">
        <f>'01 Major Assumptions'!$D$71*(1+'01 Major Assumptions'!$D$26)^'02 Oil Price Analysis'!BI$57</f>
        <v>27.602020079999999</v>
      </c>
      <c r="BJ21" s="63">
        <f>'01 Major Assumptions'!$D$71*(1+'01 Major Assumptions'!$D$26)^'02 Oil Price Analysis'!BJ$57</f>
        <v>28.154060481600002</v>
      </c>
      <c r="BK21" s="63">
        <f>'01 Major Assumptions'!$D$71*(1+'01 Major Assumptions'!$D$26)^'02 Oil Price Analysis'!BK$57</f>
        <v>28.717141691231994</v>
      </c>
      <c r="BL21" s="63">
        <f>'01 Major Assumptions'!$D$71*(1+'01 Major Assumptions'!$D$26)^'02 Oil Price Analysis'!BL$57</f>
        <v>29.291484525056639</v>
      </c>
      <c r="BM21" s="63">
        <f>'01 Major Assumptions'!$D$71*(1+'01 Major Assumptions'!$D$26)^'02 Oil Price Analysis'!BM$57</f>
        <v>29.877314215557771</v>
      </c>
      <c r="BN21" s="63">
        <f>'01 Major Assumptions'!$D$71*(1+'01 Major Assumptions'!$D$26)^'02 Oil Price Analysis'!BN$57</f>
        <v>30.474860499868928</v>
      </c>
      <c r="BO21" s="63">
        <f>'01 Major Assumptions'!$D$71*(1+'01 Major Assumptions'!$D$26)^'02 Oil Price Analysis'!BO$57</f>
        <v>31.0843577098663</v>
      </c>
    </row>
    <row r="22" spans="1:67">
      <c r="A22" s="11"/>
      <c r="B22" s="11"/>
      <c r="C22" s="11" t="s">
        <v>402</v>
      </c>
      <c r="D22" s="33"/>
      <c r="E22" s="33"/>
      <c r="F22" s="10" t="s">
        <v>13</v>
      </c>
      <c r="G22" s="90">
        <f>G20*G21</f>
        <v>0</v>
      </c>
      <c r="H22" s="90">
        <f t="shared" ref="H22:BI22" si="14">H20*H21</f>
        <v>0</v>
      </c>
      <c r="I22" s="90">
        <f t="shared" si="14"/>
        <v>0</v>
      </c>
      <c r="J22" s="90">
        <f t="shared" si="14"/>
        <v>0</v>
      </c>
      <c r="K22" s="90">
        <f t="shared" si="14"/>
        <v>0</v>
      </c>
      <c r="L22" s="90">
        <f t="shared" si="14"/>
        <v>0</v>
      </c>
      <c r="M22" s="90">
        <f t="shared" si="14"/>
        <v>0</v>
      </c>
      <c r="N22" s="90">
        <f t="shared" si="14"/>
        <v>0</v>
      </c>
      <c r="O22" s="90">
        <f t="shared" si="14"/>
        <v>0</v>
      </c>
      <c r="P22" s="90">
        <f t="shared" si="14"/>
        <v>0</v>
      </c>
      <c r="Q22" s="90">
        <f t="shared" si="14"/>
        <v>0</v>
      </c>
      <c r="R22" s="90">
        <f t="shared" si="14"/>
        <v>0</v>
      </c>
      <c r="S22" s="90">
        <f t="shared" si="14"/>
        <v>0</v>
      </c>
      <c r="T22" s="90">
        <f t="shared" si="14"/>
        <v>0</v>
      </c>
      <c r="U22" s="90">
        <f t="shared" si="14"/>
        <v>0</v>
      </c>
      <c r="V22" s="90">
        <f t="shared" si="14"/>
        <v>0</v>
      </c>
      <c r="W22" s="90">
        <f t="shared" si="14"/>
        <v>0</v>
      </c>
      <c r="X22" s="90">
        <f t="shared" si="14"/>
        <v>0</v>
      </c>
      <c r="Y22" s="90">
        <f t="shared" si="14"/>
        <v>0</v>
      </c>
      <c r="Z22" s="90">
        <f t="shared" si="14"/>
        <v>0</v>
      </c>
      <c r="AA22" s="90">
        <f t="shared" si="14"/>
        <v>0</v>
      </c>
      <c r="AB22" s="90">
        <f t="shared" si="14"/>
        <v>11706.965405727924</v>
      </c>
      <c r="AC22" s="90">
        <f t="shared" si="14"/>
        <v>15511.729162589496</v>
      </c>
      <c r="AD22" s="90">
        <f t="shared" si="14"/>
        <v>19316.492919451077</v>
      </c>
      <c r="AE22" s="90">
        <f t="shared" si="14"/>
        <v>23583.681809838909</v>
      </c>
      <c r="AF22" s="90">
        <f t="shared" si="14"/>
        <v>27464.540841837705</v>
      </c>
      <c r="AG22" s="90">
        <f t="shared" si="14"/>
        <v>31345.399873836512</v>
      </c>
      <c r="AH22" s="90">
        <f t="shared" si="14"/>
        <v>35226.258905835311</v>
      </c>
      <c r="AI22" s="90">
        <f t="shared" si="14"/>
        <v>39107.117937834118</v>
      </c>
      <c r="AJ22" s="90">
        <f t="shared" si="14"/>
        <v>42987.976969832933</v>
      </c>
      <c r="AK22" s="90">
        <f t="shared" si="14"/>
        <v>46868.836001831747</v>
      </c>
      <c r="AL22" s="90">
        <f t="shared" si="14"/>
        <v>50749.695033830547</v>
      </c>
      <c r="AM22" s="90">
        <f t="shared" si="14"/>
        <v>54630.554065829361</v>
      </c>
      <c r="AN22" s="90">
        <f t="shared" si="14"/>
        <v>58511.413097828154</v>
      </c>
      <c r="AO22" s="90">
        <f t="shared" si="14"/>
        <v>58511.413097828154</v>
      </c>
      <c r="AP22" s="90">
        <f t="shared" si="14"/>
        <v>58511.413097828154</v>
      </c>
      <c r="AQ22" s="90">
        <f t="shared" si="14"/>
        <v>59681.641359784713</v>
      </c>
      <c r="AR22" s="90">
        <f t="shared" si="14"/>
        <v>59681.641359784713</v>
      </c>
      <c r="AS22" s="90">
        <f t="shared" si="14"/>
        <v>59681.641359784713</v>
      </c>
      <c r="AT22" s="90">
        <f t="shared" si="14"/>
        <v>59681.641359784713</v>
      </c>
      <c r="AU22" s="90">
        <f t="shared" si="14"/>
        <v>59681.641359784713</v>
      </c>
      <c r="AV22" s="90">
        <f t="shared" si="14"/>
        <v>59681.641359784713</v>
      </c>
      <c r="AW22" s="90">
        <f t="shared" si="14"/>
        <v>59681.641359784713</v>
      </c>
      <c r="AX22" s="90">
        <f t="shared" si="14"/>
        <v>59681.641359784713</v>
      </c>
      <c r="AY22" s="90">
        <f t="shared" si="14"/>
        <v>59681.641359784713</v>
      </c>
      <c r="AZ22" s="90">
        <f t="shared" si="14"/>
        <v>59681.641359784713</v>
      </c>
      <c r="BA22" s="90">
        <f t="shared" si="14"/>
        <v>59681.641359784713</v>
      </c>
      <c r="BB22" s="90">
        <f t="shared" si="14"/>
        <v>59681.641359784713</v>
      </c>
      <c r="BC22" s="90">
        <f t="shared" si="14"/>
        <v>60875.274186980416</v>
      </c>
      <c r="BD22" s="90">
        <f t="shared" si="14"/>
        <v>60875.274186980416</v>
      </c>
      <c r="BE22" s="90">
        <f t="shared" si="14"/>
        <v>60875.274186980416</v>
      </c>
      <c r="BF22" s="90">
        <f t="shared" si="14"/>
        <v>60875.274186980416</v>
      </c>
      <c r="BG22" s="90">
        <f t="shared" si="14"/>
        <v>60875.274186980416</v>
      </c>
      <c r="BH22" s="90">
        <f t="shared" si="14"/>
        <v>60875.274186980416</v>
      </c>
      <c r="BI22" s="90">
        <f t="shared" si="14"/>
        <v>745113.35604864033</v>
      </c>
      <c r="BJ22" s="90">
        <f t="shared" ref="BJ22" si="15">BJ20*BJ21</f>
        <v>760015.62316961319</v>
      </c>
      <c r="BK22" s="90">
        <f t="shared" ref="BK22" si="16">BK20*BK21</f>
        <v>775215.93563300523</v>
      </c>
      <c r="BL22" s="90">
        <f t="shared" ref="BL22" si="17">BL20*BL21</f>
        <v>790720.25434566545</v>
      </c>
      <c r="BM22" s="90">
        <f t="shared" ref="BM22" si="18">BM20*BM21</f>
        <v>806534.65943257872</v>
      </c>
      <c r="BN22" s="90">
        <f t="shared" ref="BN22" si="19">BN20*BN21</f>
        <v>822665.35262123041</v>
      </c>
      <c r="BO22" s="90">
        <f t="shared" ref="BO22" si="20">BO20*BO21</f>
        <v>839118.65967365482</v>
      </c>
    </row>
    <row r="23" spans="1:67">
      <c r="A23" s="11"/>
      <c r="B23" s="11"/>
      <c r="C23" s="11" t="s">
        <v>403</v>
      </c>
      <c r="D23" s="33"/>
      <c r="E23" s="33"/>
      <c r="F23" s="10" t="s">
        <v>400</v>
      </c>
      <c r="G23" s="90">
        <f>G20*'01 Major Assumptions'!$D$74</f>
        <v>0</v>
      </c>
      <c r="H23" s="90">
        <f>H20*'01 Major Assumptions'!$D$74</f>
        <v>0</v>
      </c>
      <c r="I23" s="90">
        <f>I20*'01 Major Assumptions'!$D$74</f>
        <v>0</v>
      </c>
      <c r="J23" s="90">
        <f>J20*'01 Major Assumptions'!$D$74</f>
        <v>0</v>
      </c>
      <c r="K23" s="90">
        <f>K20*'01 Major Assumptions'!$D$74</f>
        <v>0</v>
      </c>
      <c r="L23" s="90">
        <f>L20*'01 Major Assumptions'!$D$74</f>
        <v>0</v>
      </c>
      <c r="M23" s="90">
        <f>M20*'01 Major Assumptions'!$D$74</f>
        <v>0</v>
      </c>
      <c r="N23" s="90">
        <f>N20*'01 Major Assumptions'!$D$74</f>
        <v>0</v>
      </c>
      <c r="O23" s="90">
        <f>O20*'01 Major Assumptions'!$D$74</f>
        <v>0</v>
      </c>
      <c r="P23" s="90">
        <f>P20*'01 Major Assumptions'!$D$74</f>
        <v>0</v>
      </c>
      <c r="Q23" s="90">
        <f>Q20*'01 Major Assumptions'!$D$74</f>
        <v>0</v>
      </c>
      <c r="R23" s="90">
        <f>R20*'01 Major Assumptions'!$D$74</f>
        <v>0</v>
      </c>
      <c r="S23" s="90">
        <f>S20*'01 Major Assumptions'!$D$74</f>
        <v>0</v>
      </c>
      <c r="T23" s="90">
        <f>T20*'01 Major Assumptions'!$D$74</f>
        <v>0</v>
      </c>
      <c r="U23" s="90">
        <f>U20*'01 Major Assumptions'!$D$74</f>
        <v>0</v>
      </c>
      <c r="V23" s="90">
        <f>V20*'01 Major Assumptions'!$D$74</f>
        <v>0</v>
      </c>
      <c r="W23" s="90">
        <f>W20*'01 Major Assumptions'!$D$74</f>
        <v>0</v>
      </c>
      <c r="X23" s="90">
        <f>X20*'01 Major Assumptions'!$D$74</f>
        <v>0</v>
      </c>
      <c r="Y23" s="63">
        <f>Y20*'01 Major Assumptions'!$D$74</f>
        <v>0</v>
      </c>
      <c r="Z23" s="63">
        <f>Z20*'01 Major Assumptions'!$D$74</f>
        <v>0</v>
      </c>
      <c r="AA23" s="63">
        <f>AA20*'01 Major Assumptions'!$D$74</f>
        <v>0</v>
      </c>
      <c r="AB23" s="63">
        <f>AB20*'01 Major Assumptions'!$D$74</f>
        <v>275.45800954653936</v>
      </c>
      <c r="AC23" s="63">
        <f>AC20*'01 Major Assumptions'!$D$74</f>
        <v>364.98186264916461</v>
      </c>
      <c r="AD23" s="63">
        <f>AD20*'01 Major Assumptions'!$D$74</f>
        <v>454.50571575179004</v>
      </c>
      <c r="AE23" s="63">
        <f>AE20*'01 Major Assumptions'!$D$74</f>
        <v>544.0295688544154</v>
      </c>
      <c r="AF23" s="63">
        <f>AF20*'01 Major Assumptions'!$D$74</f>
        <v>633.55342195704054</v>
      </c>
      <c r="AG23" s="63">
        <f>AG20*'01 Major Assumptions'!$D$74</f>
        <v>723.07727505966579</v>
      </c>
      <c r="AH23" s="63">
        <f>AH20*'01 Major Assumptions'!$D$74</f>
        <v>812.60112816229105</v>
      </c>
      <c r="AI23" s="63">
        <f>AI20*'01 Major Assumptions'!$D$74</f>
        <v>902.1249812649163</v>
      </c>
      <c r="AJ23" s="90">
        <f>AJ20*'01 Major Assumptions'!$D$74</f>
        <v>991.64883436754167</v>
      </c>
      <c r="AK23" s="90">
        <f>AK20*'01 Major Assumptions'!$D$74</f>
        <v>1081.1726874701671</v>
      </c>
      <c r="AL23" s="90">
        <f>AL20*'01 Major Assumptions'!$D$74</f>
        <v>1170.6965405727924</v>
      </c>
      <c r="AM23" s="90">
        <f>AM20*'01 Major Assumptions'!$D$74</f>
        <v>1260.2203936754179</v>
      </c>
      <c r="AN23" s="90">
        <f>AN20*'01 Major Assumptions'!$D$74</f>
        <v>1349.7442467780427</v>
      </c>
      <c r="AO23" s="90">
        <f>AO20*'01 Major Assumptions'!$D$74</f>
        <v>1349.7442467780427</v>
      </c>
      <c r="AP23" s="90">
        <f>AP20*'01 Major Assumptions'!$D$74</f>
        <v>1349.7442467780427</v>
      </c>
      <c r="AQ23" s="90">
        <f>AQ20*'01 Major Assumptions'!$D$74</f>
        <v>1349.7442467780427</v>
      </c>
      <c r="AR23" s="90">
        <f>AR20*'01 Major Assumptions'!$D$74</f>
        <v>1349.7442467780427</v>
      </c>
      <c r="AS23" s="90">
        <f>AS20*'01 Major Assumptions'!$D$74</f>
        <v>1349.7442467780427</v>
      </c>
      <c r="AT23" s="90">
        <f>AT20*'01 Major Assumptions'!$D$74</f>
        <v>1349.7442467780427</v>
      </c>
      <c r="AU23" s="90">
        <f>AU20*'01 Major Assumptions'!$D$74</f>
        <v>1349.7442467780427</v>
      </c>
      <c r="AV23" s="90">
        <f>AV20*'01 Major Assumptions'!$D$74</f>
        <v>1349.7442467780427</v>
      </c>
      <c r="AW23" s="90">
        <f>AW20*'01 Major Assumptions'!$D$74</f>
        <v>1349.7442467780427</v>
      </c>
      <c r="AX23" s="90">
        <f>AX20*'01 Major Assumptions'!$D$74</f>
        <v>1349.7442467780427</v>
      </c>
      <c r="AY23" s="90">
        <f>AY20*'01 Major Assumptions'!$D$74</f>
        <v>1349.7442467780427</v>
      </c>
      <c r="AZ23" s="90">
        <f>AZ20*'01 Major Assumptions'!$D$74</f>
        <v>1349.7442467780427</v>
      </c>
      <c r="BA23" s="90">
        <f>BA20*'01 Major Assumptions'!$D$74</f>
        <v>1349.7442467780427</v>
      </c>
      <c r="BB23" s="90">
        <f>BB20*'01 Major Assumptions'!$D$74</f>
        <v>1349.7442467780427</v>
      </c>
      <c r="BC23" s="90">
        <f>BC20*'01 Major Assumptions'!$D$74</f>
        <v>1349.7442467780427</v>
      </c>
      <c r="BD23" s="90">
        <f>BD20*'01 Major Assumptions'!$D$74</f>
        <v>1349.7442467780427</v>
      </c>
      <c r="BE23" s="90">
        <f>BE20*'01 Major Assumptions'!$D$74</f>
        <v>1349.7442467780427</v>
      </c>
      <c r="BF23" s="90">
        <f>BF20*'01 Major Assumptions'!$D$74</f>
        <v>1349.7442467780427</v>
      </c>
      <c r="BG23" s="90">
        <f>BG20*'01 Major Assumptions'!$D$74</f>
        <v>1349.7442467780427</v>
      </c>
      <c r="BH23" s="90">
        <f>BH20*'01 Major Assumptions'!$D$74</f>
        <v>1349.7442467780427</v>
      </c>
      <c r="BI23" s="90">
        <f>BI20*'01 Major Assumptions'!$D$74</f>
        <v>16196.930961336515</v>
      </c>
      <c r="BJ23" s="90">
        <f>BJ20*'01 Major Assumptions'!$D$74</f>
        <v>16196.930961336515</v>
      </c>
      <c r="BK23" s="90">
        <f>BK20*'01 Major Assumptions'!$D$74</f>
        <v>16196.930961336515</v>
      </c>
      <c r="BL23" s="90">
        <f>BL20*'01 Major Assumptions'!$D$74</f>
        <v>16196.930961336515</v>
      </c>
      <c r="BM23" s="90">
        <f>BM20*'01 Major Assumptions'!$D$74</f>
        <v>16196.930961336515</v>
      </c>
      <c r="BN23" s="90">
        <f>BN20*'01 Major Assumptions'!$D$74</f>
        <v>16196.930961336515</v>
      </c>
      <c r="BO23" s="90">
        <f>BO20*'01 Major Assumptions'!$D$74</f>
        <v>16196.930961336515</v>
      </c>
    </row>
    <row r="24" spans="1:67">
      <c r="A24" s="11"/>
      <c r="B24" s="11"/>
      <c r="C24" s="11" t="s">
        <v>404</v>
      </c>
      <c r="D24" s="33"/>
      <c r="E24" s="33"/>
      <c r="F24" s="10" t="s">
        <v>99</v>
      </c>
      <c r="G24" s="90">
        <f>'01 Major Assumptions'!$D$73*(1+'01 Major Assumptions'!$D$26)^'02 Oil Price Analysis'!G$57</f>
        <v>15</v>
      </c>
      <c r="H24" s="90">
        <f>'01 Major Assumptions'!$D$73*(1+'01 Major Assumptions'!$D$26)^'02 Oil Price Analysis'!H$57</f>
        <v>15</v>
      </c>
      <c r="I24" s="90">
        <f>'01 Major Assumptions'!$D$73*(1+'01 Major Assumptions'!$D$26)^'02 Oil Price Analysis'!I$57</f>
        <v>15</v>
      </c>
      <c r="J24" s="90">
        <f>'01 Major Assumptions'!$D$73*(1+'01 Major Assumptions'!$D$26)^'02 Oil Price Analysis'!J$57</f>
        <v>15</v>
      </c>
      <c r="K24" s="90">
        <f>'01 Major Assumptions'!$D$73*(1+'01 Major Assumptions'!$D$26)^'02 Oil Price Analysis'!K$57</f>
        <v>15</v>
      </c>
      <c r="L24" s="90">
        <f>'01 Major Assumptions'!$D$73*(1+'01 Major Assumptions'!$D$26)^'02 Oil Price Analysis'!L$57</f>
        <v>15</v>
      </c>
      <c r="M24" s="90">
        <f>'01 Major Assumptions'!$D$73*(1+'01 Major Assumptions'!$D$26)^'02 Oil Price Analysis'!M$57</f>
        <v>15</v>
      </c>
      <c r="N24" s="90">
        <f>'01 Major Assumptions'!$D$73*(1+'01 Major Assumptions'!$D$26)^'02 Oil Price Analysis'!N$57</f>
        <v>15</v>
      </c>
      <c r="O24" s="90">
        <f>'01 Major Assumptions'!$D$73*(1+'01 Major Assumptions'!$D$26)^'02 Oil Price Analysis'!O$57</f>
        <v>15</v>
      </c>
      <c r="P24" s="90">
        <f>'01 Major Assumptions'!$D$73*(1+'01 Major Assumptions'!$D$26)^'02 Oil Price Analysis'!P$57</f>
        <v>15</v>
      </c>
      <c r="Q24" s="90">
        <f>'01 Major Assumptions'!$D$73*(1+'01 Major Assumptions'!$D$26)^'02 Oil Price Analysis'!Q$57</f>
        <v>15</v>
      </c>
      <c r="R24" s="90">
        <f>'01 Major Assumptions'!$D$73*(1+'01 Major Assumptions'!$D$26)^'02 Oil Price Analysis'!R$57</f>
        <v>15</v>
      </c>
      <c r="S24" s="63">
        <f>'01 Major Assumptions'!$D$73*(1+'01 Major Assumptions'!$D$26)^'02 Oil Price Analysis'!S$57</f>
        <v>15.3</v>
      </c>
      <c r="T24" s="63">
        <f>'01 Major Assumptions'!$D$73*(1+'01 Major Assumptions'!$D$26)^'02 Oil Price Analysis'!T$57</f>
        <v>15.3</v>
      </c>
      <c r="U24" s="63">
        <f>'01 Major Assumptions'!$D$73*(1+'01 Major Assumptions'!$D$26)^'02 Oil Price Analysis'!U$57</f>
        <v>15.3</v>
      </c>
      <c r="V24" s="63">
        <f>'01 Major Assumptions'!$D$73*(1+'01 Major Assumptions'!$D$26)^'02 Oil Price Analysis'!V$57</f>
        <v>15.3</v>
      </c>
      <c r="W24" s="63">
        <f>'01 Major Assumptions'!$D$73*(1+'01 Major Assumptions'!$D$26)^'02 Oil Price Analysis'!W$57</f>
        <v>15.3</v>
      </c>
      <c r="X24" s="63">
        <f>'01 Major Assumptions'!$D$73*(1+'01 Major Assumptions'!$D$26)^'02 Oil Price Analysis'!X$57</f>
        <v>15.3</v>
      </c>
      <c r="Y24" s="63">
        <f>'01 Major Assumptions'!$D$73*(1+'01 Major Assumptions'!$D$26)^'02 Oil Price Analysis'!Y$57</f>
        <v>15.3</v>
      </c>
      <c r="Z24" s="63">
        <f>'01 Major Assumptions'!$D$73*(1+'01 Major Assumptions'!$D$26)^'02 Oil Price Analysis'!Z$57</f>
        <v>15.3</v>
      </c>
      <c r="AA24" s="63">
        <f>'01 Major Assumptions'!$D$73*(1+'01 Major Assumptions'!$D$26)^'02 Oil Price Analysis'!AA$57</f>
        <v>15.3</v>
      </c>
      <c r="AB24" s="63">
        <f>'01 Major Assumptions'!$D$73*(1+'01 Major Assumptions'!$D$26)^'02 Oil Price Analysis'!AB$57</f>
        <v>15.3</v>
      </c>
      <c r="AC24" s="63">
        <f>'01 Major Assumptions'!$D$73*(1+'01 Major Assumptions'!$D$26)^'02 Oil Price Analysis'!AC$57</f>
        <v>15.3</v>
      </c>
      <c r="AD24" s="63">
        <f>'01 Major Assumptions'!$D$73*(1+'01 Major Assumptions'!$D$26)^'02 Oil Price Analysis'!AD$57</f>
        <v>15.3</v>
      </c>
      <c r="AE24" s="63">
        <f>'01 Major Assumptions'!$D$73*(1+'01 Major Assumptions'!$D$26)^'02 Oil Price Analysis'!AE$57</f>
        <v>15.606</v>
      </c>
      <c r="AF24" s="63">
        <f>'01 Major Assumptions'!$D$73*(1+'01 Major Assumptions'!$D$26)^'02 Oil Price Analysis'!AF$57</f>
        <v>15.606</v>
      </c>
      <c r="AG24" s="63">
        <f>'01 Major Assumptions'!$D$73*(1+'01 Major Assumptions'!$D$26)^'02 Oil Price Analysis'!AG$57</f>
        <v>15.606</v>
      </c>
      <c r="AH24" s="63">
        <f>'01 Major Assumptions'!$D$73*(1+'01 Major Assumptions'!$D$26)^'02 Oil Price Analysis'!AH$57</f>
        <v>15.606</v>
      </c>
      <c r="AI24" s="63">
        <f>'01 Major Assumptions'!$D$73*(1+'01 Major Assumptions'!$D$26)^'02 Oil Price Analysis'!AI$57</f>
        <v>15.606</v>
      </c>
      <c r="AJ24" s="63">
        <f>'01 Major Assumptions'!$D$73*(1+'01 Major Assumptions'!$D$26)^'02 Oil Price Analysis'!AJ$57</f>
        <v>15.606</v>
      </c>
      <c r="AK24" s="63">
        <f>'01 Major Assumptions'!$D$73*(1+'01 Major Assumptions'!$D$26)^'02 Oil Price Analysis'!AK$57</f>
        <v>15.606</v>
      </c>
      <c r="AL24" s="63">
        <f>'01 Major Assumptions'!$D$73*(1+'01 Major Assumptions'!$D$26)^'02 Oil Price Analysis'!AL$57</f>
        <v>15.606</v>
      </c>
      <c r="AM24" s="63">
        <f>'01 Major Assumptions'!$D$73*(1+'01 Major Assumptions'!$D$26)^'02 Oil Price Analysis'!AM$57</f>
        <v>15.606</v>
      </c>
      <c r="AN24" s="63">
        <f>'01 Major Assumptions'!$D$73*(1+'01 Major Assumptions'!$D$26)^'02 Oil Price Analysis'!AN$57</f>
        <v>15.606</v>
      </c>
      <c r="AO24" s="63">
        <f>'01 Major Assumptions'!$D$73*(1+'01 Major Assumptions'!$D$26)^'02 Oil Price Analysis'!AO$57</f>
        <v>15.606</v>
      </c>
      <c r="AP24" s="63">
        <f>'01 Major Assumptions'!$D$73*(1+'01 Major Assumptions'!$D$26)^'02 Oil Price Analysis'!AP$57</f>
        <v>15.606</v>
      </c>
      <c r="AQ24" s="63">
        <f>'01 Major Assumptions'!$D$73*(1+'01 Major Assumptions'!$D$26)^'02 Oil Price Analysis'!AQ$57</f>
        <v>15.918119999999998</v>
      </c>
      <c r="AR24" s="63">
        <f>'01 Major Assumptions'!$D$73*(1+'01 Major Assumptions'!$D$26)^'02 Oil Price Analysis'!AR$57</f>
        <v>15.918119999999998</v>
      </c>
      <c r="AS24" s="63">
        <f>'01 Major Assumptions'!$D$73*(1+'01 Major Assumptions'!$D$26)^'02 Oil Price Analysis'!AS$57</f>
        <v>15.918119999999998</v>
      </c>
      <c r="AT24" s="63">
        <f>'01 Major Assumptions'!$D$73*(1+'01 Major Assumptions'!$D$26)^'02 Oil Price Analysis'!AT$57</f>
        <v>15.918119999999998</v>
      </c>
      <c r="AU24" s="63">
        <f>'01 Major Assumptions'!$D$73*(1+'01 Major Assumptions'!$D$26)^'02 Oil Price Analysis'!AU$57</f>
        <v>15.918119999999998</v>
      </c>
      <c r="AV24" s="63">
        <f>'01 Major Assumptions'!$D$73*(1+'01 Major Assumptions'!$D$26)^'02 Oil Price Analysis'!AV$57</f>
        <v>15.918119999999998</v>
      </c>
      <c r="AW24" s="63">
        <f>'01 Major Assumptions'!$D$73*(1+'01 Major Assumptions'!$D$26)^'02 Oil Price Analysis'!AW$57</f>
        <v>15.918119999999998</v>
      </c>
      <c r="AX24" s="63">
        <f>'01 Major Assumptions'!$D$73*(1+'01 Major Assumptions'!$D$26)^'02 Oil Price Analysis'!AX$57</f>
        <v>15.918119999999998</v>
      </c>
      <c r="AY24" s="63">
        <f>'01 Major Assumptions'!$D$73*(1+'01 Major Assumptions'!$D$26)^'02 Oil Price Analysis'!AY$57</f>
        <v>15.918119999999998</v>
      </c>
      <c r="AZ24" s="63">
        <f>'01 Major Assumptions'!$D$73*(1+'01 Major Assumptions'!$D$26)^'02 Oil Price Analysis'!AZ$57</f>
        <v>15.918119999999998</v>
      </c>
      <c r="BA24" s="63">
        <f>'01 Major Assumptions'!$D$73*(1+'01 Major Assumptions'!$D$26)^'02 Oil Price Analysis'!BA$57</f>
        <v>15.918119999999998</v>
      </c>
      <c r="BB24" s="63">
        <f>'01 Major Assumptions'!$D$73*(1+'01 Major Assumptions'!$D$26)^'02 Oil Price Analysis'!BB$57</f>
        <v>15.918119999999998</v>
      </c>
      <c r="BC24" s="63">
        <f>'01 Major Assumptions'!$D$73*(1+'01 Major Assumptions'!$D$26)^'02 Oil Price Analysis'!BC$57</f>
        <v>16.2364824</v>
      </c>
      <c r="BD24" s="63">
        <f>'01 Major Assumptions'!$D$73*(1+'01 Major Assumptions'!$D$26)^'02 Oil Price Analysis'!BD$57</f>
        <v>16.2364824</v>
      </c>
      <c r="BE24" s="63">
        <f>'01 Major Assumptions'!$D$73*(1+'01 Major Assumptions'!$D$26)^'02 Oil Price Analysis'!BE$57</f>
        <v>16.2364824</v>
      </c>
      <c r="BF24" s="63">
        <f>'01 Major Assumptions'!$D$73*(1+'01 Major Assumptions'!$D$26)^'02 Oil Price Analysis'!BF$57</f>
        <v>16.2364824</v>
      </c>
      <c r="BG24" s="63">
        <f>'01 Major Assumptions'!$D$73*(1+'01 Major Assumptions'!$D$26)^'02 Oil Price Analysis'!BG$57</f>
        <v>16.2364824</v>
      </c>
      <c r="BH24" s="63">
        <f>'01 Major Assumptions'!$D$73*(1+'01 Major Assumptions'!$D$26)^'02 Oil Price Analysis'!BH$57</f>
        <v>16.2364824</v>
      </c>
      <c r="BI24" s="63">
        <f>'01 Major Assumptions'!$D$73*(1+'01 Major Assumptions'!$D$26)^'02 Oil Price Analysis'!BI$57</f>
        <v>16.561212048000002</v>
      </c>
      <c r="BJ24" s="63">
        <f>'01 Major Assumptions'!$D$73*(1+'01 Major Assumptions'!$D$26)^'02 Oil Price Analysis'!BJ$57</f>
        <v>16.892436288960003</v>
      </c>
      <c r="BK24" s="63">
        <f>'01 Major Assumptions'!$D$73*(1+'01 Major Assumptions'!$D$26)^'02 Oil Price Analysis'!BK$57</f>
        <v>17.230285014739199</v>
      </c>
      <c r="BL24" s="63">
        <f>'01 Major Assumptions'!$D$73*(1+'01 Major Assumptions'!$D$26)^'02 Oil Price Analysis'!BL$57</f>
        <v>17.574890715033984</v>
      </c>
      <c r="BM24" s="63">
        <f>'01 Major Assumptions'!$D$73*(1+'01 Major Assumptions'!$D$26)^'02 Oil Price Analysis'!BM$57</f>
        <v>17.926388529334663</v>
      </c>
      <c r="BN24" s="63">
        <f>'01 Major Assumptions'!$D$73*(1+'01 Major Assumptions'!$D$26)^'02 Oil Price Analysis'!BN$57</f>
        <v>18.284916299921356</v>
      </c>
      <c r="BO24" s="63">
        <f>'01 Major Assumptions'!$D$73*(1+'01 Major Assumptions'!$D$26)^'02 Oil Price Analysis'!BO$57</f>
        <v>18.650614625919779</v>
      </c>
    </row>
    <row r="25" spans="1:67">
      <c r="A25" s="11"/>
      <c r="B25" s="11"/>
      <c r="C25" s="11" t="s">
        <v>405</v>
      </c>
      <c r="D25" s="33"/>
      <c r="E25" s="33"/>
      <c r="F25" s="10" t="s">
        <v>13</v>
      </c>
      <c r="G25" s="90">
        <f>G23*G24</f>
        <v>0</v>
      </c>
      <c r="H25" s="90">
        <f t="shared" ref="H25:BI25" si="21">H23*H24</f>
        <v>0</v>
      </c>
      <c r="I25" s="90">
        <f t="shared" si="21"/>
        <v>0</v>
      </c>
      <c r="J25" s="90">
        <f t="shared" si="21"/>
        <v>0</v>
      </c>
      <c r="K25" s="90">
        <f t="shared" si="21"/>
        <v>0</v>
      </c>
      <c r="L25" s="90">
        <f t="shared" si="21"/>
        <v>0</v>
      </c>
      <c r="M25" s="90">
        <f t="shared" si="21"/>
        <v>0</v>
      </c>
      <c r="N25" s="90">
        <f t="shared" si="21"/>
        <v>0</v>
      </c>
      <c r="O25" s="90">
        <f t="shared" si="21"/>
        <v>0</v>
      </c>
      <c r="P25" s="90">
        <f t="shared" si="21"/>
        <v>0</v>
      </c>
      <c r="Q25" s="90">
        <f t="shared" si="21"/>
        <v>0</v>
      </c>
      <c r="R25" s="90">
        <f t="shared" si="21"/>
        <v>0</v>
      </c>
      <c r="S25" s="90">
        <f t="shared" si="21"/>
        <v>0</v>
      </c>
      <c r="T25" s="90">
        <f t="shared" si="21"/>
        <v>0</v>
      </c>
      <c r="U25" s="90">
        <f t="shared" si="21"/>
        <v>0</v>
      </c>
      <c r="V25" s="90">
        <f t="shared" si="21"/>
        <v>0</v>
      </c>
      <c r="W25" s="90">
        <f t="shared" si="21"/>
        <v>0</v>
      </c>
      <c r="X25" s="90">
        <f t="shared" si="21"/>
        <v>0</v>
      </c>
      <c r="Y25" s="90">
        <f t="shared" si="21"/>
        <v>0</v>
      </c>
      <c r="Z25" s="90">
        <f t="shared" si="21"/>
        <v>0</v>
      </c>
      <c r="AA25" s="90">
        <f t="shared" si="21"/>
        <v>0</v>
      </c>
      <c r="AB25" s="90">
        <f t="shared" si="21"/>
        <v>4214.5075460620528</v>
      </c>
      <c r="AC25" s="90">
        <f t="shared" si="21"/>
        <v>5584.2224985322191</v>
      </c>
      <c r="AD25" s="90">
        <f t="shared" si="21"/>
        <v>6953.9374510023881</v>
      </c>
      <c r="AE25" s="90">
        <f t="shared" si="21"/>
        <v>8490.125451542006</v>
      </c>
      <c r="AF25" s="90">
        <f t="shared" si="21"/>
        <v>9887.2347030615747</v>
      </c>
      <c r="AG25" s="90">
        <f t="shared" si="21"/>
        <v>11284.343954581143</v>
      </c>
      <c r="AH25" s="90">
        <f t="shared" si="21"/>
        <v>12681.453206100714</v>
      </c>
      <c r="AI25" s="90">
        <f t="shared" si="21"/>
        <v>14078.562457620284</v>
      </c>
      <c r="AJ25" s="90">
        <f t="shared" si="21"/>
        <v>15475.671709139855</v>
      </c>
      <c r="AK25" s="90">
        <f t="shared" si="21"/>
        <v>16872.780960659427</v>
      </c>
      <c r="AL25" s="90">
        <f t="shared" si="21"/>
        <v>18269.890212178998</v>
      </c>
      <c r="AM25" s="90">
        <f t="shared" si="21"/>
        <v>19666.999463698572</v>
      </c>
      <c r="AN25" s="90">
        <f t="shared" si="21"/>
        <v>21064.108715218135</v>
      </c>
      <c r="AO25" s="90">
        <f t="shared" si="21"/>
        <v>21064.108715218135</v>
      </c>
      <c r="AP25" s="90">
        <f t="shared" si="21"/>
        <v>21064.108715218135</v>
      </c>
      <c r="AQ25" s="90">
        <f t="shared" si="21"/>
        <v>21485.390889522496</v>
      </c>
      <c r="AR25" s="90">
        <f t="shared" si="21"/>
        <v>21485.390889522496</v>
      </c>
      <c r="AS25" s="90">
        <f t="shared" si="21"/>
        <v>21485.390889522496</v>
      </c>
      <c r="AT25" s="90">
        <f t="shared" si="21"/>
        <v>21485.390889522496</v>
      </c>
      <c r="AU25" s="90">
        <f t="shared" si="21"/>
        <v>21485.390889522496</v>
      </c>
      <c r="AV25" s="90">
        <f t="shared" si="21"/>
        <v>21485.390889522496</v>
      </c>
      <c r="AW25" s="90">
        <f t="shared" si="21"/>
        <v>21485.390889522496</v>
      </c>
      <c r="AX25" s="90">
        <f t="shared" si="21"/>
        <v>21485.390889522496</v>
      </c>
      <c r="AY25" s="90">
        <f t="shared" si="21"/>
        <v>21485.390889522496</v>
      </c>
      <c r="AZ25" s="90">
        <f t="shared" si="21"/>
        <v>21485.390889522496</v>
      </c>
      <c r="BA25" s="90">
        <f t="shared" si="21"/>
        <v>21485.390889522496</v>
      </c>
      <c r="BB25" s="90">
        <f t="shared" si="21"/>
        <v>21485.390889522496</v>
      </c>
      <c r="BC25" s="90">
        <f t="shared" si="21"/>
        <v>21915.098707312947</v>
      </c>
      <c r="BD25" s="90">
        <f t="shared" si="21"/>
        <v>21915.098707312947</v>
      </c>
      <c r="BE25" s="90">
        <f t="shared" si="21"/>
        <v>21915.098707312947</v>
      </c>
      <c r="BF25" s="90">
        <f t="shared" si="21"/>
        <v>21915.098707312947</v>
      </c>
      <c r="BG25" s="90">
        <f t="shared" si="21"/>
        <v>21915.098707312947</v>
      </c>
      <c r="BH25" s="90">
        <f t="shared" si="21"/>
        <v>21915.098707312947</v>
      </c>
      <c r="BI25" s="90">
        <f t="shared" si="21"/>
        <v>268240.80817751051</v>
      </c>
      <c r="BJ25" s="90">
        <f t="shared" ref="BJ25" si="22">BJ23*BJ24</f>
        <v>273605.62434106076</v>
      </c>
      <c r="BK25" s="90">
        <f t="shared" ref="BK25" si="23">BK23*BK24</f>
        <v>279077.73682788189</v>
      </c>
      <c r="BL25" s="90">
        <f t="shared" ref="BL25" si="24">BL23*BL24</f>
        <v>284659.2915644396</v>
      </c>
      <c r="BM25" s="90">
        <f t="shared" ref="BM25" si="25">BM23*BM24</f>
        <v>290352.47739572835</v>
      </c>
      <c r="BN25" s="90">
        <f t="shared" ref="BN25" si="26">BN23*BN24</f>
        <v>296159.52694364294</v>
      </c>
      <c r="BO25" s="90">
        <f t="shared" ref="BO25" si="27">BO23*BO24</f>
        <v>302082.71748251573</v>
      </c>
    </row>
    <row r="26" spans="1:67">
      <c r="A26" s="11"/>
      <c r="B26" s="11"/>
      <c r="C26" s="11" t="s">
        <v>103</v>
      </c>
      <c r="D26" s="33"/>
      <c r="E26" s="33"/>
      <c r="F26" s="10" t="s">
        <v>406</v>
      </c>
      <c r="G26" s="90">
        <f>'04 Operating Model'!G$49*'01 Major Assumptions'!$D$76</f>
        <v>0</v>
      </c>
      <c r="H26" s="90">
        <f>'04 Operating Model'!H$49*'01 Major Assumptions'!$D$76</f>
        <v>0</v>
      </c>
      <c r="I26" s="90">
        <f>'04 Operating Model'!I$49*'01 Major Assumptions'!$D$76</f>
        <v>0</v>
      </c>
      <c r="J26" s="90">
        <f>'04 Operating Model'!J$49*'01 Major Assumptions'!$D$76</f>
        <v>0</v>
      </c>
      <c r="K26" s="90">
        <f>'04 Operating Model'!K$49*'01 Major Assumptions'!$D$76</f>
        <v>0</v>
      </c>
      <c r="L26" s="90">
        <f>'04 Operating Model'!L$49*'01 Major Assumptions'!$D$76</f>
        <v>0</v>
      </c>
      <c r="M26" s="90">
        <f>'04 Operating Model'!M$49*'01 Major Assumptions'!$D$76</f>
        <v>0</v>
      </c>
      <c r="N26" s="90">
        <f>'04 Operating Model'!N$49*'01 Major Assumptions'!$D$76</f>
        <v>0</v>
      </c>
      <c r="O26" s="90">
        <f>'04 Operating Model'!O$49*'01 Major Assumptions'!$D$76</f>
        <v>0</v>
      </c>
      <c r="P26" s="90">
        <f>'04 Operating Model'!P$49*'01 Major Assumptions'!$D$76</f>
        <v>0</v>
      </c>
      <c r="Q26" s="90">
        <f>'04 Operating Model'!Q$49*'01 Major Assumptions'!$D$76</f>
        <v>0</v>
      </c>
      <c r="R26" s="90">
        <f>'04 Operating Model'!R$49*'01 Major Assumptions'!$D$76</f>
        <v>0</v>
      </c>
      <c r="S26" s="90">
        <f>'04 Operating Model'!S$49*'01 Major Assumptions'!$D$76</f>
        <v>0</v>
      </c>
      <c r="T26" s="90">
        <f>'04 Operating Model'!T$49*'01 Major Assumptions'!$D$76</f>
        <v>0</v>
      </c>
      <c r="U26" s="90">
        <f>'04 Operating Model'!U$49*'01 Major Assumptions'!$D$76</f>
        <v>0</v>
      </c>
      <c r="V26" s="90">
        <f>'04 Operating Model'!V$49*'01 Major Assumptions'!$D$76</f>
        <v>0</v>
      </c>
      <c r="W26" s="90">
        <f>'04 Operating Model'!W$49*'01 Major Assumptions'!$D$76</f>
        <v>0</v>
      </c>
      <c r="X26" s="90">
        <f>'04 Operating Model'!X$49*'01 Major Assumptions'!$D$76</f>
        <v>0</v>
      </c>
      <c r="Y26" s="63">
        <f>'04 Operating Model'!Y$49*'01 Major Assumptions'!$D$76</f>
        <v>0</v>
      </c>
      <c r="Z26" s="63">
        <f>'04 Operating Model'!Z$49*'01 Major Assumptions'!$D$76</f>
        <v>0</v>
      </c>
      <c r="AA26" s="63">
        <f>'04 Operating Model'!AA$49*'01 Major Assumptions'!$D$76</f>
        <v>0</v>
      </c>
      <c r="AB26" s="90">
        <f>'04 Operating Model'!AB$49*'01 Major Assumptions'!$D$76</f>
        <v>818.4</v>
      </c>
      <c r="AC26" s="90">
        <f>'04 Operating Model'!AC$49*'01 Major Assumptions'!$D$76</f>
        <v>1084.3799999999999</v>
      </c>
      <c r="AD26" s="90">
        <f>'04 Operating Model'!AD$49*'01 Major Assumptions'!$D$76</f>
        <v>1350.3600000000001</v>
      </c>
      <c r="AE26" s="90">
        <f>'04 Operating Model'!AE$49*'01 Major Assumptions'!$D$76</f>
        <v>1616.3400000000006</v>
      </c>
      <c r="AF26" s="90">
        <f>'04 Operating Model'!AF$49*'01 Major Assumptions'!$D$76</f>
        <v>1882.3200000000002</v>
      </c>
      <c r="AG26" s="90">
        <f>'04 Operating Model'!AG$49*'01 Major Assumptions'!$D$76</f>
        <v>2148.3000000000002</v>
      </c>
      <c r="AH26" s="90">
        <f>'04 Operating Model'!AH$49*'01 Major Assumptions'!$D$76</f>
        <v>2414.2799999999997</v>
      </c>
      <c r="AI26" s="90">
        <f>'04 Operating Model'!AI$49*'01 Major Assumptions'!$D$76</f>
        <v>2680.2599999999998</v>
      </c>
      <c r="AJ26" s="90">
        <f>'04 Operating Model'!AJ$49*'01 Major Assumptions'!$D$76</f>
        <v>2946.2400000000002</v>
      </c>
      <c r="AK26" s="90">
        <f>'04 Operating Model'!AK$49*'01 Major Assumptions'!$D$76</f>
        <v>3212.2200000000003</v>
      </c>
      <c r="AL26" s="90">
        <f>'04 Operating Model'!AL$49*'01 Major Assumptions'!$D$76</f>
        <v>3478.2</v>
      </c>
      <c r="AM26" s="90">
        <f>'04 Operating Model'!AM$49*'01 Major Assumptions'!$D$76</f>
        <v>3744.1800000000003</v>
      </c>
      <c r="AN26" s="90">
        <f>'04 Operating Model'!AN$49*'01 Major Assumptions'!$D$76</f>
        <v>4010.1599999999994</v>
      </c>
      <c r="AO26" s="90">
        <f>'04 Operating Model'!AO$49*'01 Major Assumptions'!$D$76</f>
        <v>4010.1599999999994</v>
      </c>
      <c r="AP26" s="90">
        <f>'04 Operating Model'!AP$49*'01 Major Assumptions'!$D$76</f>
        <v>4010.1599999999994</v>
      </c>
      <c r="AQ26" s="90">
        <f>'04 Operating Model'!AQ$49*'01 Major Assumptions'!$D$76</f>
        <v>4010.1599999999994</v>
      </c>
      <c r="AR26" s="90">
        <f>'04 Operating Model'!AR$49*'01 Major Assumptions'!$D$76</f>
        <v>4010.1599999999994</v>
      </c>
      <c r="AS26" s="90">
        <f>'04 Operating Model'!AS$49*'01 Major Assumptions'!$D$76</f>
        <v>4010.1599999999994</v>
      </c>
      <c r="AT26" s="90">
        <f>'04 Operating Model'!AT$49*'01 Major Assumptions'!$D$76</f>
        <v>4010.1599999999994</v>
      </c>
      <c r="AU26" s="90">
        <f>'04 Operating Model'!AU$49*'01 Major Assumptions'!$D$76</f>
        <v>4010.1599999999994</v>
      </c>
      <c r="AV26" s="90">
        <f>'04 Operating Model'!AV$49*'01 Major Assumptions'!$D$76</f>
        <v>4010.1599999999994</v>
      </c>
      <c r="AW26" s="90">
        <f>'04 Operating Model'!AW$49*'01 Major Assumptions'!$D$76</f>
        <v>4010.1599999999994</v>
      </c>
      <c r="AX26" s="90">
        <f>'04 Operating Model'!AX$49*'01 Major Assumptions'!$D$76</f>
        <v>4010.1599999999994</v>
      </c>
      <c r="AY26" s="90">
        <f>'04 Operating Model'!AY$49*'01 Major Assumptions'!$D$76</f>
        <v>4010.1599999999994</v>
      </c>
      <c r="AZ26" s="90">
        <f>'04 Operating Model'!AZ$49*'01 Major Assumptions'!$D$76</f>
        <v>4010.1599999999994</v>
      </c>
      <c r="BA26" s="90">
        <f>'04 Operating Model'!BA$49*'01 Major Assumptions'!$D$76</f>
        <v>4010.1599999999994</v>
      </c>
      <c r="BB26" s="90">
        <f>'04 Operating Model'!BB$49*'01 Major Assumptions'!$D$76</f>
        <v>4010.1599999999994</v>
      </c>
      <c r="BC26" s="90">
        <f>'04 Operating Model'!BC$49*'01 Major Assumptions'!$D$76</f>
        <v>4010.1599999999994</v>
      </c>
      <c r="BD26" s="90">
        <f>'04 Operating Model'!BD$49*'01 Major Assumptions'!$D$76</f>
        <v>4010.1599999999994</v>
      </c>
      <c r="BE26" s="90">
        <f>'04 Operating Model'!BE$49*'01 Major Assumptions'!$D$76</f>
        <v>4010.1599999999994</v>
      </c>
      <c r="BF26" s="90">
        <f>'04 Operating Model'!BF$49*'01 Major Assumptions'!$D$76</f>
        <v>4010.1599999999994</v>
      </c>
      <c r="BG26" s="90">
        <f>'04 Operating Model'!BG$49*'01 Major Assumptions'!$D$76</f>
        <v>4010.1599999999994</v>
      </c>
      <c r="BH26" s="90">
        <f>'04 Operating Model'!BH$49*'01 Major Assumptions'!$D$76</f>
        <v>4010.1599999999994</v>
      </c>
      <c r="BI26" s="90">
        <f>'04 Operating Model'!BI$49*'01 Major Assumptions'!$D$76</f>
        <v>48121.919999999998</v>
      </c>
      <c r="BJ26" s="90">
        <f>'04 Operating Model'!BJ$49*'01 Major Assumptions'!$D$76</f>
        <v>48121.919999999998</v>
      </c>
      <c r="BK26" s="90">
        <f>'04 Operating Model'!BK$49*'01 Major Assumptions'!$D$76</f>
        <v>48121.919999999998</v>
      </c>
      <c r="BL26" s="90">
        <f>'04 Operating Model'!BL$49*'01 Major Assumptions'!$D$76</f>
        <v>48121.919999999998</v>
      </c>
      <c r="BM26" s="90">
        <f>'04 Operating Model'!BM$49*'01 Major Assumptions'!$D$76</f>
        <v>48121.919999999998</v>
      </c>
      <c r="BN26" s="90">
        <f>'04 Operating Model'!BN$49*'01 Major Assumptions'!$D$76</f>
        <v>48121.919999999998</v>
      </c>
      <c r="BO26" s="90">
        <f>'04 Operating Model'!BO$49*'01 Major Assumptions'!$D$76</f>
        <v>48121.919999999998</v>
      </c>
    </row>
    <row r="27" spans="1:67">
      <c r="A27" s="11"/>
      <c r="B27" s="11"/>
      <c r="C27" s="11" t="s">
        <v>1215</v>
      </c>
      <c r="D27" s="33"/>
      <c r="E27" s="33"/>
      <c r="F27" s="10" t="s">
        <v>102</v>
      </c>
      <c r="G27" s="63">
        <f>'02 Oil Price Analysis'!G$74</f>
        <v>28.477106918238995</v>
      </c>
      <c r="H27" s="63">
        <f>'02 Oil Price Analysis'!H$74</f>
        <v>28.477106918238995</v>
      </c>
      <c r="I27" s="63">
        <f>'02 Oil Price Analysis'!I$74</f>
        <v>28.477106918238995</v>
      </c>
      <c r="J27" s="63">
        <f>'02 Oil Price Analysis'!J$74</f>
        <v>28.477106918238995</v>
      </c>
      <c r="K27" s="63">
        <f>'02 Oil Price Analysis'!K$74</f>
        <v>28.477106918238995</v>
      </c>
      <c r="L27" s="63">
        <f>'02 Oil Price Analysis'!L$74</f>
        <v>28.477106918238995</v>
      </c>
      <c r="M27" s="63">
        <f>'02 Oil Price Analysis'!M$74</f>
        <v>28.477106918238995</v>
      </c>
      <c r="N27" s="63">
        <f>'02 Oil Price Analysis'!N$74</f>
        <v>28.477106918238995</v>
      </c>
      <c r="O27" s="63">
        <f>'02 Oil Price Analysis'!O$74</f>
        <v>28.477106918238995</v>
      </c>
      <c r="P27" s="63">
        <f>'02 Oil Price Analysis'!P$74</f>
        <v>28.477106918238995</v>
      </c>
      <c r="Q27" s="63">
        <f>'02 Oil Price Analysis'!Q$74</f>
        <v>28.477106918238995</v>
      </c>
      <c r="R27" s="63">
        <f>'02 Oil Price Analysis'!R$74</f>
        <v>28.477106918238995</v>
      </c>
      <c r="S27" s="63">
        <f>'02 Oil Price Analysis'!S$74</f>
        <v>29.092369056603776</v>
      </c>
      <c r="T27" s="63">
        <f>'02 Oil Price Analysis'!T$74</f>
        <v>29.092369056603776</v>
      </c>
      <c r="U27" s="63">
        <f>'02 Oil Price Analysis'!U$74</f>
        <v>29.092369056603776</v>
      </c>
      <c r="V27" s="63">
        <f>'02 Oil Price Analysis'!V$74</f>
        <v>29.092369056603776</v>
      </c>
      <c r="W27" s="63">
        <f>'02 Oil Price Analysis'!W$74</f>
        <v>29.092369056603776</v>
      </c>
      <c r="X27" s="63">
        <f>'02 Oil Price Analysis'!X$74</f>
        <v>29.092369056603776</v>
      </c>
      <c r="Y27" s="63">
        <f>'02 Oil Price Analysis'!Y$74</f>
        <v>29.092369056603776</v>
      </c>
      <c r="Z27" s="63">
        <f>'02 Oil Price Analysis'!Z$74</f>
        <v>29.092369056603776</v>
      </c>
      <c r="AA27" s="63">
        <f>'02 Oil Price Analysis'!AA$74</f>
        <v>29.092369056603776</v>
      </c>
      <c r="AB27" s="63">
        <f>'02 Oil Price Analysis'!AB$74</f>
        <v>29.092369056603776</v>
      </c>
      <c r="AC27" s="63">
        <f>'02 Oil Price Analysis'!AC$74</f>
        <v>29.092369056603776</v>
      </c>
      <c r="AD27" s="63">
        <f>'02 Oil Price Analysis'!AD$74</f>
        <v>29.092369056603776</v>
      </c>
      <c r="AE27" s="63">
        <f>'02 Oil Price Analysis'!AE$74</f>
        <v>29.720987997735854</v>
      </c>
      <c r="AF27" s="63">
        <f>'02 Oil Price Analysis'!AF$74</f>
        <v>29.720987997735854</v>
      </c>
      <c r="AG27" s="63">
        <f>'02 Oil Price Analysis'!AG$74</f>
        <v>29.720987997735854</v>
      </c>
      <c r="AH27" s="63">
        <f>'02 Oil Price Analysis'!AH$74</f>
        <v>29.720987997735854</v>
      </c>
      <c r="AI27" s="63">
        <f>'02 Oil Price Analysis'!AI$74</f>
        <v>29.720987997735854</v>
      </c>
      <c r="AJ27" s="63">
        <f>'02 Oil Price Analysis'!AJ$74</f>
        <v>29.720987997735854</v>
      </c>
      <c r="AK27" s="63">
        <f>'02 Oil Price Analysis'!AK$74</f>
        <v>29.720987997735854</v>
      </c>
      <c r="AL27" s="63">
        <f>'02 Oil Price Analysis'!AL$74</f>
        <v>29.720987997735854</v>
      </c>
      <c r="AM27" s="63">
        <f>'02 Oil Price Analysis'!AM$74</f>
        <v>29.720987997735854</v>
      </c>
      <c r="AN27" s="63">
        <f>'02 Oil Price Analysis'!AN$74</f>
        <v>29.720987997735854</v>
      </c>
      <c r="AO27" s="63">
        <f>'02 Oil Price Analysis'!AO$74</f>
        <v>29.720987997735854</v>
      </c>
      <c r="AP27" s="63">
        <f>'02 Oil Price Analysis'!AP$74</f>
        <v>29.720987997735854</v>
      </c>
      <c r="AQ27" s="63">
        <f>'02 Oil Price Analysis'!AQ$74</f>
        <v>30.36325506357057</v>
      </c>
      <c r="AR27" s="63">
        <f>'02 Oil Price Analysis'!AR$74</f>
        <v>30.36325506357057</v>
      </c>
      <c r="AS27" s="63">
        <f>'02 Oil Price Analysis'!AS$74</f>
        <v>30.36325506357057</v>
      </c>
      <c r="AT27" s="63">
        <f>'02 Oil Price Analysis'!AT$74</f>
        <v>30.36325506357057</v>
      </c>
      <c r="AU27" s="63">
        <f>'02 Oil Price Analysis'!AU$74</f>
        <v>30.36325506357057</v>
      </c>
      <c r="AV27" s="63">
        <f>'02 Oil Price Analysis'!AV$74</f>
        <v>30.36325506357057</v>
      </c>
      <c r="AW27" s="63">
        <f>'02 Oil Price Analysis'!AW$74</f>
        <v>30.36325506357057</v>
      </c>
      <c r="AX27" s="63">
        <f>'02 Oil Price Analysis'!AX$74</f>
        <v>30.36325506357057</v>
      </c>
      <c r="AY27" s="63">
        <f>'02 Oil Price Analysis'!AY$74</f>
        <v>30.36325506357057</v>
      </c>
      <c r="AZ27" s="63">
        <f>'02 Oil Price Analysis'!AZ$74</f>
        <v>30.36325506357057</v>
      </c>
      <c r="BA27" s="63">
        <f>'02 Oil Price Analysis'!BA$74</f>
        <v>30.36325506357057</v>
      </c>
      <c r="BB27" s="63">
        <f>'02 Oil Price Analysis'!BB$74</f>
        <v>30.36325506357057</v>
      </c>
      <c r="BC27" s="63">
        <f>'02 Oil Price Analysis'!BC$74</f>
        <v>31.019467958757218</v>
      </c>
      <c r="BD27" s="63">
        <f>'02 Oil Price Analysis'!BD$74</f>
        <v>31.019467958757218</v>
      </c>
      <c r="BE27" s="63">
        <f>'02 Oil Price Analysis'!BE$74</f>
        <v>31.019467958757218</v>
      </c>
      <c r="BF27" s="63">
        <f>'02 Oil Price Analysis'!BF$74</f>
        <v>31.019467958757218</v>
      </c>
      <c r="BG27" s="63">
        <f>'02 Oil Price Analysis'!BG$74</f>
        <v>31.019467958757218</v>
      </c>
      <c r="BH27" s="63">
        <f>'02 Oil Price Analysis'!BH$74</f>
        <v>31.019467958757218</v>
      </c>
      <c r="BI27" s="63">
        <f>'02 Oil Price Analysis'!BI$74</f>
        <v>31.689930911107648</v>
      </c>
      <c r="BJ27" s="63">
        <f>'02 Oil Price Analysis'!BJ$74</f>
        <v>32.374954815148129</v>
      </c>
      <c r="BK27" s="63">
        <f>'02 Oil Price Analysis'!BK$74</f>
        <v>33.074857378843227</v>
      </c>
      <c r="BL27" s="63">
        <f>'02 Oil Price Analysis'!BL$74</f>
        <v>33.789963273562257</v>
      </c>
      <c r="BM27" s="63">
        <f>'02 Oil Price Analysis'!BM$74</f>
        <v>34.52060428735993</v>
      </c>
      <c r="BN27" s="63">
        <f>'02 Oil Price Analysis'!BN$74</f>
        <v>35.267119481645068</v>
      </c>
      <c r="BO27" s="63">
        <f>'02 Oil Price Analysis'!BO$74</f>
        <v>35.707136161908139</v>
      </c>
    </row>
    <row r="28" spans="1:67">
      <c r="A28" s="11"/>
      <c r="B28" s="11"/>
      <c r="C28" s="11" t="s">
        <v>407</v>
      </c>
      <c r="D28" s="33"/>
      <c r="E28" s="33"/>
      <c r="F28" s="10" t="s">
        <v>13</v>
      </c>
      <c r="G28" s="90">
        <f>G26*G27</f>
        <v>0</v>
      </c>
      <c r="H28" s="90">
        <f t="shared" ref="H28:BI28" si="28">H26*H27</f>
        <v>0</v>
      </c>
      <c r="I28" s="90">
        <f t="shared" si="28"/>
        <v>0</v>
      </c>
      <c r="J28" s="90">
        <f t="shared" si="28"/>
        <v>0</v>
      </c>
      <c r="K28" s="90">
        <f t="shared" si="28"/>
        <v>0</v>
      </c>
      <c r="L28" s="90">
        <f t="shared" si="28"/>
        <v>0</v>
      </c>
      <c r="M28" s="90">
        <f t="shared" si="28"/>
        <v>0</v>
      </c>
      <c r="N28" s="90">
        <f t="shared" si="28"/>
        <v>0</v>
      </c>
      <c r="O28" s="90">
        <f t="shared" si="28"/>
        <v>0</v>
      </c>
      <c r="P28" s="90">
        <f t="shared" si="28"/>
        <v>0</v>
      </c>
      <c r="Q28" s="90">
        <f t="shared" si="28"/>
        <v>0</v>
      </c>
      <c r="R28" s="90">
        <f t="shared" si="28"/>
        <v>0</v>
      </c>
      <c r="S28" s="90">
        <f t="shared" si="28"/>
        <v>0</v>
      </c>
      <c r="T28" s="90">
        <f t="shared" si="28"/>
        <v>0</v>
      </c>
      <c r="U28" s="90">
        <f t="shared" si="28"/>
        <v>0</v>
      </c>
      <c r="V28" s="90">
        <f t="shared" si="28"/>
        <v>0</v>
      </c>
      <c r="W28" s="90">
        <f t="shared" si="28"/>
        <v>0</v>
      </c>
      <c r="X28" s="90">
        <f t="shared" si="28"/>
        <v>0</v>
      </c>
      <c r="Y28" s="90">
        <f t="shared" si="28"/>
        <v>0</v>
      </c>
      <c r="Z28" s="90">
        <f t="shared" si="28"/>
        <v>0</v>
      </c>
      <c r="AA28" s="90">
        <f t="shared" si="28"/>
        <v>0</v>
      </c>
      <c r="AB28" s="90">
        <f t="shared" si="28"/>
        <v>23809.194835924529</v>
      </c>
      <c r="AC28" s="90">
        <f t="shared" si="28"/>
        <v>31547.1831576</v>
      </c>
      <c r="AD28" s="90">
        <f t="shared" si="28"/>
        <v>39285.171479275479</v>
      </c>
      <c r="AE28" s="90">
        <f t="shared" si="28"/>
        <v>48039.221740260386</v>
      </c>
      <c r="AF28" s="90">
        <f t="shared" si="28"/>
        <v>55944.410127898154</v>
      </c>
      <c r="AG28" s="90">
        <f t="shared" si="28"/>
        <v>63849.598515535938</v>
      </c>
      <c r="AH28" s="90">
        <f t="shared" si="28"/>
        <v>71754.786903173706</v>
      </c>
      <c r="AI28" s="90">
        <f t="shared" si="28"/>
        <v>79659.97529081149</v>
      </c>
      <c r="AJ28" s="90">
        <f t="shared" si="28"/>
        <v>87565.163678449288</v>
      </c>
      <c r="AK28" s="90">
        <f t="shared" si="28"/>
        <v>95470.352066087071</v>
      </c>
      <c r="AL28" s="90">
        <f t="shared" si="28"/>
        <v>103375.54045372484</v>
      </c>
      <c r="AM28" s="90">
        <f t="shared" si="28"/>
        <v>111280.72884136264</v>
      </c>
      <c r="AN28" s="90">
        <f t="shared" si="28"/>
        <v>119185.91722900039</v>
      </c>
      <c r="AO28" s="90">
        <f t="shared" si="28"/>
        <v>119185.91722900039</v>
      </c>
      <c r="AP28" s="90">
        <f t="shared" si="28"/>
        <v>119185.91722900039</v>
      </c>
      <c r="AQ28" s="90">
        <f t="shared" si="28"/>
        <v>121761.51092572814</v>
      </c>
      <c r="AR28" s="90">
        <f t="shared" si="28"/>
        <v>121761.51092572814</v>
      </c>
      <c r="AS28" s="90">
        <f t="shared" si="28"/>
        <v>121761.51092572814</v>
      </c>
      <c r="AT28" s="90">
        <f t="shared" si="28"/>
        <v>121761.51092572814</v>
      </c>
      <c r="AU28" s="90">
        <f t="shared" si="28"/>
        <v>121761.51092572814</v>
      </c>
      <c r="AV28" s="90">
        <f t="shared" si="28"/>
        <v>121761.51092572814</v>
      </c>
      <c r="AW28" s="90">
        <f t="shared" si="28"/>
        <v>121761.51092572814</v>
      </c>
      <c r="AX28" s="90">
        <f t="shared" si="28"/>
        <v>121761.51092572814</v>
      </c>
      <c r="AY28" s="90">
        <f t="shared" si="28"/>
        <v>121761.51092572814</v>
      </c>
      <c r="AZ28" s="90">
        <f t="shared" si="28"/>
        <v>121761.51092572814</v>
      </c>
      <c r="BA28" s="90">
        <f t="shared" si="28"/>
        <v>121761.51092572814</v>
      </c>
      <c r="BB28" s="90">
        <f t="shared" si="28"/>
        <v>121761.51092572814</v>
      </c>
      <c r="BC28" s="90">
        <f t="shared" si="28"/>
        <v>124393.02962948983</v>
      </c>
      <c r="BD28" s="90">
        <f t="shared" si="28"/>
        <v>124393.02962948983</v>
      </c>
      <c r="BE28" s="90">
        <f t="shared" si="28"/>
        <v>124393.02962948983</v>
      </c>
      <c r="BF28" s="90">
        <f t="shared" si="28"/>
        <v>124393.02962948983</v>
      </c>
      <c r="BG28" s="90">
        <f t="shared" si="28"/>
        <v>124393.02962948983</v>
      </c>
      <c r="BH28" s="90">
        <f t="shared" si="28"/>
        <v>124393.02962948983</v>
      </c>
      <c r="BI28" s="90">
        <f t="shared" si="28"/>
        <v>1524980.3201098493</v>
      </c>
      <c r="BJ28" s="90">
        <f t="shared" ref="BJ28" si="29">BJ26*BJ27</f>
        <v>1557944.9856181729</v>
      </c>
      <c r="BK28" s="90">
        <f t="shared" ref="BK28" si="30">BK26*BK27</f>
        <v>1591625.6407961033</v>
      </c>
      <c r="BL28" s="90">
        <f t="shared" ref="BL28" si="31">BL26*BL27</f>
        <v>1626037.909453301</v>
      </c>
      <c r="BM28" s="90">
        <f t="shared" ref="BM28" si="32">BM26*BM27</f>
        <v>1661197.7578679915</v>
      </c>
      <c r="BN28" s="90">
        <f t="shared" ref="BN28" si="33">BN26*BN27</f>
        <v>1697121.5023261653</v>
      </c>
      <c r="BO28" s="90">
        <f t="shared" ref="BO28" si="34">BO26*BO27</f>
        <v>1718295.9498124504</v>
      </c>
    </row>
    <row r="29" spans="1:67">
      <c r="A29" s="11"/>
      <c r="B29" s="11"/>
      <c r="C29" s="11" t="s">
        <v>1669</v>
      </c>
      <c r="D29" s="33"/>
      <c r="E29" s="33"/>
      <c r="F29" s="10" t="s">
        <v>13</v>
      </c>
      <c r="G29" s="90">
        <f>'01 Major Assumptions'!$D$58*'01 Major Assumptions'!$D$65*'01 Major Assumptions'!G$14*(1+'01 Major Assumptions'!$D$26)^'02 Oil Price Analysis'!G$57</f>
        <v>29800</v>
      </c>
      <c r="H29" s="90">
        <f>'01 Major Assumptions'!$D$58*'01 Major Assumptions'!$D$65*'01 Major Assumptions'!H$14*(1+'01 Major Assumptions'!$D$26)^'02 Oil Price Analysis'!H$57</f>
        <v>29800</v>
      </c>
      <c r="I29" s="90">
        <f>'01 Major Assumptions'!$D$58*'01 Major Assumptions'!$D$65*'01 Major Assumptions'!I$14*(1+'01 Major Assumptions'!$D$26)^'02 Oil Price Analysis'!I$57</f>
        <v>29800</v>
      </c>
      <c r="J29" s="90">
        <f>'01 Major Assumptions'!$D$58*'01 Major Assumptions'!$D$65*'01 Major Assumptions'!J$14*(1+'01 Major Assumptions'!$D$26)^'02 Oil Price Analysis'!J$57</f>
        <v>29800</v>
      </c>
      <c r="K29" s="90">
        <f>'01 Major Assumptions'!$D$58*'01 Major Assumptions'!$D$65*'01 Major Assumptions'!K$14*(1+'01 Major Assumptions'!$D$26)^'02 Oil Price Analysis'!K$57</f>
        <v>29800</v>
      </c>
      <c r="L29" s="90">
        <f>'01 Major Assumptions'!$D$58*'01 Major Assumptions'!$D$65*'01 Major Assumptions'!L$14*(1+'01 Major Assumptions'!$D$26)^'02 Oil Price Analysis'!L$57</f>
        <v>29800</v>
      </c>
      <c r="M29" s="90">
        <f>'01 Major Assumptions'!$D$58*'01 Major Assumptions'!$D$65*'01 Major Assumptions'!M$14*(1+'01 Major Assumptions'!$D$26)^'02 Oil Price Analysis'!M$57</f>
        <v>29800</v>
      </c>
      <c r="N29" s="90">
        <f>'01 Major Assumptions'!$D$58*'01 Major Assumptions'!$D$65*'01 Major Assumptions'!N$14*(1+'01 Major Assumptions'!$D$26)^'02 Oil Price Analysis'!N$57</f>
        <v>29800</v>
      </c>
      <c r="O29" s="90">
        <f>'01 Major Assumptions'!$D$58*'01 Major Assumptions'!$D$65*'01 Major Assumptions'!O$14*(1+'01 Major Assumptions'!$D$26)^'02 Oil Price Analysis'!O$57</f>
        <v>29800</v>
      </c>
      <c r="P29" s="90">
        <f>'01 Major Assumptions'!$D$58*'01 Major Assumptions'!$D$65*'01 Major Assumptions'!P$14*(1+'01 Major Assumptions'!$D$26)^'02 Oil Price Analysis'!P$57</f>
        <v>29800</v>
      </c>
      <c r="Q29" s="90">
        <f>'01 Major Assumptions'!$D$58*'01 Major Assumptions'!$D$65*'01 Major Assumptions'!Q$14*(1+'01 Major Assumptions'!$D$26)^'02 Oil Price Analysis'!Q$57</f>
        <v>29800</v>
      </c>
      <c r="R29" s="90">
        <f>'01 Major Assumptions'!$D$58*'01 Major Assumptions'!$D$65*'01 Major Assumptions'!R$14*(1+'01 Major Assumptions'!$D$26)^'02 Oil Price Analysis'!R$57</f>
        <v>29800</v>
      </c>
      <c r="S29" s="90">
        <f>'01 Major Assumptions'!$D$58*'01 Major Assumptions'!$D$65*'01 Major Assumptions'!S$14*(1+'01 Major Assumptions'!$D$26)^'02 Oil Price Analysis'!S$57</f>
        <v>30396</v>
      </c>
      <c r="T29" s="90">
        <f>'01 Major Assumptions'!$D$58*'01 Major Assumptions'!$D$65*'01 Major Assumptions'!T$14*(1+'01 Major Assumptions'!$D$26)^'02 Oil Price Analysis'!T$57</f>
        <v>30396</v>
      </c>
      <c r="U29" s="90">
        <f>'01 Major Assumptions'!$D$58*'01 Major Assumptions'!$D$65*'01 Major Assumptions'!U$14*(1+'01 Major Assumptions'!$D$26)^'02 Oil Price Analysis'!U$57</f>
        <v>30396</v>
      </c>
      <c r="V29" s="90">
        <f>'01 Major Assumptions'!$D$58*'01 Major Assumptions'!$D$65*'01 Major Assumptions'!V$14*(1+'01 Major Assumptions'!$D$26)^'02 Oil Price Analysis'!V$57</f>
        <v>30396</v>
      </c>
      <c r="W29" s="90">
        <f>'01 Major Assumptions'!$D$58*'01 Major Assumptions'!$D$65*'01 Major Assumptions'!W$14*(1+'01 Major Assumptions'!$D$26)^'02 Oil Price Analysis'!W$57</f>
        <v>30396</v>
      </c>
      <c r="X29" s="90">
        <f>'01 Major Assumptions'!$D$58*'01 Major Assumptions'!$D$65*'01 Major Assumptions'!X$14*(1+'01 Major Assumptions'!$D$26)^'02 Oil Price Analysis'!X$57</f>
        <v>30396</v>
      </c>
      <c r="Y29" s="90">
        <f>'01 Major Assumptions'!$D$58*'01 Major Assumptions'!$D$65*'01 Major Assumptions'!Y$14*(1+'01 Major Assumptions'!$D$26)^'02 Oil Price Analysis'!Y$57</f>
        <v>30396</v>
      </c>
      <c r="Z29" s="90">
        <f>'01 Major Assumptions'!$D$58*'01 Major Assumptions'!$D$65*'01 Major Assumptions'!Z$14*(1+'01 Major Assumptions'!$D$26)^'02 Oil Price Analysis'!Z$57</f>
        <v>30396</v>
      </c>
      <c r="AA29" s="90">
        <f>'01 Major Assumptions'!$D$58*'01 Major Assumptions'!$D$65*'01 Major Assumptions'!AA$14*(1+'01 Major Assumptions'!$D$26)^'02 Oil Price Analysis'!AA$57</f>
        <v>30396</v>
      </c>
      <c r="AB29" s="90">
        <f>'01 Major Assumptions'!$D$58*'01 Major Assumptions'!$D$65*'01 Major Assumptions'!AB$14*(1+'01 Major Assumptions'!$D$26)^'02 Oil Price Analysis'!AB$57</f>
        <v>30396</v>
      </c>
      <c r="AC29" s="90">
        <f>'01 Major Assumptions'!$D$58*'01 Major Assumptions'!$D$65*'01 Major Assumptions'!AC$14*(1+'01 Major Assumptions'!$D$26)^'02 Oil Price Analysis'!AC$57</f>
        <v>30396</v>
      </c>
      <c r="AD29" s="90">
        <f>'01 Major Assumptions'!$D$58*'01 Major Assumptions'!$D$65*'01 Major Assumptions'!AD$14*(1+'01 Major Assumptions'!$D$26)^'02 Oil Price Analysis'!AD$57</f>
        <v>30396</v>
      </c>
      <c r="AE29" s="90">
        <f>'01 Major Assumptions'!$D$58*'01 Major Assumptions'!$D$65*'01 Major Assumptions'!AE$14*(1+'01 Major Assumptions'!$D$26)^'02 Oil Price Analysis'!AE$57</f>
        <v>31003.919999999998</v>
      </c>
      <c r="AF29" s="90">
        <f>'01 Major Assumptions'!$D$58*'01 Major Assumptions'!$D$65*'01 Major Assumptions'!AF$14*(1+'01 Major Assumptions'!$D$26)^'02 Oil Price Analysis'!AF$57</f>
        <v>31003.919999999998</v>
      </c>
      <c r="AG29" s="90">
        <f>'01 Major Assumptions'!$D$58*'01 Major Assumptions'!$D$65*'01 Major Assumptions'!AG$14*(1+'01 Major Assumptions'!$D$26)^'02 Oil Price Analysis'!AG$57</f>
        <v>31003.919999999998</v>
      </c>
      <c r="AH29" s="90">
        <f>'01 Major Assumptions'!$D$58*'01 Major Assumptions'!$D$65*'01 Major Assumptions'!AH$14*(1+'01 Major Assumptions'!$D$26)^'02 Oil Price Analysis'!AH$57</f>
        <v>31003.919999999998</v>
      </c>
      <c r="AI29" s="90">
        <f>'01 Major Assumptions'!$D$58*'01 Major Assumptions'!$D$65*'01 Major Assumptions'!AI$14*(1+'01 Major Assumptions'!$D$26)^'02 Oil Price Analysis'!AI$57</f>
        <v>31003.919999999998</v>
      </c>
      <c r="AJ29" s="90">
        <f>'01 Major Assumptions'!$D$58*'01 Major Assumptions'!$D$65*'01 Major Assumptions'!AJ$14*(1+'01 Major Assumptions'!$D$26)^'02 Oil Price Analysis'!AJ$57</f>
        <v>31003.919999999998</v>
      </c>
      <c r="AK29" s="90">
        <f>'01 Major Assumptions'!$D$58*'01 Major Assumptions'!$D$65*'01 Major Assumptions'!AK$14*(1+'01 Major Assumptions'!$D$26)^'02 Oil Price Analysis'!AK$57</f>
        <v>31003.919999999998</v>
      </c>
      <c r="AL29" s="90">
        <f>'01 Major Assumptions'!$D$58*'01 Major Assumptions'!$D$65*'01 Major Assumptions'!AL$14*(1+'01 Major Assumptions'!$D$26)^'02 Oil Price Analysis'!AL$57</f>
        <v>31003.919999999998</v>
      </c>
      <c r="AM29" s="90">
        <f>'01 Major Assumptions'!$D$58*'01 Major Assumptions'!$D$65*'01 Major Assumptions'!AM$14*(1+'01 Major Assumptions'!$D$26)^'02 Oil Price Analysis'!AM$57</f>
        <v>31003.919999999998</v>
      </c>
      <c r="AN29" s="90">
        <f>'01 Major Assumptions'!$D$58*'01 Major Assumptions'!$D$65*'01 Major Assumptions'!AN$14*(1+'01 Major Assumptions'!$D$26)^'02 Oil Price Analysis'!AN$57</f>
        <v>31003.919999999998</v>
      </c>
      <c r="AO29" s="90">
        <f>'01 Major Assumptions'!$D$58*'01 Major Assumptions'!$D$65*'01 Major Assumptions'!AO$14*(1+'01 Major Assumptions'!$D$26)^'02 Oil Price Analysis'!AO$57</f>
        <v>31003.919999999998</v>
      </c>
      <c r="AP29" s="90">
        <f>'01 Major Assumptions'!$D$58*'01 Major Assumptions'!$D$65*'01 Major Assumptions'!AP$14*(1+'01 Major Assumptions'!$D$26)^'02 Oil Price Analysis'!AP$57</f>
        <v>31003.919999999998</v>
      </c>
      <c r="AQ29" s="90">
        <f>'01 Major Assumptions'!$D$58*'01 Major Assumptions'!$D$65*'01 Major Assumptions'!AQ$14*(1+'01 Major Assumptions'!$D$26)^'02 Oil Price Analysis'!AQ$57</f>
        <v>31623.998399999997</v>
      </c>
      <c r="AR29" s="90">
        <f>'01 Major Assumptions'!$D$58*'01 Major Assumptions'!$D$65*'01 Major Assumptions'!AR$14*(1+'01 Major Assumptions'!$D$26)^'02 Oil Price Analysis'!AR$57</f>
        <v>31623.998399999997</v>
      </c>
      <c r="AS29" s="90">
        <f>'01 Major Assumptions'!$D$58*'01 Major Assumptions'!$D$65*'01 Major Assumptions'!AS$14*(1+'01 Major Assumptions'!$D$26)^'02 Oil Price Analysis'!AS$57</f>
        <v>31623.998399999997</v>
      </c>
      <c r="AT29" s="90">
        <f>'01 Major Assumptions'!$D$58*'01 Major Assumptions'!$D$65*'01 Major Assumptions'!AT$14*(1+'01 Major Assumptions'!$D$26)^'02 Oil Price Analysis'!AT$57</f>
        <v>31623.998399999997</v>
      </c>
      <c r="AU29" s="90">
        <f>'01 Major Assumptions'!$D$58*'01 Major Assumptions'!$D$65*'01 Major Assumptions'!AU$14*(1+'01 Major Assumptions'!$D$26)^'02 Oil Price Analysis'!AU$57</f>
        <v>31623.998399999997</v>
      </c>
      <c r="AV29" s="90">
        <f>'01 Major Assumptions'!$D$58*'01 Major Assumptions'!$D$65*'01 Major Assumptions'!AV$14*(1+'01 Major Assumptions'!$D$26)^'02 Oil Price Analysis'!AV$57</f>
        <v>31623.998399999997</v>
      </c>
      <c r="AW29" s="90">
        <f>'01 Major Assumptions'!$D$58*'01 Major Assumptions'!$D$65*'01 Major Assumptions'!AW$14*(1+'01 Major Assumptions'!$D$26)^'02 Oil Price Analysis'!AW$57</f>
        <v>31623.998399999997</v>
      </c>
      <c r="AX29" s="90">
        <f>'01 Major Assumptions'!$D$58*'01 Major Assumptions'!$D$65*'01 Major Assumptions'!AX$14*(1+'01 Major Assumptions'!$D$26)^'02 Oil Price Analysis'!AX$57</f>
        <v>31623.998399999997</v>
      </c>
      <c r="AY29" s="90">
        <f>'01 Major Assumptions'!$D$58*'01 Major Assumptions'!$D$65*'01 Major Assumptions'!AY$14*(1+'01 Major Assumptions'!$D$26)^'02 Oil Price Analysis'!AY$57</f>
        <v>31623.998399999997</v>
      </c>
      <c r="AZ29" s="90">
        <f>'01 Major Assumptions'!$D$58*'01 Major Assumptions'!$D$65*'01 Major Assumptions'!AZ$14*(1+'01 Major Assumptions'!$D$26)^'02 Oil Price Analysis'!AZ$57</f>
        <v>31623.998399999997</v>
      </c>
      <c r="BA29" s="90">
        <f>'01 Major Assumptions'!$D$58*'01 Major Assumptions'!$D$65*'01 Major Assumptions'!BA$14*(1+'01 Major Assumptions'!$D$26)^'02 Oil Price Analysis'!BA$57</f>
        <v>31623.998399999997</v>
      </c>
      <c r="BB29" s="90">
        <f>'01 Major Assumptions'!$D$58*'01 Major Assumptions'!$D$65*'01 Major Assumptions'!BB$14*(1+'01 Major Assumptions'!$D$26)^'02 Oil Price Analysis'!BB$57</f>
        <v>31623.998399999997</v>
      </c>
      <c r="BC29" s="90">
        <f>'01 Major Assumptions'!$D$58*'01 Major Assumptions'!$D$65*'01 Major Assumptions'!BC$14*(1+'01 Major Assumptions'!$D$26)^'02 Oil Price Analysis'!BC$57</f>
        <v>32256.478368</v>
      </c>
      <c r="BD29" s="90">
        <f>'01 Major Assumptions'!$D$58*'01 Major Assumptions'!$D$65*'01 Major Assumptions'!BD$14*(1+'01 Major Assumptions'!$D$26)^'02 Oil Price Analysis'!BD$57</f>
        <v>32256.478368</v>
      </c>
      <c r="BE29" s="90">
        <f>'01 Major Assumptions'!$D$58*'01 Major Assumptions'!$D$65*'01 Major Assumptions'!BE$14*(1+'01 Major Assumptions'!$D$26)^'02 Oil Price Analysis'!BE$57</f>
        <v>32256.478368</v>
      </c>
      <c r="BF29" s="90">
        <f>'01 Major Assumptions'!$D$58*'01 Major Assumptions'!$D$65*'01 Major Assumptions'!BF$14*(1+'01 Major Assumptions'!$D$26)^'02 Oil Price Analysis'!BF$57</f>
        <v>32256.478368</v>
      </c>
      <c r="BG29" s="90">
        <f>'01 Major Assumptions'!$D$58*'01 Major Assumptions'!$D$65*'01 Major Assumptions'!BG$14*(1+'01 Major Assumptions'!$D$26)^'02 Oil Price Analysis'!BG$57</f>
        <v>32256.478368</v>
      </c>
      <c r="BH29" s="90">
        <f>'01 Major Assumptions'!$D$58*'01 Major Assumptions'!$D$65*'01 Major Assumptions'!BH$14*(1+'01 Major Assumptions'!$D$26)^'02 Oil Price Analysis'!BH$57</f>
        <v>32256.478368</v>
      </c>
      <c r="BI29" s="90">
        <f>'01 Major Assumptions'!$D$58*'01 Major Assumptions'!$D$65*'01 Major Assumptions'!BI$14*(1+'01 Major Assumptions'!$D$26)^'02 Oil Price Analysis'!BI$57</f>
        <v>394819.29522432003</v>
      </c>
      <c r="BJ29" s="90">
        <f>'01 Major Assumptions'!$D$58*'01 Major Assumptions'!$D$65*'01 Major Assumptions'!BJ$14*(1+'01 Major Assumptions'!$D$26)^'02 Oil Price Analysis'!BJ$57</f>
        <v>402715.68112880643</v>
      </c>
      <c r="BK29" s="90">
        <f>'01 Major Assumptions'!$D$58*'01 Major Assumptions'!$D$65*'01 Major Assumptions'!BK$14*(1+'01 Major Assumptions'!$D$26)^'02 Oil Price Analysis'!BK$57</f>
        <v>410769.99475138244</v>
      </c>
      <c r="BL29" s="90">
        <f>'01 Major Assumptions'!$D$58*'01 Major Assumptions'!$D$65*'01 Major Assumptions'!BL$14*(1+'01 Major Assumptions'!$D$26)^'02 Oil Price Analysis'!BL$57</f>
        <v>418985.39464641013</v>
      </c>
      <c r="BM29" s="90">
        <f>'01 Major Assumptions'!$D$58*'01 Major Assumptions'!$D$65*'01 Major Assumptions'!BM$14*(1+'01 Major Assumptions'!$D$26)^'02 Oil Price Analysis'!BM$57</f>
        <v>427365.10253933835</v>
      </c>
      <c r="BN29" s="90">
        <f>'01 Major Assumptions'!$D$58*'01 Major Assumptions'!$D$65*'01 Major Assumptions'!BN$14*(1+'01 Major Assumptions'!$D$26)^'02 Oil Price Analysis'!BN$57</f>
        <v>435912.40459012514</v>
      </c>
      <c r="BO29" s="90">
        <f>'01 Major Assumptions'!$D$58*'01 Major Assumptions'!$D$65*'01 Major Assumptions'!BO$14*(1+'01 Major Assumptions'!$D$26)^'02 Oil Price Analysis'!BO$57</f>
        <v>444630.65268192755</v>
      </c>
    </row>
    <row r="30" spans="1:67">
      <c r="A30" s="11"/>
      <c r="B30" s="22" t="s">
        <v>408</v>
      </c>
      <c r="C30" s="11"/>
      <c r="D30" s="33"/>
      <c r="E30" s="33"/>
      <c r="F30" s="10" t="s">
        <v>13</v>
      </c>
      <c r="G30" s="89">
        <f>G19+G22+G25+G28+G29</f>
        <v>29800</v>
      </c>
      <c r="H30" s="89">
        <f t="shared" ref="H30:BI30" si="35">H19+H22+H25+H28+H29</f>
        <v>29800</v>
      </c>
      <c r="I30" s="89">
        <f t="shared" si="35"/>
        <v>29800</v>
      </c>
      <c r="J30" s="89">
        <f t="shared" si="35"/>
        <v>29800</v>
      </c>
      <c r="K30" s="89">
        <f t="shared" si="35"/>
        <v>29800</v>
      </c>
      <c r="L30" s="89">
        <f t="shared" si="35"/>
        <v>29800</v>
      </c>
      <c r="M30" s="89">
        <f t="shared" si="35"/>
        <v>29800</v>
      </c>
      <c r="N30" s="89">
        <f t="shared" si="35"/>
        <v>29800</v>
      </c>
      <c r="O30" s="89">
        <f t="shared" si="35"/>
        <v>29800</v>
      </c>
      <c r="P30" s="89">
        <f t="shared" si="35"/>
        <v>29800</v>
      </c>
      <c r="Q30" s="89">
        <f t="shared" si="35"/>
        <v>29800</v>
      </c>
      <c r="R30" s="89">
        <f t="shared" si="35"/>
        <v>29800</v>
      </c>
      <c r="S30" s="89">
        <f t="shared" si="35"/>
        <v>30396</v>
      </c>
      <c r="T30" s="89">
        <f t="shared" si="35"/>
        <v>30396</v>
      </c>
      <c r="U30" s="89">
        <f t="shared" si="35"/>
        <v>30396</v>
      </c>
      <c r="V30" s="89">
        <f t="shared" si="35"/>
        <v>30396</v>
      </c>
      <c r="W30" s="89">
        <f t="shared" si="35"/>
        <v>30396</v>
      </c>
      <c r="X30" s="89">
        <f t="shared" si="35"/>
        <v>30396</v>
      </c>
      <c r="Y30" s="89">
        <f t="shared" si="35"/>
        <v>30396</v>
      </c>
      <c r="Z30" s="89">
        <f t="shared" si="35"/>
        <v>30396</v>
      </c>
      <c r="AA30" s="89">
        <f t="shared" si="35"/>
        <v>30396</v>
      </c>
      <c r="AB30" s="89">
        <f t="shared" si="35"/>
        <v>1569092.8387876123</v>
      </c>
      <c r="AC30" s="89">
        <f t="shared" si="35"/>
        <v>2069169.3113935855</v>
      </c>
      <c r="AD30" s="89">
        <f t="shared" si="35"/>
        <v>2569245.7839995604</v>
      </c>
      <c r="AE30" s="89">
        <f t="shared" si="35"/>
        <v>3130784.3004809357</v>
      </c>
      <c r="AF30" s="89">
        <f t="shared" si="35"/>
        <v>3640874.7428385569</v>
      </c>
      <c r="AG30" s="89">
        <f t="shared" si="35"/>
        <v>4150965.185196179</v>
      </c>
      <c r="AH30" s="89">
        <f t="shared" si="35"/>
        <v>4661055.6275538001</v>
      </c>
      <c r="AI30" s="89">
        <f t="shared" si="35"/>
        <v>5171146.0699114222</v>
      </c>
      <c r="AJ30" s="89">
        <f t="shared" si="35"/>
        <v>5681236.5122690462</v>
      </c>
      <c r="AK30" s="89">
        <f t="shared" si="35"/>
        <v>6191326.9546266682</v>
      </c>
      <c r="AL30" s="89">
        <f t="shared" si="35"/>
        <v>6701417.3969842894</v>
      </c>
      <c r="AM30" s="89">
        <f t="shared" si="35"/>
        <v>7211507.8393419133</v>
      </c>
      <c r="AN30" s="89">
        <f t="shared" si="35"/>
        <v>7721598.2816995336</v>
      </c>
      <c r="AO30" s="89">
        <f t="shared" si="35"/>
        <v>7721598.2816995336</v>
      </c>
      <c r="AP30" s="89">
        <f t="shared" si="35"/>
        <v>7721598.2816995336</v>
      </c>
      <c r="AQ30" s="89">
        <f t="shared" si="35"/>
        <v>7876222.1226856718</v>
      </c>
      <c r="AR30" s="89">
        <f t="shared" si="35"/>
        <v>7876222.1226856718</v>
      </c>
      <c r="AS30" s="89">
        <f t="shared" si="35"/>
        <v>7876222.1226856718</v>
      </c>
      <c r="AT30" s="89">
        <f t="shared" si="35"/>
        <v>7876222.1226856718</v>
      </c>
      <c r="AU30" s="89">
        <f t="shared" si="35"/>
        <v>7876222.1226856718</v>
      </c>
      <c r="AV30" s="89">
        <f t="shared" si="35"/>
        <v>7876222.1226856718</v>
      </c>
      <c r="AW30" s="89">
        <f t="shared" si="35"/>
        <v>7876222.1226856718</v>
      </c>
      <c r="AX30" s="89">
        <f t="shared" si="35"/>
        <v>7876222.1226856718</v>
      </c>
      <c r="AY30" s="89">
        <f t="shared" si="35"/>
        <v>7876222.1226856718</v>
      </c>
      <c r="AZ30" s="89">
        <f t="shared" si="35"/>
        <v>7876222.1226856718</v>
      </c>
      <c r="BA30" s="89">
        <f t="shared" si="35"/>
        <v>7876222.1226856718</v>
      </c>
      <c r="BB30" s="89">
        <f t="shared" si="35"/>
        <v>7876222.1226856718</v>
      </c>
      <c r="BC30" s="89">
        <f t="shared" si="35"/>
        <v>8033942.8536246317</v>
      </c>
      <c r="BD30" s="89">
        <f t="shared" si="35"/>
        <v>8033942.8536246317</v>
      </c>
      <c r="BE30" s="89">
        <f t="shared" si="35"/>
        <v>8033942.8536246317</v>
      </c>
      <c r="BF30" s="89">
        <f t="shared" si="35"/>
        <v>8033942.8536246317</v>
      </c>
      <c r="BG30" s="89">
        <f t="shared" si="35"/>
        <v>8033942.8536246317</v>
      </c>
      <c r="BH30" s="89">
        <f t="shared" si="35"/>
        <v>8033942.8536246317</v>
      </c>
      <c r="BI30" s="89">
        <f t="shared" si="35"/>
        <v>98337870.165810421</v>
      </c>
      <c r="BJ30" s="89">
        <f t="shared" ref="BJ30" si="36">BJ19+BJ22+BJ25+BJ28+BJ29</f>
        <v>100307092.62823275</v>
      </c>
      <c r="BK30" s="89">
        <f t="shared" ref="BK30" si="37">BK19+BK22+BK25+BK28+BK29</f>
        <v>102315756.23626296</v>
      </c>
      <c r="BL30" s="89">
        <f t="shared" ref="BL30" si="38">BL19+BL22+BL25+BL28+BL29</f>
        <v>104364651.1168295</v>
      </c>
      <c r="BM30" s="89">
        <f t="shared" ref="BM30" si="39">BM19+BM22+BM25+BM28+BM29</f>
        <v>106454583.22939172</v>
      </c>
      <c r="BN30" s="89">
        <f t="shared" ref="BN30" si="40">BN19+BN22+BN25+BN28+BN29</f>
        <v>108586374.68328035</v>
      </c>
      <c r="BO30" s="89">
        <f t="shared" ref="BO30" si="41">BO19+BO22+BO25+BO28+BO29</f>
        <v>110745334.19438572</v>
      </c>
    </row>
    <row r="31" spans="1:67">
      <c r="A31" s="11"/>
      <c r="B31" s="11"/>
      <c r="C31" s="11"/>
      <c r="D31" s="33"/>
      <c r="E31" s="33"/>
      <c r="F31" s="4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row>
    <row r="32" spans="1:67">
      <c r="A32" s="18" t="s">
        <v>409</v>
      </c>
      <c r="B32" s="18"/>
      <c r="C32" s="18"/>
      <c r="D32" s="39"/>
      <c r="E32" s="39"/>
      <c r="F32" s="39"/>
      <c r="G32" s="40"/>
      <c r="H32" s="40"/>
      <c r="I32" s="40"/>
      <c r="J32" s="40"/>
      <c r="K32" s="40"/>
      <c r="L32" s="40"/>
      <c r="M32" s="40"/>
      <c r="N32" s="40"/>
      <c r="O32" s="40"/>
      <c r="P32" s="40"/>
      <c r="Q32" s="40"/>
      <c r="R32" s="40"/>
      <c r="S32" s="40"/>
      <c r="T32" s="40"/>
      <c r="U32" s="40"/>
      <c r="V32" s="40"/>
      <c r="W32" s="40"/>
      <c r="X32" s="40"/>
      <c r="Y32" s="40"/>
      <c r="Z32" s="40"/>
      <c r="AA32" s="40"/>
      <c r="AB32" s="40"/>
      <c r="AC32" s="40"/>
      <c r="AD32" s="40"/>
      <c r="AE32" s="40"/>
      <c r="AF32" s="40"/>
      <c r="AG32" s="40"/>
      <c r="AH32" s="40"/>
      <c r="AI32" s="40"/>
      <c r="AJ32" s="40"/>
      <c r="AK32" s="40"/>
      <c r="AL32" s="40"/>
      <c r="AM32" s="40"/>
      <c r="AN32" s="40"/>
      <c r="AO32" s="40"/>
      <c r="AP32" s="40"/>
      <c r="AQ32" s="40"/>
      <c r="AR32" s="40"/>
      <c r="AS32" s="40"/>
      <c r="AT32" s="40"/>
      <c r="AU32" s="40"/>
      <c r="AV32" s="40"/>
      <c r="AW32" s="40"/>
      <c r="AX32" s="40"/>
      <c r="AY32" s="40"/>
      <c r="AZ32" s="40"/>
      <c r="BA32" s="40"/>
      <c r="BB32" s="40"/>
      <c r="BC32" s="40"/>
      <c r="BD32" s="40"/>
      <c r="BE32" s="40"/>
      <c r="BF32" s="40"/>
      <c r="BG32" s="40"/>
      <c r="BH32" s="40"/>
      <c r="BI32" s="40"/>
      <c r="BJ32" s="40"/>
      <c r="BK32" s="40"/>
      <c r="BL32" s="40"/>
      <c r="BM32" s="40"/>
      <c r="BN32" s="40"/>
      <c r="BO32" s="40"/>
    </row>
    <row r="33" spans="1:67">
      <c r="A33" s="11"/>
      <c r="B33" s="11"/>
      <c r="C33" s="11"/>
      <c r="D33" s="22" t="s">
        <v>105</v>
      </c>
      <c r="E33" s="22" t="s">
        <v>106</v>
      </c>
      <c r="F33" s="4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row>
    <row r="34" spans="1:67">
      <c r="A34" s="11"/>
      <c r="B34" s="32" t="str">
        <f>'01 Major Assumptions'!B80</f>
        <v>Plant manager</v>
      </c>
      <c r="C34" s="11"/>
      <c r="D34" s="92">
        <f>'01 Major Assumptions'!$C$80</f>
        <v>1</v>
      </c>
      <c r="E34" s="92">
        <f>'01 Major Assumptions'!$D$80</f>
        <v>150000</v>
      </c>
      <c r="F34" s="10" t="s">
        <v>13</v>
      </c>
      <c r="G34" s="90">
        <f>IF('01 Major Assumptions'!G$15=0,0,$D34*$E34*'01 Major Assumptions'!G$14*(1+'01 Major Assumptions'!$D$97+'01 Major Assumptions'!$D$99)*(1+'01 Major Assumptions'!$D$98/12)*(1+'01 Major Assumptions'!$D$25)^'02 Oil Price Analysis'!G$57)</f>
        <v>0</v>
      </c>
      <c r="H34" s="90">
        <f>IF('01 Major Assumptions'!H$15=0,0,$D34*$E34*'01 Major Assumptions'!H$14*(1+'01 Major Assumptions'!$D$97+'01 Major Assumptions'!$D$99)*(1+'01 Major Assumptions'!$D$98/12)*(1+'01 Major Assumptions'!$D$25)^'02 Oil Price Analysis'!H$57)</f>
        <v>0</v>
      </c>
      <c r="I34" s="90">
        <f>IF('01 Major Assumptions'!I$15=0,0,$D34*$E34*'01 Major Assumptions'!I$14*(1+'01 Major Assumptions'!$D$97+'01 Major Assumptions'!$D$99)*(1+'01 Major Assumptions'!$D$98/12)*(1+'01 Major Assumptions'!$D$25)^'02 Oil Price Analysis'!I$57)</f>
        <v>0</v>
      </c>
      <c r="J34" s="90">
        <f>IF('01 Major Assumptions'!J$15=0,0,$D34*$E34*'01 Major Assumptions'!J$14*(1+'01 Major Assumptions'!$D$97+'01 Major Assumptions'!$D$99)*(1+'01 Major Assumptions'!$D$98/12)*(1+'01 Major Assumptions'!$D$25)^'02 Oil Price Analysis'!J$57)</f>
        <v>0</v>
      </c>
      <c r="K34" s="90">
        <f>IF('01 Major Assumptions'!K$15=0,0,$D34*$E34*'01 Major Assumptions'!K$14*(1+'01 Major Assumptions'!$D$97+'01 Major Assumptions'!$D$99)*(1+'01 Major Assumptions'!$D$98/12)*(1+'01 Major Assumptions'!$D$25)^'02 Oil Price Analysis'!K$57)</f>
        <v>0</v>
      </c>
      <c r="L34" s="90">
        <f>IF('01 Major Assumptions'!L$15=0,0,$D34*$E34*'01 Major Assumptions'!L$14*(1+'01 Major Assumptions'!$D$97+'01 Major Assumptions'!$D$99)*(1+'01 Major Assumptions'!$D$98/12)*(1+'01 Major Assumptions'!$D$25)^'02 Oil Price Analysis'!L$57)</f>
        <v>0</v>
      </c>
      <c r="M34" s="90">
        <f>IF('01 Major Assumptions'!M$15=0,0,$D34*$E34*'01 Major Assumptions'!M$14*(1+'01 Major Assumptions'!$D$97+'01 Major Assumptions'!$D$99)*(1+'01 Major Assumptions'!$D$98/12)*(1+'01 Major Assumptions'!$D$25)^'02 Oil Price Analysis'!M$57)</f>
        <v>0</v>
      </c>
      <c r="N34" s="90">
        <f>IF('01 Major Assumptions'!N$15=0,0,$D34*$E34*'01 Major Assumptions'!N$14*(1+'01 Major Assumptions'!$D$97+'01 Major Assumptions'!$D$99)*(1+'01 Major Assumptions'!$D$98/12)*(1+'01 Major Assumptions'!$D$25)^'02 Oil Price Analysis'!N$57)</f>
        <v>0</v>
      </c>
      <c r="O34" s="90">
        <f>IF('01 Major Assumptions'!O$15=0,0,$D34*$E34*'01 Major Assumptions'!O$14*(1+'01 Major Assumptions'!$D$97+'01 Major Assumptions'!$D$99)*(1+'01 Major Assumptions'!$D$98/12)*(1+'01 Major Assumptions'!$D$25)^'02 Oil Price Analysis'!O$57)</f>
        <v>0</v>
      </c>
      <c r="P34" s="90">
        <f>IF('01 Major Assumptions'!P$15=0,0,$D34*$E34*'01 Major Assumptions'!P$14*(1+'01 Major Assumptions'!$D$97+'01 Major Assumptions'!$D$99)*(1+'01 Major Assumptions'!$D$98/12)*(1+'01 Major Assumptions'!$D$25)^'02 Oil Price Analysis'!P$57)</f>
        <v>0</v>
      </c>
      <c r="Q34" s="90">
        <f>IF('01 Major Assumptions'!Q$15=0,0,$D34*$E34*'01 Major Assumptions'!Q$14*(1+'01 Major Assumptions'!$D$97+'01 Major Assumptions'!$D$99)*(1+'01 Major Assumptions'!$D$98/12)*(1+'01 Major Assumptions'!$D$25)^'02 Oil Price Analysis'!Q$57)</f>
        <v>0</v>
      </c>
      <c r="R34" s="90">
        <f>IF('01 Major Assumptions'!R$15=0,0,$D34*$E34*'01 Major Assumptions'!R$14*(1+'01 Major Assumptions'!$D$97+'01 Major Assumptions'!$D$99)*(1+'01 Major Assumptions'!$D$98/12)*(1+'01 Major Assumptions'!$D$25)^'02 Oil Price Analysis'!R$57)</f>
        <v>0</v>
      </c>
      <c r="S34" s="90">
        <f>IF('01 Major Assumptions'!S$15=0,0,$D34*$E34*'01 Major Assumptions'!S$14*(1+'01 Major Assumptions'!$D$97+'01 Major Assumptions'!$D$99)*(1+'01 Major Assumptions'!$D$98/12)*(1+'01 Major Assumptions'!$D$25)^'02 Oil Price Analysis'!S$57)</f>
        <v>0</v>
      </c>
      <c r="T34" s="90">
        <f>IF('01 Major Assumptions'!T$15=0,0,$D34*$E34*'01 Major Assumptions'!T$14*(1+'01 Major Assumptions'!$D$97+'01 Major Assumptions'!$D$99)*(1+'01 Major Assumptions'!$D$98/12)*(1+'01 Major Assumptions'!$D$25)^'02 Oil Price Analysis'!T$57)</f>
        <v>0</v>
      </c>
      <c r="U34" s="90">
        <f>IF('01 Major Assumptions'!U$15=0,0,$D34*$E34*'01 Major Assumptions'!U$14*(1+'01 Major Assumptions'!$D$97+'01 Major Assumptions'!$D$99)*(1+'01 Major Assumptions'!$D$98/12)*(1+'01 Major Assumptions'!$D$25)^'02 Oil Price Analysis'!U$57)</f>
        <v>0</v>
      </c>
      <c r="V34" s="90">
        <f>IF('01 Major Assumptions'!V$15=0,0,$D34*$E34*'01 Major Assumptions'!V$14*(1+'01 Major Assumptions'!$D$97+'01 Major Assumptions'!$D$99)*(1+'01 Major Assumptions'!$D$98/12)*(1+'01 Major Assumptions'!$D$25)^'02 Oil Price Analysis'!V$57)</f>
        <v>0</v>
      </c>
      <c r="W34" s="90">
        <f>IF('01 Major Assumptions'!W$15=0,0,$D34*$E34*'01 Major Assumptions'!W$14*(1+'01 Major Assumptions'!$D$97+'01 Major Assumptions'!$D$99)*(1+'01 Major Assumptions'!$D$98/12)*(1+'01 Major Assumptions'!$D$25)^'02 Oil Price Analysis'!W$57)</f>
        <v>0</v>
      </c>
      <c r="X34" s="90">
        <f>IF('01 Major Assumptions'!X$15=0,0,$D34*$E34*'01 Major Assumptions'!X$14*(1+'01 Major Assumptions'!$D$97+'01 Major Assumptions'!$D$99)*(1+'01 Major Assumptions'!$D$98/12)*(1+'01 Major Assumptions'!$D$25)^'02 Oil Price Analysis'!X$57)</f>
        <v>0</v>
      </c>
      <c r="Y34" s="90">
        <f>IF('01 Major Assumptions'!Y$15=0,0,$D34*$E34*'01 Major Assumptions'!Y$14*(1+'01 Major Assumptions'!$D$97+'01 Major Assumptions'!$D$99)*(1+'01 Major Assumptions'!$D$98/12)*(1+'01 Major Assumptions'!$D$25)^'02 Oil Price Analysis'!Y$57)</f>
        <v>0</v>
      </c>
      <c r="Z34" s="90">
        <f>IF('01 Major Assumptions'!Z$15=0,0,$D34*$E34*'01 Major Assumptions'!Z$14*(1+'01 Major Assumptions'!$D$97+'01 Major Assumptions'!$D$99)*(1+'01 Major Assumptions'!$D$98/12)*(1+'01 Major Assumptions'!$D$25)^'02 Oil Price Analysis'!Z$57)</f>
        <v>0</v>
      </c>
      <c r="AA34" s="90">
        <f>IF('01 Major Assumptions'!AA$15=0,0,$D34*$E34*'01 Major Assumptions'!AA$14*(1+'01 Major Assumptions'!$D$97+'01 Major Assumptions'!$D$99)*(1+'01 Major Assumptions'!$D$98/12)*(1+'01 Major Assumptions'!$D$25)^'02 Oil Price Analysis'!AA$57)</f>
        <v>0</v>
      </c>
      <c r="AB34" s="90">
        <f>IF('01 Major Assumptions'!AB$15=0,0,$D34*$E34*'01 Major Assumptions'!AB$14*(1+'01 Major Assumptions'!$D$97+'01 Major Assumptions'!$D$99)*(1+'01 Major Assumptions'!$D$98/12)*(1+'01 Major Assumptions'!$D$25)^'02 Oil Price Analysis'!AB$57)</f>
        <v>192806.25000000003</v>
      </c>
      <c r="AC34" s="90">
        <f>IF('01 Major Assumptions'!AC$15=0,0,$D34*$E34*'01 Major Assumptions'!AC$14*(1+'01 Major Assumptions'!$D$97+'01 Major Assumptions'!$D$99)*(1+'01 Major Assumptions'!$D$98/12)*(1+'01 Major Assumptions'!$D$25)^'02 Oil Price Analysis'!AC$57)</f>
        <v>192806.25000000003</v>
      </c>
      <c r="AD34" s="90">
        <f>IF('01 Major Assumptions'!AD$15=0,0,$D34*$E34*'01 Major Assumptions'!AD$14*(1+'01 Major Assumptions'!$D$97+'01 Major Assumptions'!$D$99)*(1+'01 Major Assumptions'!$D$98/12)*(1+'01 Major Assumptions'!$D$25)^'02 Oil Price Analysis'!AD$57)</f>
        <v>192806.25000000003</v>
      </c>
      <c r="AE34" s="90">
        <f>IF('01 Major Assumptions'!AE$15=0,0,$D34*$E34*'01 Major Assumptions'!AE$14*(1+'01 Major Assumptions'!$D$97+'01 Major Assumptions'!$D$99)*(1+'01 Major Assumptions'!$D$98/12)*(1+'01 Major Assumptions'!$D$25)^'02 Oil Price Analysis'!AE$57)</f>
        <v>202446.56250000003</v>
      </c>
      <c r="AF34" s="90">
        <f>IF('01 Major Assumptions'!AF$15=0,0,$D34*$E34*'01 Major Assumptions'!AF$14*(1+'01 Major Assumptions'!$D$97+'01 Major Assumptions'!$D$99)*(1+'01 Major Assumptions'!$D$98/12)*(1+'01 Major Assumptions'!$D$25)^'02 Oil Price Analysis'!AF$57)</f>
        <v>202446.56250000003</v>
      </c>
      <c r="AG34" s="90">
        <f>IF('01 Major Assumptions'!AG$15=0,0,$D34*$E34*'01 Major Assumptions'!AG$14*(1+'01 Major Assumptions'!$D$97+'01 Major Assumptions'!$D$99)*(1+'01 Major Assumptions'!$D$98/12)*(1+'01 Major Assumptions'!$D$25)^'02 Oil Price Analysis'!AG$57)</f>
        <v>202446.56250000003</v>
      </c>
      <c r="AH34" s="90">
        <f>IF('01 Major Assumptions'!AH$15=0,0,$D34*$E34*'01 Major Assumptions'!AH$14*(1+'01 Major Assumptions'!$D$97+'01 Major Assumptions'!$D$99)*(1+'01 Major Assumptions'!$D$98/12)*(1+'01 Major Assumptions'!$D$25)^'02 Oil Price Analysis'!AH$57)</f>
        <v>202446.56250000003</v>
      </c>
      <c r="AI34" s="90">
        <f>IF('01 Major Assumptions'!AI$15=0,0,$D34*$E34*'01 Major Assumptions'!AI$14*(1+'01 Major Assumptions'!$D$97+'01 Major Assumptions'!$D$99)*(1+'01 Major Assumptions'!$D$98/12)*(1+'01 Major Assumptions'!$D$25)^'02 Oil Price Analysis'!AI$57)</f>
        <v>202446.56250000003</v>
      </c>
      <c r="AJ34" s="90">
        <f>IF('01 Major Assumptions'!AJ$15=0,0,$D34*$E34*'01 Major Assumptions'!AJ$14*(1+'01 Major Assumptions'!$D$97+'01 Major Assumptions'!$D$99)*(1+'01 Major Assumptions'!$D$98/12)*(1+'01 Major Assumptions'!$D$25)^'02 Oil Price Analysis'!AJ$57)</f>
        <v>202446.56250000003</v>
      </c>
      <c r="AK34" s="90">
        <f>IF('01 Major Assumptions'!AK$15=0,0,$D34*$E34*'01 Major Assumptions'!AK$14*(1+'01 Major Assumptions'!$D$97+'01 Major Assumptions'!$D$99)*(1+'01 Major Assumptions'!$D$98/12)*(1+'01 Major Assumptions'!$D$25)^'02 Oil Price Analysis'!AK$57)</f>
        <v>202446.56250000003</v>
      </c>
      <c r="AL34" s="90">
        <f>IF('01 Major Assumptions'!AL$15=0,0,$D34*$E34*'01 Major Assumptions'!AL$14*(1+'01 Major Assumptions'!$D$97+'01 Major Assumptions'!$D$99)*(1+'01 Major Assumptions'!$D$98/12)*(1+'01 Major Assumptions'!$D$25)^'02 Oil Price Analysis'!AL$57)</f>
        <v>202446.56250000003</v>
      </c>
      <c r="AM34" s="90">
        <f>IF('01 Major Assumptions'!AM$15=0,0,$D34*$E34*'01 Major Assumptions'!AM$14*(1+'01 Major Assumptions'!$D$97+'01 Major Assumptions'!$D$99)*(1+'01 Major Assumptions'!$D$98/12)*(1+'01 Major Assumptions'!$D$25)^'02 Oil Price Analysis'!AM$57)</f>
        <v>202446.56250000003</v>
      </c>
      <c r="AN34" s="90">
        <f>IF('01 Major Assumptions'!AN$15=0,0,$D34*$E34*'01 Major Assumptions'!AN$14*(1+'01 Major Assumptions'!$D$97+'01 Major Assumptions'!$D$99)*(1+'01 Major Assumptions'!$D$98/12)*(1+'01 Major Assumptions'!$D$25)^'02 Oil Price Analysis'!AN$57)</f>
        <v>202446.56250000003</v>
      </c>
      <c r="AO34" s="90">
        <f>IF('01 Major Assumptions'!AO$15=0,0,$D34*$E34*'01 Major Assumptions'!AO$14*(1+'01 Major Assumptions'!$D$97+'01 Major Assumptions'!$D$99)*(1+'01 Major Assumptions'!$D$98/12)*(1+'01 Major Assumptions'!$D$25)^'02 Oil Price Analysis'!AO$57)</f>
        <v>202446.56250000003</v>
      </c>
      <c r="AP34" s="90">
        <f>IF('01 Major Assumptions'!AP$15=0,0,$D34*$E34*'01 Major Assumptions'!AP$14*(1+'01 Major Assumptions'!$D$97+'01 Major Assumptions'!$D$99)*(1+'01 Major Assumptions'!$D$98/12)*(1+'01 Major Assumptions'!$D$25)^'02 Oil Price Analysis'!AP$57)</f>
        <v>202446.56250000003</v>
      </c>
      <c r="AQ34" s="90">
        <f>IF('01 Major Assumptions'!AQ$15=0,0,$D34*$E34*'01 Major Assumptions'!AQ$14*(1+'01 Major Assumptions'!$D$97+'01 Major Assumptions'!$D$99)*(1+'01 Major Assumptions'!$D$98/12)*(1+'01 Major Assumptions'!$D$25)^'02 Oil Price Analysis'!AQ$57)</f>
        <v>212568.89062500006</v>
      </c>
      <c r="AR34" s="90">
        <f>IF('01 Major Assumptions'!AR$15=0,0,$D34*$E34*'01 Major Assumptions'!AR$14*(1+'01 Major Assumptions'!$D$97+'01 Major Assumptions'!$D$99)*(1+'01 Major Assumptions'!$D$98/12)*(1+'01 Major Assumptions'!$D$25)^'02 Oil Price Analysis'!AR$57)</f>
        <v>212568.89062500006</v>
      </c>
      <c r="AS34" s="90">
        <f>IF('01 Major Assumptions'!AS$15=0,0,$D34*$E34*'01 Major Assumptions'!AS$14*(1+'01 Major Assumptions'!$D$97+'01 Major Assumptions'!$D$99)*(1+'01 Major Assumptions'!$D$98/12)*(1+'01 Major Assumptions'!$D$25)^'02 Oil Price Analysis'!AS$57)</f>
        <v>212568.89062500006</v>
      </c>
      <c r="AT34" s="90">
        <f>IF('01 Major Assumptions'!AT$15=0,0,$D34*$E34*'01 Major Assumptions'!AT$14*(1+'01 Major Assumptions'!$D$97+'01 Major Assumptions'!$D$99)*(1+'01 Major Assumptions'!$D$98/12)*(1+'01 Major Assumptions'!$D$25)^'02 Oil Price Analysis'!AT$57)</f>
        <v>212568.89062500006</v>
      </c>
      <c r="AU34" s="90">
        <f>IF('01 Major Assumptions'!AU$15=0,0,$D34*$E34*'01 Major Assumptions'!AU$14*(1+'01 Major Assumptions'!$D$97+'01 Major Assumptions'!$D$99)*(1+'01 Major Assumptions'!$D$98/12)*(1+'01 Major Assumptions'!$D$25)^'02 Oil Price Analysis'!AU$57)</f>
        <v>212568.89062500006</v>
      </c>
      <c r="AV34" s="90">
        <f>IF('01 Major Assumptions'!AV$15=0,0,$D34*$E34*'01 Major Assumptions'!AV$14*(1+'01 Major Assumptions'!$D$97+'01 Major Assumptions'!$D$99)*(1+'01 Major Assumptions'!$D$98/12)*(1+'01 Major Assumptions'!$D$25)^'02 Oil Price Analysis'!AV$57)</f>
        <v>212568.89062500006</v>
      </c>
      <c r="AW34" s="90">
        <f>IF('01 Major Assumptions'!AW$15=0,0,$D34*$E34*'01 Major Assumptions'!AW$14*(1+'01 Major Assumptions'!$D$97+'01 Major Assumptions'!$D$99)*(1+'01 Major Assumptions'!$D$98/12)*(1+'01 Major Assumptions'!$D$25)^'02 Oil Price Analysis'!AW$57)</f>
        <v>212568.89062500006</v>
      </c>
      <c r="AX34" s="90">
        <f>IF('01 Major Assumptions'!AX$15=0,0,$D34*$E34*'01 Major Assumptions'!AX$14*(1+'01 Major Assumptions'!$D$97+'01 Major Assumptions'!$D$99)*(1+'01 Major Assumptions'!$D$98/12)*(1+'01 Major Assumptions'!$D$25)^'02 Oil Price Analysis'!AX$57)</f>
        <v>212568.89062500006</v>
      </c>
      <c r="AY34" s="90">
        <f>IF('01 Major Assumptions'!AY$15=0,0,$D34*$E34*'01 Major Assumptions'!AY$14*(1+'01 Major Assumptions'!$D$97+'01 Major Assumptions'!$D$99)*(1+'01 Major Assumptions'!$D$98/12)*(1+'01 Major Assumptions'!$D$25)^'02 Oil Price Analysis'!AY$57)</f>
        <v>212568.89062500006</v>
      </c>
      <c r="AZ34" s="90">
        <f>IF('01 Major Assumptions'!AZ$15=0,0,$D34*$E34*'01 Major Assumptions'!AZ$14*(1+'01 Major Assumptions'!$D$97+'01 Major Assumptions'!$D$99)*(1+'01 Major Assumptions'!$D$98/12)*(1+'01 Major Assumptions'!$D$25)^'02 Oil Price Analysis'!AZ$57)</f>
        <v>212568.89062500006</v>
      </c>
      <c r="BA34" s="90">
        <f>IF('01 Major Assumptions'!BA$15=0,0,$D34*$E34*'01 Major Assumptions'!BA$14*(1+'01 Major Assumptions'!$D$97+'01 Major Assumptions'!$D$99)*(1+'01 Major Assumptions'!$D$98/12)*(1+'01 Major Assumptions'!$D$25)^'02 Oil Price Analysis'!BA$57)</f>
        <v>212568.89062500006</v>
      </c>
      <c r="BB34" s="90">
        <f>IF('01 Major Assumptions'!BB$15=0,0,$D34*$E34*'01 Major Assumptions'!BB$14*(1+'01 Major Assumptions'!$D$97+'01 Major Assumptions'!$D$99)*(1+'01 Major Assumptions'!$D$98/12)*(1+'01 Major Assumptions'!$D$25)^'02 Oil Price Analysis'!BB$57)</f>
        <v>212568.89062500006</v>
      </c>
      <c r="BC34" s="90">
        <f>IF('01 Major Assumptions'!BC$15=0,0,$D34*$E34*'01 Major Assumptions'!BC$14*(1+'01 Major Assumptions'!$D$97+'01 Major Assumptions'!$D$99)*(1+'01 Major Assumptions'!$D$98/12)*(1+'01 Major Assumptions'!$D$25)^'02 Oil Price Analysis'!BC$57)</f>
        <v>223197.33515625005</v>
      </c>
      <c r="BD34" s="90">
        <f>IF('01 Major Assumptions'!BD$15=0,0,$D34*$E34*'01 Major Assumptions'!BD$14*(1+'01 Major Assumptions'!$D$97+'01 Major Assumptions'!$D$99)*(1+'01 Major Assumptions'!$D$98/12)*(1+'01 Major Assumptions'!$D$25)^'02 Oil Price Analysis'!BD$57)</f>
        <v>223197.33515625005</v>
      </c>
      <c r="BE34" s="90">
        <f>IF('01 Major Assumptions'!BE$15=0,0,$D34*$E34*'01 Major Assumptions'!BE$14*(1+'01 Major Assumptions'!$D$97+'01 Major Assumptions'!$D$99)*(1+'01 Major Assumptions'!$D$98/12)*(1+'01 Major Assumptions'!$D$25)^'02 Oil Price Analysis'!BE$57)</f>
        <v>223197.33515625005</v>
      </c>
      <c r="BF34" s="90">
        <f>IF('01 Major Assumptions'!BF$15=0,0,$D34*$E34*'01 Major Assumptions'!BF$14*(1+'01 Major Assumptions'!$D$97+'01 Major Assumptions'!$D$99)*(1+'01 Major Assumptions'!$D$98/12)*(1+'01 Major Assumptions'!$D$25)^'02 Oil Price Analysis'!BF$57)</f>
        <v>223197.33515625005</v>
      </c>
      <c r="BG34" s="90">
        <f>IF('01 Major Assumptions'!BG$15=0,0,$D34*$E34*'01 Major Assumptions'!BG$14*(1+'01 Major Assumptions'!$D$97+'01 Major Assumptions'!$D$99)*(1+'01 Major Assumptions'!$D$98/12)*(1+'01 Major Assumptions'!$D$25)^'02 Oil Price Analysis'!BG$57)</f>
        <v>223197.33515625005</v>
      </c>
      <c r="BH34" s="90">
        <f>IF('01 Major Assumptions'!BH$15=0,0,$D34*$E34*'01 Major Assumptions'!BH$14*(1+'01 Major Assumptions'!$D$97+'01 Major Assumptions'!$D$99)*(1+'01 Major Assumptions'!$D$98/12)*(1+'01 Major Assumptions'!$D$25)^'02 Oil Price Analysis'!BH$57)</f>
        <v>223197.33515625005</v>
      </c>
      <c r="BI34" s="90">
        <f>IF('01 Major Assumptions'!BI$15=0,0,$D34*$E34*'01 Major Assumptions'!BI$14*(1+'01 Major Assumptions'!$D$97+'01 Major Assumptions'!$D$99)*(1+'01 Major Assumptions'!$D$98/12)*(1+'01 Major Assumptions'!$D$25)^'02 Oil Price Analysis'!BI$57)</f>
        <v>2812286.4229687504</v>
      </c>
      <c r="BJ34" s="90">
        <f>IF('01 Major Assumptions'!BJ$15=0,0,$D34*$E34*'01 Major Assumptions'!BJ$14*(1+'01 Major Assumptions'!$D$97+'01 Major Assumptions'!$D$99)*(1+'01 Major Assumptions'!$D$98/12)*(1+'01 Major Assumptions'!$D$25)^'02 Oil Price Analysis'!BJ$57)</f>
        <v>2952900.7441171873</v>
      </c>
      <c r="BK34" s="90">
        <f>IF('01 Major Assumptions'!BK$15=0,0,$D34*$E34*'01 Major Assumptions'!BK$14*(1+'01 Major Assumptions'!$D$97+'01 Major Assumptions'!$D$99)*(1+'01 Major Assumptions'!$D$98/12)*(1+'01 Major Assumptions'!$D$25)^'02 Oil Price Analysis'!BK$57)</f>
        <v>3100545.7813230474</v>
      </c>
      <c r="BL34" s="90">
        <f>IF('01 Major Assumptions'!BL$15=0,0,$D34*$E34*'01 Major Assumptions'!BL$14*(1+'01 Major Assumptions'!$D$97+'01 Major Assumptions'!$D$99)*(1+'01 Major Assumptions'!$D$98/12)*(1+'01 Major Assumptions'!$D$25)^'02 Oil Price Analysis'!BL$57)</f>
        <v>3255573.0703891995</v>
      </c>
      <c r="BM34" s="90">
        <f>IF('01 Major Assumptions'!BM$15=0,0,$D34*$E34*'01 Major Assumptions'!BM$14*(1+'01 Major Assumptions'!$D$97+'01 Major Assumptions'!$D$99)*(1+'01 Major Assumptions'!$D$98/12)*(1+'01 Major Assumptions'!$D$25)^'02 Oil Price Analysis'!BM$57)</f>
        <v>3418351.7239086595</v>
      </c>
      <c r="BN34" s="90">
        <f>IF('01 Major Assumptions'!BN$15=0,0,$D34*$E34*'01 Major Assumptions'!BN$14*(1+'01 Major Assumptions'!$D$97+'01 Major Assumptions'!$D$99)*(1+'01 Major Assumptions'!$D$98/12)*(1+'01 Major Assumptions'!$D$25)^'02 Oil Price Analysis'!BN$57)</f>
        <v>3589269.3101040926</v>
      </c>
      <c r="BO34" s="90">
        <f>IF('01 Major Assumptions'!BO$15=0,0,$D34*$E34*'01 Major Assumptions'!BO$14*(1+'01 Major Assumptions'!$D$97+'01 Major Assumptions'!$D$99)*(1+'01 Major Assumptions'!$D$98/12)*(1+'01 Major Assumptions'!$D$25)^'02 Oil Price Analysis'!BO$57)</f>
        <v>3768732.7756092972</v>
      </c>
    </row>
    <row r="35" spans="1:67">
      <c r="A35" s="11"/>
      <c r="B35" s="32" t="str">
        <f>'01 Major Assumptions'!B81</f>
        <v>Production manager</v>
      </c>
      <c r="C35" s="11"/>
      <c r="D35" s="92">
        <f>'01 Major Assumptions'!$C$81</f>
        <v>1</v>
      </c>
      <c r="E35" s="92">
        <f>'01 Major Assumptions'!$D$81</f>
        <v>90000</v>
      </c>
      <c r="F35" s="10" t="s">
        <v>13</v>
      </c>
      <c r="G35" s="90">
        <f>IF('01 Major Assumptions'!G$15=0,0,$D35*$E35*'01 Major Assumptions'!G$14*(1+'01 Major Assumptions'!$D$97+'01 Major Assumptions'!$D$99)*(1+'01 Major Assumptions'!$D$98/12)*(1+'01 Major Assumptions'!$D$25)^'02 Oil Price Analysis'!G$57)</f>
        <v>0</v>
      </c>
      <c r="H35" s="90">
        <f>IF('01 Major Assumptions'!H$15=0,0,$D35*$E35*'01 Major Assumptions'!H$14*(1+'01 Major Assumptions'!$D$97+'01 Major Assumptions'!$D$99)*(1+'01 Major Assumptions'!$D$98/12)*(1+'01 Major Assumptions'!$D$25)^'02 Oil Price Analysis'!H$57)</f>
        <v>0</v>
      </c>
      <c r="I35" s="90">
        <f>IF('01 Major Assumptions'!I$15=0,0,$D35*$E35*'01 Major Assumptions'!I$14*(1+'01 Major Assumptions'!$D$97+'01 Major Assumptions'!$D$99)*(1+'01 Major Assumptions'!$D$98/12)*(1+'01 Major Assumptions'!$D$25)^'02 Oil Price Analysis'!I$57)</f>
        <v>0</v>
      </c>
      <c r="J35" s="90">
        <f>IF('01 Major Assumptions'!J$15=0,0,$D35*$E35*'01 Major Assumptions'!J$14*(1+'01 Major Assumptions'!$D$97+'01 Major Assumptions'!$D$99)*(1+'01 Major Assumptions'!$D$98/12)*(1+'01 Major Assumptions'!$D$25)^'02 Oil Price Analysis'!J$57)</f>
        <v>0</v>
      </c>
      <c r="K35" s="90">
        <f>IF('01 Major Assumptions'!K$15=0,0,$D35*$E35*'01 Major Assumptions'!K$14*(1+'01 Major Assumptions'!$D$97+'01 Major Assumptions'!$D$99)*(1+'01 Major Assumptions'!$D$98/12)*(1+'01 Major Assumptions'!$D$25)^'02 Oil Price Analysis'!K$57)</f>
        <v>0</v>
      </c>
      <c r="L35" s="90">
        <f>IF('01 Major Assumptions'!L$15=0,0,$D35*$E35*'01 Major Assumptions'!L$14*(1+'01 Major Assumptions'!$D$97+'01 Major Assumptions'!$D$99)*(1+'01 Major Assumptions'!$D$98/12)*(1+'01 Major Assumptions'!$D$25)^'02 Oil Price Analysis'!L$57)</f>
        <v>0</v>
      </c>
      <c r="M35" s="90">
        <f>IF('01 Major Assumptions'!M$15=0,0,$D35*$E35*'01 Major Assumptions'!M$14*(1+'01 Major Assumptions'!$D$97+'01 Major Assumptions'!$D$99)*(1+'01 Major Assumptions'!$D$98/12)*(1+'01 Major Assumptions'!$D$25)^'02 Oil Price Analysis'!M$57)</f>
        <v>0</v>
      </c>
      <c r="N35" s="90">
        <f>IF('01 Major Assumptions'!N$15=0,0,$D35*$E35*'01 Major Assumptions'!N$14*(1+'01 Major Assumptions'!$D$97+'01 Major Assumptions'!$D$99)*(1+'01 Major Assumptions'!$D$98/12)*(1+'01 Major Assumptions'!$D$25)^'02 Oil Price Analysis'!N$57)</f>
        <v>0</v>
      </c>
      <c r="O35" s="90">
        <f>IF('01 Major Assumptions'!O$15=0,0,$D35*$E35*'01 Major Assumptions'!O$14*(1+'01 Major Assumptions'!$D$97+'01 Major Assumptions'!$D$99)*(1+'01 Major Assumptions'!$D$98/12)*(1+'01 Major Assumptions'!$D$25)^'02 Oil Price Analysis'!O$57)</f>
        <v>0</v>
      </c>
      <c r="P35" s="90">
        <f>IF('01 Major Assumptions'!P$15=0,0,$D35*$E35*'01 Major Assumptions'!P$14*(1+'01 Major Assumptions'!$D$97+'01 Major Assumptions'!$D$99)*(1+'01 Major Assumptions'!$D$98/12)*(1+'01 Major Assumptions'!$D$25)^'02 Oil Price Analysis'!P$57)</f>
        <v>0</v>
      </c>
      <c r="Q35" s="90">
        <f>IF('01 Major Assumptions'!Q$15=0,0,$D35*$E35*'01 Major Assumptions'!Q$14*(1+'01 Major Assumptions'!$D$97+'01 Major Assumptions'!$D$99)*(1+'01 Major Assumptions'!$D$98/12)*(1+'01 Major Assumptions'!$D$25)^'02 Oil Price Analysis'!Q$57)</f>
        <v>0</v>
      </c>
      <c r="R35" s="90">
        <f>IF('01 Major Assumptions'!R$15=0,0,$D35*$E35*'01 Major Assumptions'!R$14*(1+'01 Major Assumptions'!$D$97+'01 Major Assumptions'!$D$99)*(1+'01 Major Assumptions'!$D$98/12)*(1+'01 Major Assumptions'!$D$25)^'02 Oil Price Analysis'!R$57)</f>
        <v>0</v>
      </c>
      <c r="S35" s="90">
        <f>IF('01 Major Assumptions'!S$15=0,0,$D35*$E35*'01 Major Assumptions'!S$14*(1+'01 Major Assumptions'!$D$97+'01 Major Assumptions'!$D$99)*(1+'01 Major Assumptions'!$D$98/12)*(1+'01 Major Assumptions'!$D$25)^'02 Oil Price Analysis'!S$57)</f>
        <v>0</v>
      </c>
      <c r="T35" s="90">
        <f>IF('01 Major Assumptions'!T$15=0,0,$D35*$E35*'01 Major Assumptions'!T$14*(1+'01 Major Assumptions'!$D$97+'01 Major Assumptions'!$D$99)*(1+'01 Major Assumptions'!$D$98/12)*(1+'01 Major Assumptions'!$D$25)^'02 Oil Price Analysis'!T$57)</f>
        <v>0</v>
      </c>
      <c r="U35" s="90">
        <f>IF('01 Major Assumptions'!U$15=0,0,$D35*$E35*'01 Major Assumptions'!U$14*(1+'01 Major Assumptions'!$D$97+'01 Major Assumptions'!$D$99)*(1+'01 Major Assumptions'!$D$98/12)*(1+'01 Major Assumptions'!$D$25)^'02 Oil Price Analysis'!U$57)</f>
        <v>0</v>
      </c>
      <c r="V35" s="90">
        <f>IF('01 Major Assumptions'!V$15=0,0,$D35*$E35*'01 Major Assumptions'!V$14*(1+'01 Major Assumptions'!$D$97+'01 Major Assumptions'!$D$99)*(1+'01 Major Assumptions'!$D$98/12)*(1+'01 Major Assumptions'!$D$25)^'02 Oil Price Analysis'!V$57)</f>
        <v>0</v>
      </c>
      <c r="W35" s="90">
        <f>IF('01 Major Assumptions'!W$15=0,0,$D35*$E35*'01 Major Assumptions'!W$14*(1+'01 Major Assumptions'!$D$97+'01 Major Assumptions'!$D$99)*(1+'01 Major Assumptions'!$D$98/12)*(1+'01 Major Assumptions'!$D$25)^'02 Oil Price Analysis'!W$57)</f>
        <v>0</v>
      </c>
      <c r="X35" s="90">
        <f>IF('01 Major Assumptions'!X$15=0,0,$D35*$E35*'01 Major Assumptions'!X$14*(1+'01 Major Assumptions'!$D$97+'01 Major Assumptions'!$D$99)*(1+'01 Major Assumptions'!$D$98/12)*(1+'01 Major Assumptions'!$D$25)^'02 Oil Price Analysis'!X$57)</f>
        <v>0</v>
      </c>
      <c r="Y35" s="90">
        <f>IF('01 Major Assumptions'!Y$15=0,0,$D35*$E35*'01 Major Assumptions'!Y$14*(1+'01 Major Assumptions'!$D$97+'01 Major Assumptions'!$D$99)*(1+'01 Major Assumptions'!$D$98/12)*(1+'01 Major Assumptions'!$D$25)^'02 Oil Price Analysis'!Y$57)</f>
        <v>0</v>
      </c>
      <c r="Z35" s="90">
        <f>IF('01 Major Assumptions'!Z$15=0,0,$D35*$E35*'01 Major Assumptions'!Z$14*(1+'01 Major Assumptions'!$D$97+'01 Major Assumptions'!$D$99)*(1+'01 Major Assumptions'!$D$98/12)*(1+'01 Major Assumptions'!$D$25)^'02 Oil Price Analysis'!Z$57)</f>
        <v>0</v>
      </c>
      <c r="AA35" s="90">
        <f>IF('01 Major Assumptions'!AA$15=0,0,$D35*$E35*'01 Major Assumptions'!AA$14*(1+'01 Major Assumptions'!$D$97+'01 Major Assumptions'!$D$99)*(1+'01 Major Assumptions'!$D$98/12)*(1+'01 Major Assumptions'!$D$25)^'02 Oil Price Analysis'!AA$57)</f>
        <v>0</v>
      </c>
      <c r="AB35" s="90">
        <f>IF('01 Major Assumptions'!AB$15=0,0,$D35*$E35*'01 Major Assumptions'!AB$14*(1+'01 Major Assumptions'!$D$97+'01 Major Assumptions'!$D$99)*(1+'01 Major Assumptions'!$D$98/12)*(1+'01 Major Assumptions'!$D$25)^'02 Oil Price Analysis'!AB$57)</f>
        <v>115683.75000000001</v>
      </c>
      <c r="AC35" s="90">
        <f>IF('01 Major Assumptions'!AC$15=0,0,$D35*$E35*'01 Major Assumptions'!AC$14*(1+'01 Major Assumptions'!$D$97+'01 Major Assumptions'!$D$99)*(1+'01 Major Assumptions'!$D$98/12)*(1+'01 Major Assumptions'!$D$25)^'02 Oil Price Analysis'!AC$57)</f>
        <v>115683.75000000001</v>
      </c>
      <c r="AD35" s="90">
        <f>IF('01 Major Assumptions'!AD$15=0,0,$D35*$E35*'01 Major Assumptions'!AD$14*(1+'01 Major Assumptions'!$D$97+'01 Major Assumptions'!$D$99)*(1+'01 Major Assumptions'!$D$98/12)*(1+'01 Major Assumptions'!$D$25)^'02 Oil Price Analysis'!AD$57)</f>
        <v>115683.75000000001</v>
      </c>
      <c r="AE35" s="90">
        <f>IF('01 Major Assumptions'!AE$15=0,0,$D35*$E35*'01 Major Assumptions'!AE$14*(1+'01 Major Assumptions'!$D$97+'01 Major Assumptions'!$D$99)*(1+'01 Major Assumptions'!$D$98/12)*(1+'01 Major Assumptions'!$D$25)^'02 Oil Price Analysis'!AE$57)</f>
        <v>121467.93750000001</v>
      </c>
      <c r="AF35" s="90">
        <f>IF('01 Major Assumptions'!AF$15=0,0,$D35*$E35*'01 Major Assumptions'!AF$14*(1+'01 Major Assumptions'!$D$97+'01 Major Assumptions'!$D$99)*(1+'01 Major Assumptions'!$D$98/12)*(1+'01 Major Assumptions'!$D$25)^'02 Oil Price Analysis'!AF$57)</f>
        <v>121467.93750000001</v>
      </c>
      <c r="AG35" s="90">
        <f>IF('01 Major Assumptions'!AG$15=0,0,$D35*$E35*'01 Major Assumptions'!AG$14*(1+'01 Major Assumptions'!$D$97+'01 Major Assumptions'!$D$99)*(1+'01 Major Assumptions'!$D$98/12)*(1+'01 Major Assumptions'!$D$25)^'02 Oil Price Analysis'!AG$57)</f>
        <v>121467.93750000001</v>
      </c>
      <c r="AH35" s="90">
        <f>IF('01 Major Assumptions'!AH$15=0,0,$D35*$E35*'01 Major Assumptions'!AH$14*(1+'01 Major Assumptions'!$D$97+'01 Major Assumptions'!$D$99)*(1+'01 Major Assumptions'!$D$98/12)*(1+'01 Major Assumptions'!$D$25)^'02 Oil Price Analysis'!AH$57)</f>
        <v>121467.93750000001</v>
      </c>
      <c r="AI35" s="90">
        <f>IF('01 Major Assumptions'!AI$15=0,0,$D35*$E35*'01 Major Assumptions'!AI$14*(1+'01 Major Assumptions'!$D$97+'01 Major Assumptions'!$D$99)*(1+'01 Major Assumptions'!$D$98/12)*(1+'01 Major Assumptions'!$D$25)^'02 Oil Price Analysis'!AI$57)</f>
        <v>121467.93750000001</v>
      </c>
      <c r="AJ35" s="90">
        <f>IF('01 Major Assumptions'!AJ$15=0,0,$D35*$E35*'01 Major Assumptions'!AJ$14*(1+'01 Major Assumptions'!$D$97+'01 Major Assumptions'!$D$99)*(1+'01 Major Assumptions'!$D$98/12)*(1+'01 Major Assumptions'!$D$25)^'02 Oil Price Analysis'!AJ$57)</f>
        <v>121467.93750000001</v>
      </c>
      <c r="AK35" s="90">
        <f>IF('01 Major Assumptions'!AK$15=0,0,$D35*$E35*'01 Major Assumptions'!AK$14*(1+'01 Major Assumptions'!$D$97+'01 Major Assumptions'!$D$99)*(1+'01 Major Assumptions'!$D$98/12)*(1+'01 Major Assumptions'!$D$25)^'02 Oil Price Analysis'!AK$57)</f>
        <v>121467.93750000001</v>
      </c>
      <c r="AL35" s="90">
        <f>IF('01 Major Assumptions'!AL$15=0,0,$D35*$E35*'01 Major Assumptions'!AL$14*(1+'01 Major Assumptions'!$D$97+'01 Major Assumptions'!$D$99)*(1+'01 Major Assumptions'!$D$98/12)*(1+'01 Major Assumptions'!$D$25)^'02 Oil Price Analysis'!AL$57)</f>
        <v>121467.93750000001</v>
      </c>
      <c r="AM35" s="90">
        <f>IF('01 Major Assumptions'!AM$15=0,0,$D35*$E35*'01 Major Assumptions'!AM$14*(1+'01 Major Assumptions'!$D$97+'01 Major Assumptions'!$D$99)*(1+'01 Major Assumptions'!$D$98/12)*(1+'01 Major Assumptions'!$D$25)^'02 Oil Price Analysis'!AM$57)</f>
        <v>121467.93750000001</v>
      </c>
      <c r="AN35" s="90">
        <f>IF('01 Major Assumptions'!AN$15=0,0,$D35*$E35*'01 Major Assumptions'!AN$14*(1+'01 Major Assumptions'!$D$97+'01 Major Assumptions'!$D$99)*(1+'01 Major Assumptions'!$D$98/12)*(1+'01 Major Assumptions'!$D$25)^'02 Oil Price Analysis'!AN$57)</f>
        <v>121467.93750000001</v>
      </c>
      <c r="AO35" s="90">
        <f>IF('01 Major Assumptions'!AO$15=0,0,$D35*$E35*'01 Major Assumptions'!AO$14*(1+'01 Major Assumptions'!$D$97+'01 Major Assumptions'!$D$99)*(1+'01 Major Assumptions'!$D$98/12)*(1+'01 Major Assumptions'!$D$25)^'02 Oil Price Analysis'!AO$57)</f>
        <v>121467.93750000001</v>
      </c>
      <c r="AP35" s="90">
        <f>IF('01 Major Assumptions'!AP$15=0,0,$D35*$E35*'01 Major Assumptions'!AP$14*(1+'01 Major Assumptions'!$D$97+'01 Major Assumptions'!$D$99)*(1+'01 Major Assumptions'!$D$98/12)*(1+'01 Major Assumptions'!$D$25)^'02 Oil Price Analysis'!AP$57)</f>
        <v>121467.93750000001</v>
      </c>
      <c r="AQ35" s="90">
        <f>IF('01 Major Assumptions'!AQ$15=0,0,$D35*$E35*'01 Major Assumptions'!AQ$14*(1+'01 Major Assumptions'!$D$97+'01 Major Assumptions'!$D$99)*(1+'01 Major Assumptions'!$D$98/12)*(1+'01 Major Assumptions'!$D$25)^'02 Oil Price Analysis'!AQ$57)</f>
        <v>127541.33437500003</v>
      </c>
      <c r="AR35" s="90">
        <f>IF('01 Major Assumptions'!AR$15=0,0,$D35*$E35*'01 Major Assumptions'!AR$14*(1+'01 Major Assumptions'!$D$97+'01 Major Assumptions'!$D$99)*(1+'01 Major Assumptions'!$D$98/12)*(1+'01 Major Assumptions'!$D$25)^'02 Oil Price Analysis'!AR$57)</f>
        <v>127541.33437500003</v>
      </c>
      <c r="AS35" s="90">
        <f>IF('01 Major Assumptions'!AS$15=0,0,$D35*$E35*'01 Major Assumptions'!AS$14*(1+'01 Major Assumptions'!$D$97+'01 Major Assumptions'!$D$99)*(1+'01 Major Assumptions'!$D$98/12)*(1+'01 Major Assumptions'!$D$25)^'02 Oil Price Analysis'!AS$57)</f>
        <v>127541.33437500003</v>
      </c>
      <c r="AT35" s="90">
        <f>IF('01 Major Assumptions'!AT$15=0,0,$D35*$E35*'01 Major Assumptions'!AT$14*(1+'01 Major Assumptions'!$D$97+'01 Major Assumptions'!$D$99)*(1+'01 Major Assumptions'!$D$98/12)*(1+'01 Major Assumptions'!$D$25)^'02 Oil Price Analysis'!AT$57)</f>
        <v>127541.33437500003</v>
      </c>
      <c r="AU35" s="90">
        <f>IF('01 Major Assumptions'!AU$15=0,0,$D35*$E35*'01 Major Assumptions'!AU$14*(1+'01 Major Assumptions'!$D$97+'01 Major Assumptions'!$D$99)*(1+'01 Major Assumptions'!$D$98/12)*(1+'01 Major Assumptions'!$D$25)^'02 Oil Price Analysis'!AU$57)</f>
        <v>127541.33437500003</v>
      </c>
      <c r="AV35" s="90">
        <f>IF('01 Major Assumptions'!AV$15=0,0,$D35*$E35*'01 Major Assumptions'!AV$14*(1+'01 Major Assumptions'!$D$97+'01 Major Assumptions'!$D$99)*(1+'01 Major Assumptions'!$D$98/12)*(1+'01 Major Assumptions'!$D$25)^'02 Oil Price Analysis'!AV$57)</f>
        <v>127541.33437500003</v>
      </c>
      <c r="AW35" s="90">
        <f>IF('01 Major Assumptions'!AW$15=0,0,$D35*$E35*'01 Major Assumptions'!AW$14*(1+'01 Major Assumptions'!$D$97+'01 Major Assumptions'!$D$99)*(1+'01 Major Assumptions'!$D$98/12)*(1+'01 Major Assumptions'!$D$25)^'02 Oil Price Analysis'!AW$57)</f>
        <v>127541.33437500003</v>
      </c>
      <c r="AX35" s="90">
        <f>IF('01 Major Assumptions'!AX$15=0,0,$D35*$E35*'01 Major Assumptions'!AX$14*(1+'01 Major Assumptions'!$D$97+'01 Major Assumptions'!$D$99)*(1+'01 Major Assumptions'!$D$98/12)*(1+'01 Major Assumptions'!$D$25)^'02 Oil Price Analysis'!AX$57)</f>
        <v>127541.33437500003</v>
      </c>
      <c r="AY35" s="90">
        <f>IF('01 Major Assumptions'!AY$15=0,0,$D35*$E35*'01 Major Assumptions'!AY$14*(1+'01 Major Assumptions'!$D$97+'01 Major Assumptions'!$D$99)*(1+'01 Major Assumptions'!$D$98/12)*(1+'01 Major Assumptions'!$D$25)^'02 Oil Price Analysis'!AY$57)</f>
        <v>127541.33437500003</v>
      </c>
      <c r="AZ35" s="90">
        <f>IF('01 Major Assumptions'!AZ$15=0,0,$D35*$E35*'01 Major Assumptions'!AZ$14*(1+'01 Major Assumptions'!$D$97+'01 Major Assumptions'!$D$99)*(1+'01 Major Assumptions'!$D$98/12)*(1+'01 Major Assumptions'!$D$25)^'02 Oil Price Analysis'!AZ$57)</f>
        <v>127541.33437500003</v>
      </c>
      <c r="BA35" s="90">
        <f>IF('01 Major Assumptions'!BA$15=0,0,$D35*$E35*'01 Major Assumptions'!BA$14*(1+'01 Major Assumptions'!$D$97+'01 Major Assumptions'!$D$99)*(1+'01 Major Assumptions'!$D$98/12)*(1+'01 Major Assumptions'!$D$25)^'02 Oil Price Analysis'!BA$57)</f>
        <v>127541.33437500003</v>
      </c>
      <c r="BB35" s="90">
        <f>IF('01 Major Assumptions'!BB$15=0,0,$D35*$E35*'01 Major Assumptions'!BB$14*(1+'01 Major Assumptions'!$D$97+'01 Major Assumptions'!$D$99)*(1+'01 Major Assumptions'!$D$98/12)*(1+'01 Major Assumptions'!$D$25)^'02 Oil Price Analysis'!BB$57)</f>
        <v>127541.33437500003</v>
      </c>
      <c r="BC35" s="90">
        <f>IF('01 Major Assumptions'!BC$15=0,0,$D35*$E35*'01 Major Assumptions'!BC$14*(1+'01 Major Assumptions'!$D$97+'01 Major Assumptions'!$D$99)*(1+'01 Major Assumptions'!$D$98/12)*(1+'01 Major Assumptions'!$D$25)^'02 Oil Price Analysis'!BC$57)</f>
        <v>133918.40109375003</v>
      </c>
      <c r="BD35" s="90">
        <f>IF('01 Major Assumptions'!BD$15=0,0,$D35*$E35*'01 Major Assumptions'!BD$14*(1+'01 Major Assumptions'!$D$97+'01 Major Assumptions'!$D$99)*(1+'01 Major Assumptions'!$D$98/12)*(1+'01 Major Assumptions'!$D$25)^'02 Oil Price Analysis'!BD$57)</f>
        <v>133918.40109375003</v>
      </c>
      <c r="BE35" s="90">
        <f>IF('01 Major Assumptions'!BE$15=0,0,$D35*$E35*'01 Major Assumptions'!BE$14*(1+'01 Major Assumptions'!$D$97+'01 Major Assumptions'!$D$99)*(1+'01 Major Assumptions'!$D$98/12)*(1+'01 Major Assumptions'!$D$25)^'02 Oil Price Analysis'!BE$57)</f>
        <v>133918.40109375003</v>
      </c>
      <c r="BF35" s="90">
        <f>IF('01 Major Assumptions'!BF$15=0,0,$D35*$E35*'01 Major Assumptions'!BF$14*(1+'01 Major Assumptions'!$D$97+'01 Major Assumptions'!$D$99)*(1+'01 Major Assumptions'!$D$98/12)*(1+'01 Major Assumptions'!$D$25)^'02 Oil Price Analysis'!BF$57)</f>
        <v>133918.40109375003</v>
      </c>
      <c r="BG35" s="90">
        <f>IF('01 Major Assumptions'!BG$15=0,0,$D35*$E35*'01 Major Assumptions'!BG$14*(1+'01 Major Assumptions'!$D$97+'01 Major Assumptions'!$D$99)*(1+'01 Major Assumptions'!$D$98/12)*(1+'01 Major Assumptions'!$D$25)^'02 Oil Price Analysis'!BG$57)</f>
        <v>133918.40109375003</v>
      </c>
      <c r="BH35" s="90">
        <f>IF('01 Major Assumptions'!BH$15=0,0,$D35*$E35*'01 Major Assumptions'!BH$14*(1+'01 Major Assumptions'!$D$97+'01 Major Assumptions'!$D$99)*(1+'01 Major Assumptions'!$D$98/12)*(1+'01 Major Assumptions'!$D$25)^'02 Oil Price Analysis'!BH$57)</f>
        <v>133918.40109375003</v>
      </c>
      <c r="BI35" s="90">
        <f>IF('01 Major Assumptions'!BI$15=0,0,$D35*$E35*'01 Major Assumptions'!BI$14*(1+'01 Major Assumptions'!$D$97+'01 Major Assumptions'!$D$99)*(1+'01 Major Assumptions'!$D$98/12)*(1+'01 Major Assumptions'!$D$25)^'02 Oil Price Analysis'!BI$57)</f>
        <v>1687371.8537812505</v>
      </c>
      <c r="BJ35" s="90">
        <f>IF('01 Major Assumptions'!BJ$15=0,0,$D35*$E35*'01 Major Assumptions'!BJ$14*(1+'01 Major Assumptions'!$D$97+'01 Major Assumptions'!$D$99)*(1+'01 Major Assumptions'!$D$98/12)*(1+'01 Major Assumptions'!$D$25)^'02 Oil Price Analysis'!BJ$57)</f>
        <v>1771740.4464703128</v>
      </c>
      <c r="BK35" s="90">
        <f>IF('01 Major Assumptions'!BK$15=0,0,$D35*$E35*'01 Major Assumptions'!BK$14*(1+'01 Major Assumptions'!$D$97+'01 Major Assumptions'!$D$99)*(1+'01 Major Assumptions'!$D$98/12)*(1+'01 Major Assumptions'!$D$25)^'02 Oil Price Analysis'!BK$57)</f>
        <v>1860327.4687938287</v>
      </c>
      <c r="BL35" s="90">
        <f>IF('01 Major Assumptions'!BL$15=0,0,$D35*$E35*'01 Major Assumptions'!BL$14*(1+'01 Major Assumptions'!$D$97+'01 Major Assumptions'!$D$99)*(1+'01 Major Assumptions'!$D$98/12)*(1+'01 Major Assumptions'!$D$25)^'02 Oil Price Analysis'!BL$57)</f>
        <v>1953343.84223352</v>
      </c>
      <c r="BM35" s="90">
        <f>IF('01 Major Assumptions'!BM$15=0,0,$D35*$E35*'01 Major Assumptions'!BM$14*(1+'01 Major Assumptions'!$D$97+'01 Major Assumptions'!$D$99)*(1+'01 Major Assumptions'!$D$98/12)*(1+'01 Major Assumptions'!$D$25)^'02 Oil Price Analysis'!BM$57)</f>
        <v>2051011.0343451961</v>
      </c>
      <c r="BN35" s="90">
        <f>IF('01 Major Assumptions'!BN$15=0,0,$D35*$E35*'01 Major Assumptions'!BN$14*(1+'01 Major Assumptions'!$D$97+'01 Major Assumptions'!$D$99)*(1+'01 Major Assumptions'!$D$98/12)*(1+'01 Major Assumptions'!$D$25)^'02 Oil Price Analysis'!BN$57)</f>
        <v>2153561.586062456</v>
      </c>
      <c r="BO35" s="90">
        <f>IF('01 Major Assumptions'!BO$15=0,0,$D35*$E35*'01 Major Assumptions'!BO$14*(1+'01 Major Assumptions'!$D$97+'01 Major Assumptions'!$D$99)*(1+'01 Major Assumptions'!$D$98/12)*(1+'01 Major Assumptions'!$D$25)^'02 Oil Price Analysis'!BO$57)</f>
        <v>2261239.6653655786</v>
      </c>
    </row>
    <row r="36" spans="1:67">
      <c r="A36" s="11"/>
      <c r="B36" s="32" t="str">
        <f>'01 Major Assumptions'!B82</f>
        <v>Shift supervisor</v>
      </c>
      <c r="C36" s="11"/>
      <c r="D36" s="92">
        <f>'01 Major Assumptions'!$C$82</f>
        <v>4</v>
      </c>
      <c r="E36" s="92">
        <f>'01 Major Assumptions'!$D$82</f>
        <v>45000</v>
      </c>
      <c r="F36" s="10" t="s">
        <v>13</v>
      </c>
      <c r="G36" s="90">
        <f>IF('01 Major Assumptions'!G$15=0,0,$D36*$E36*'01 Major Assumptions'!G$14*(1+'01 Major Assumptions'!$D$97+'01 Major Assumptions'!$D$99)*(1+'01 Major Assumptions'!$D$98/12)*(1+'01 Major Assumptions'!$D$25)^'02 Oil Price Analysis'!G$57)</f>
        <v>0</v>
      </c>
      <c r="H36" s="90">
        <f>IF('01 Major Assumptions'!H$15=0,0,$D36*$E36*'01 Major Assumptions'!H$14*(1+'01 Major Assumptions'!$D$97+'01 Major Assumptions'!$D$99)*(1+'01 Major Assumptions'!$D$98/12)*(1+'01 Major Assumptions'!$D$25)^'02 Oil Price Analysis'!H$57)</f>
        <v>0</v>
      </c>
      <c r="I36" s="90">
        <f>IF('01 Major Assumptions'!I$15=0,0,$D36*$E36*'01 Major Assumptions'!I$14*(1+'01 Major Assumptions'!$D$97+'01 Major Assumptions'!$D$99)*(1+'01 Major Assumptions'!$D$98/12)*(1+'01 Major Assumptions'!$D$25)^'02 Oil Price Analysis'!I$57)</f>
        <v>0</v>
      </c>
      <c r="J36" s="90">
        <f>IF('01 Major Assumptions'!J$15=0,0,$D36*$E36*'01 Major Assumptions'!J$14*(1+'01 Major Assumptions'!$D$97+'01 Major Assumptions'!$D$99)*(1+'01 Major Assumptions'!$D$98/12)*(1+'01 Major Assumptions'!$D$25)^'02 Oil Price Analysis'!J$57)</f>
        <v>0</v>
      </c>
      <c r="K36" s="90">
        <f>IF('01 Major Assumptions'!K$15=0,0,$D36*$E36*'01 Major Assumptions'!K$14*(1+'01 Major Assumptions'!$D$97+'01 Major Assumptions'!$D$99)*(1+'01 Major Assumptions'!$D$98/12)*(1+'01 Major Assumptions'!$D$25)^'02 Oil Price Analysis'!K$57)</f>
        <v>0</v>
      </c>
      <c r="L36" s="90">
        <f>IF('01 Major Assumptions'!L$15=0,0,$D36*$E36*'01 Major Assumptions'!L$14*(1+'01 Major Assumptions'!$D$97+'01 Major Assumptions'!$D$99)*(1+'01 Major Assumptions'!$D$98/12)*(1+'01 Major Assumptions'!$D$25)^'02 Oil Price Analysis'!L$57)</f>
        <v>0</v>
      </c>
      <c r="M36" s="90">
        <f>IF('01 Major Assumptions'!M$15=0,0,$D36*$E36*'01 Major Assumptions'!M$14*(1+'01 Major Assumptions'!$D$97+'01 Major Assumptions'!$D$99)*(1+'01 Major Assumptions'!$D$98/12)*(1+'01 Major Assumptions'!$D$25)^'02 Oil Price Analysis'!M$57)</f>
        <v>0</v>
      </c>
      <c r="N36" s="90">
        <f>IF('01 Major Assumptions'!N$15=0,0,$D36*$E36*'01 Major Assumptions'!N$14*(1+'01 Major Assumptions'!$D$97+'01 Major Assumptions'!$D$99)*(1+'01 Major Assumptions'!$D$98/12)*(1+'01 Major Assumptions'!$D$25)^'02 Oil Price Analysis'!N$57)</f>
        <v>0</v>
      </c>
      <c r="O36" s="90">
        <f>IF('01 Major Assumptions'!O$15=0,0,$D36*$E36*'01 Major Assumptions'!O$14*(1+'01 Major Assumptions'!$D$97+'01 Major Assumptions'!$D$99)*(1+'01 Major Assumptions'!$D$98/12)*(1+'01 Major Assumptions'!$D$25)^'02 Oil Price Analysis'!O$57)</f>
        <v>0</v>
      </c>
      <c r="P36" s="90">
        <f>IF('01 Major Assumptions'!P$15=0,0,$D36*$E36*'01 Major Assumptions'!P$14*(1+'01 Major Assumptions'!$D$97+'01 Major Assumptions'!$D$99)*(1+'01 Major Assumptions'!$D$98/12)*(1+'01 Major Assumptions'!$D$25)^'02 Oil Price Analysis'!P$57)</f>
        <v>0</v>
      </c>
      <c r="Q36" s="90">
        <f>IF('01 Major Assumptions'!Q$15=0,0,$D36*$E36*'01 Major Assumptions'!Q$14*(1+'01 Major Assumptions'!$D$97+'01 Major Assumptions'!$D$99)*(1+'01 Major Assumptions'!$D$98/12)*(1+'01 Major Assumptions'!$D$25)^'02 Oil Price Analysis'!Q$57)</f>
        <v>0</v>
      </c>
      <c r="R36" s="90">
        <f>IF('01 Major Assumptions'!R$15=0,0,$D36*$E36*'01 Major Assumptions'!R$14*(1+'01 Major Assumptions'!$D$97+'01 Major Assumptions'!$D$99)*(1+'01 Major Assumptions'!$D$98/12)*(1+'01 Major Assumptions'!$D$25)^'02 Oil Price Analysis'!R$57)</f>
        <v>0</v>
      </c>
      <c r="S36" s="90">
        <f>IF('01 Major Assumptions'!S$15=0,0,$D36*$E36*'01 Major Assumptions'!S$14*(1+'01 Major Assumptions'!$D$97+'01 Major Assumptions'!$D$99)*(1+'01 Major Assumptions'!$D$98/12)*(1+'01 Major Assumptions'!$D$25)^'02 Oil Price Analysis'!S$57)</f>
        <v>0</v>
      </c>
      <c r="T36" s="90">
        <f>IF('01 Major Assumptions'!T$15=0,0,$D36*$E36*'01 Major Assumptions'!T$14*(1+'01 Major Assumptions'!$D$97+'01 Major Assumptions'!$D$99)*(1+'01 Major Assumptions'!$D$98/12)*(1+'01 Major Assumptions'!$D$25)^'02 Oil Price Analysis'!T$57)</f>
        <v>0</v>
      </c>
      <c r="U36" s="90">
        <f>IF('01 Major Assumptions'!U$15=0,0,$D36*$E36*'01 Major Assumptions'!U$14*(1+'01 Major Assumptions'!$D$97+'01 Major Assumptions'!$D$99)*(1+'01 Major Assumptions'!$D$98/12)*(1+'01 Major Assumptions'!$D$25)^'02 Oil Price Analysis'!U$57)</f>
        <v>0</v>
      </c>
      <c r="V36" s="90">
        <f>IF('01 Major Assumptions'!V$15=0,0,$D36*$E36*'01 Major Assumptions'!V$14*(1+'01 Major Assumptions'!$D$97+'01 Major Assumptions'!$D$99)*(1+'01 Major Assumptions'!$D$98/12)*(1+'01 Major Assumptions'!$D$25)^'02 Oil Price Analysis'!V$57)</f>
        <v>0</v>
      </c>
      <c r="W36" s="90">
        <f>IF('01 Major Assumptions'!W$15=0,0,$D36*$E36*'01 Major Assumptions'!W$14*(1+'01 Major Assumptions'!$D$97+'01 Major Assumptions'!$D$99)*(1+'01 Major Assumptions'!$D$98/12)*(1+'01 Major Assumptions'!$D$25)^'02 Oil Price Analysis'!W$57)</f>
        <v>0</v>
      </c>
      <c r="X36" s="90">
        <f>IF('01 Major Assumptions'!X$15=0,0,$D36*$E36*'01 Major Assumptions'!X$14*(1+'01 Major Assumptions'!$D$97+'01 Major Assumptions'!$D$99)*(1+'01 Major Assumptions'!$D$98/12)*(1+'01 Major Assumptions'!$D$25)^'02 Oil Price Analysis'!X$57)</f>
        <v>0</v>
      </c>
      <c r="Y36" s="90">
        <f>IF('01 Major Assumptions'!Y$15=0,0,$D36*$E36*'01 Major Assumptions'!Y$14*(1+'01 Major Assumptions'!$D$97+'01 Major Assumptions'!$D$99)*(1+'01 Major Assumptions'!$D$98/12)*(1+'01 Major Assumptions'!$D$25)^'02 Oil Price Analysis'!Y$57)</f>
        <v>0</v>
      </c>
      <c r="Z36" s="90">
        <f>IF('01 Major Assumptions'!Z$15=0,0,$D36*$E36*'01 Major Assumptions'!Z$14*(1+'01 Major Assumptions'!$D$97+'01 Major Assumptions'!$D$99)*(1+'01 Major Assumptions'!$D$98/12)*(1+'01 Major Assumptions'!$D$25)^'02 Oil Price Analysis'!Z$57)</f>
        <v>0</v>
      </c>
      <c r="AA36" s="90">
        <f>IF('01 Major Assumptions'!AA$15=0,0,$D36*$E36*'01 Major Assumptions'!AA$14*(1+'01 Major Assumptions'!$D$97+'01 Major Assumptions'!$D$99)*(1+'01 Major Assumptions'!$D$98/12)*(1+'01 Major Assumptions'!$D$25)^'02 Oil Price Analysis'!AA$57)</f>
        <v>0</v>
      </c>
      <c r="AB36" s="90">
        <f>IF('01 Major Assumptions'!AB$15=0,0,$D36*$E36*'01 Major Assumptions'!AB$14*(1+'01 Major Assumptions'!$D$97+'01 Major Assumptions'!$D$99)*(1+'01 Major Assumptions'!$D$98/12)*(1+'01 Major Assumptions'!$D$25)^'02 Oil Price Analysis'!AB$57)</f>
        <v>231367.50000000003</v>
      </c>
      <c r="AC36" s="90">
        <f>IF('01 Major Assumptions'!AC$15=0,0,$D36*$E36*'01 Major Assumptions'!AC$14*(1+'01 Major Assumptions'!$D$97+'01 Major Assumptions'!$D$99)*(1+'01 Major Assumptions'!$D$98/12)*(1+'01 Major Assumptions'!$D$25)^'02 Oil Price Analysis'!AC$57)</f>
        <v>231367.50000000003</v>
      </c>
      <c r="AD36" s="90">
        <f>IF('01 Major Assumptions'!AD$15=0,0,$D36*$E36*'01 Major Assumptions'!AD$14*(1+'01 Major Assumptions'!$D$97+'01 Major Assumptions'!$D$99)*(1+'01 Major Assumptions'!$D$98/12)*(1+'01 Major Assumptions'!$D$25)^'02 Oil Price Analysis'!AD$57)</f>
        <v>231367.50000000003</v>
      </c>
      <c r="AE36" s="90">
        <f>IF('01 Major Assumptions'!AE$15=0,0,$D36*$E36*'01 Major Assumptions'!AE$14*(1+'01 Major Assumptions'!$D$97+'01 Major Assumptions'!$D$99)*(1+'01 Major Assumptions'!$D$98/12)*(1+'01 Major Assumptions'!$D$25)^'02 Oil Price Analysis'!AE$57)</f>
        <v>242935.87500000003</v>
      </c>
      <c r="AF36" s="90">
        <f>IF('01 Major Assumptions'!AF$15=0,0,$D36*$E36*'01 Major Assumptions'!AF$14*(1+'01 Major Assumptions'!$D$97+'01 Major Assumptions'!$D$99)*(1+'01 Major Assumptions'!$D$98/12)*(1+'01 Major Assumptions'!$D$25)^'02 Oil Price Analysis'!AF$57)</f>
        <v>242935.87500000003</v>
      </c>
      <c r="AG36" s="90">
        <f>IF('01 Major Assumptions'!AG$15=0,0,$D36*$E36*'01 Major Assumptions'!AG$14*(1+'01 Major Assumptions'!$D$97+'01 Major Assumptions'!$D$99)*(1+'01 Major Assumptions'!$D$98/12)*(1+'01 Major Assumptions'!$D$25)^'02 Oil Price Analysis'!AG$57)</f>
        <v>242935.87500000003</v>
      </c>
      <c r="AH36" s="90">
        <f>IF('01 Major Assumptions'!AH$15=0,0,$D36*$E36*'01 Major Assumptions'!AH$14*(1+'01 Major Assumptions'!$D$97+'01 Major Assumptions'!$D$99)*(1+'01 Major Assumptions'!$D$98/12)*(1+'01 Major Assumptions'!$D$25)^'02 Oil Price Analysis'!AH$57)</f>
        <v>242935.87500000003</v>
      </c>
      <c r="AI36" s="90">
        <f>IF('01 Major Assumptions'!AI$15=0,0,$D36*$E36*'01 Major Assumptions'!AI$14*(1+'01 Major Assumptions'!$D$97+'01 Major Assumptions'!$D$99)*(1+'01 Major Assumptions'!$D$98/12)*(1+'01 Major Assumptions'!$D$25)^'02 Oil Price Analysis'!AI$57)</f>
        <v>242935.87500000003</v>
      </c>
      <c r="AJ36" s="90">
        <f>IF('01 Major Assumptions'!AJ$15=0,0,$D36*$E36*'01 Major Assumptions'!AJ$14*(1+'01 Major Assumptions'!$D$97+'01 Major Assumptions'!$D$99)*(1+'01 Major Assumptions'!$D$98/12)*(1+'01 Major Assumptions'!$D$25)^'02 Oil Price Analysis'!AJ$57)</f>
        <v>242935.87500000003</v>
      </c>
      <c r="AK36" s="90">
        <f>IF('01 Major Assumptions'!AK$15=0,0,$D36*$E36*'01 Major Assumptions'!AK$14*(1+'01 Major Assumptions'!$D$97+'01 Major Assumptions'!$D$99)*(1+'01 Major Assumptions'!$D$98/12)*(1+'01 Major Assumptions'!$D$25)^'02 Oil Price Analysis'!AK$57)</f>
        <v>242935.87500000003</v>
      </c>
      <c r="AL36" s="90">
        <f>IF('01 Major Assumptions'!AL$15=0,0,$D36*$E36*'01 Major Assumptions'!AL$14*(1+'01 Major Assumptions'!$D$97+'01 Major Assumptions'!$D$99)*(1+'01 Major Assumptions'!$D$98/12)*(1+'01 Major Assumptions'!$D$25)^'02 Oil Price Analysis'!AL$57)</f>
        <v>242935.87500000003</v>
      </c>
      <c r="AM36" s="90">
        <f>IF('01 Major Assumptions'!AM$15=0,0,$D36*$E36*'01 Major Assumptions'!AM$14*(1+'01 Major Assumptions'!$D$97+'01 Major Assumptions'!$D$99)*(1+'01 Major Assumptions'!$D$98/12)*(1+'01 Major Assumptions'!$D$25)^'02 Oil Price Analysis'!AM$57)</f>
        <v>242935.87500000003</v>
      </c>
      <c r="AN36" s="90">
        <f>IF('01 Major Assumptions'!AN$15=0,0,$D36*$E36*'01 Major Assumptions'!AN$14*(1+'01 Major Assumptions'!$D$97+'01 Major Assumptions'!$D$99)*(1+'01 Major Assumptions'!$D$98/12)*(1+'01 Major Assumptions'!$D$25)^'02 Oil Price Analysis'!AN$57)</f>
        <v>242935.87500000003</v>
      </c>
      <c r="AO36" s="90">
        <f>IF('01 Major Assumptions'!AO$15=0,0,$D36*$E36*'01 Major Assumptions'!AO$14*(1+'01 Major Assumptions'!$D$97+'01 Major Assumptions'!$D$99)*(1+'01 Major Assumptions'!$D$98/12)*(1+'01 Major Assumptions'!$D$25)^'02 Oil Price Analysis'!AO$57)</f>
        <v>242935.87500000003</v>
      </c>
      <c r="AP36" s="90">
        <f>IF('01 Major Assumptions'!AP$15=0,0,$D36*$E36*'01 Major Assumptions'!AP$14*(1+'01 Major Assumptions'!$D$97+'01 Major Assumptions'!$D$99)*(1+'01 Major Assumptions'!$D$98/12)*(1+'01 Major Assumptions'!$D$25)^'02 Oil Price Analysis'!AP$57)</f>
        <v>242935.87500000003</v>
      </c>
      <c r="AQ36" s="90">
        <f>IF('01 Major Assumptions'!AQ$15=0,0,$D36*$E36*'01 Major Assumptions'!AQ$14*(1+'01 Major Assumptions'!$D$97+'01 Major Assumptions'!$D$99)*(1+'01 Major Assumptions'!$D$98/12)*(1+'01 Major Assumptions'!$D$25)^'02 Oil Price Analysis'!AQ$57)</f>
        <v>255082.66875000007</v>
      </c>
      <c r="AR36" s="90">
        <f>IF('01 Major Assumptions'!AR$15=0,0,$D36*$E36*'01 Major Assumptions'!AR$14*(1+'01 Major Assumptions'!$D$97+'01 Major Assumptions'!$D$99)*(1+'01 Major Assumptions'!$D$98/12)*(1+'01 Major Assumptions'!$D$25)^'02 Oil Price Analysis'!AR$57)</f>
        <v>255082.66875000007</v>
      </c>
      <c r="AS36" s="90">
        <f>IF('01 Major Assumptions'!AS$15=0,0,$D36*$E36*'01 Major Assumptions'!AS$14*(1+'01 Major Assumptions'!$D$97+'01 Major Assumptions'!$D$99)*(1+'01 Major Assumptions'!$D$98/12)*(1+'01 Major Assumptions'!$D$25)^'02 Oil Price Analysis'!AS$57)</f>
        <v>255082.66875000007</v>
      </c>
      <c r="AT36" s="90">
        <f>IF('01 Major Assumptions'!AT$15=0,0,$D36*$E36*'01 Major Assumptions'!AT$14*(1+'01 Major Assumptions'!$D$97+'01 Major Assumptions'!$D$99)*(1+'01 Major Assumptions'!$D$98/12)*(1+'01 Major Assumptions'!$D$25)^'02 Oil Price Analysis'!AT$57)</f>
        <v>255082.66875000007</v>
      </c>
      <c r="AU36" s="90">
        <f>IF('01 Major Assumptions'!AU$15=0,0,$D36*$E36*'01 Major Assumptions'!AU$14*(1+'01 Major Assumptions'!$D$97+'01 Major Assumptions'!$D$99)*(1+'01 Major Assumptions'!$D$98/12)*(1+'01 Major Assumptions'!$D$25)^'02 Oil Price Analysis'!AU$57)</f>
        <v>255082.66875000007</v>
      </c>
      <c r="AV36" s="90">
        <f>IF('01 Major Assumptions'!AV$15=0,0,$D36*$E36*'01 Major Assumptions'!AV$14*(1+'01 Major Assumptions'!$D$97+'01 Major Assumptions'!$D$99)*(1+'01 Major Assumptions'!$D$98/12)*(1+'01 Major Assumptions'!$D$25)^'02 Oil Price Analysis'!AV$57)</f>
        <v>255082.66875000007</v>
      </c>
      <c r="AW36" s="90">
        <f>IF('01 Major Assumptions'!AW$15=0,0,$D36*$E36*'01 Major Assumptions'!AW$14*(1+'01 Major Assumptions'!$D$97+'01 Major Assumptions'!$D$99)*(1+'01 Major Assumptions'!$D$98/12)*(1+'01 Major Assumptions'!$D$25)^'02 Oil Price Analysis'!AW$57)</f>
        <v>255082.66875000007</v>
      </c>
      <c r="AX36" s="90">
        <f>IF('01 Major Assumptions'!AX$15=0,0,$D36*$E36*'01 Major Assumptions'!AX$14*(1+'01 Major Assumptions'!$D$97+'01 Major Assumptions'!$D$99)*(1+'01 Major Assumptions'!$D$98/12)*(1+'01 Major Assumptions'!$D$25)^'02 Oil Price Analysis'!AX$57)</f>
        <v>255082.66875000007</v>
      </c>
      <c r="AY36" s="90">
        <f>IF('01 Major Assumptions'!AY$15=0,0,$D36*$E36*'01 Major Assumptions'!AY$14*(1+'01 Major Assumptions'!$D$97+'01 Major Assumptions'!$D$99)*(1+'01 Major Assumptions'!$D$98/12)*(1+'01 Major Assumptions'!$D$25)^'02 Oil Price Analysis'!AY$57)</f>
        <v>255082.66875000007</v>
      </c>
      <c r="AZ36" s="90">
        <f>IF('01 Major Assumptions'!AZ$15=0,0,$D36*$E36*'01 Major Assumptions'!AZ$14*(1+'01 Major Assumptions'!$D$97+'01 Major Assumptions'!$D$99)*(1+'01 Major Assumptions'!$D$98/12)*(1+'01 Major Assumptions'!$D$25)^'02 Oil Price Analysis'!AZ$57)</f>
        <v>255082.66875000007</v>
      </c>
      <c r="BA36" s="90">
        <f>IF('01 Major Assumptions'!BA$15=0,0,$D36*$E36*'01 Major Assumptions'!BA$14*(1+'01 Major Assumptions'!$D$97+'01 Major Assumptions'!$D$99)*(1+'01 Major Assumptions'!$D$98/12)*(1+'01 Major Assumptions'!$D$25)^'02 Oil Price Analysis'!BA$57)</f>
        <v>255082.66875000007</v>
      </c>
      <c r="BB36" s="90">
        <f>IF('01 Major Assumptions'!BB$15=0,0,$D36*$E36*'01 Major Assumptions'!BB$14*(1+'01 Major Assumptions'!$D$97+'01 Major Assumptions'!$D$99)*(1+'01 Major Assumptions'!$D$98/12)*(1+'01 Major Assumptions'!$D$25)^'02 Oil Price Analysis'!BB$57)</f>
        <v>255082.66875000007</v>
      </c>
      <c r="BC36" s="90">
        <f>IF('01 Major Assumptions'!BC$15=0,0,$D36*$E36*'01 Major Assumptions'!BC$14*(1+'01 Major Assumptions'!$D$97+'01 Major Assumptions'!$D$99)*(1+'01 Major Assumptions'!$D$98/12)*(1+'01 Major Assumptions'!$D$25)^'02 Oil Price Analysis'!BC$57)</f>
        <v>267836.80218750006</v>
      </c>
      <c r="BD36" s="90">
        <f>IF('01 Major Assumptions'!BD$15=0,0,$D36*$E36*'01 Major Assumptions'!BD$14*(1+'01 Major Assumptions'!$D$97+'01 Major Assumptions'!$D$99)*(1+'01 Major Assumptions'!$D$98/12)*(1+'01 Major Assumptions'!$D$25)^'02 Oil Price Analysis'!BD$57)</f>
        <v>267836.80218750006</v>
      </c>
      <c r="BE36" s="90">
        <f>IF('01 Major Assumptions'!BE$15=0,0,$D36*$E36*'01 Major Assumptions'!BE$14*(1+'01 Major Assumptions'!$D$97+'01 Major Assumptions'!$D$99)*(1+'01 Major Assumptions'!$D$98/12)*(1+'01 Major Assumptions'!$D$25)^'02 Oil Price Analysis'!BE$57)</f>
        <v>267836.80218750006</v>
      </c>
      <c r="BF36" s="90">
        <f>IF('01 Major Assumptions'!BF$15=0,0,$D36*$E36*'01 Major Assumptions'!BF$14*(1+'01 Major Assumptions'!$D$97+'01 Major Assumptions'!$D$99)*(1+'01 Major Assumptions'!$D$98/12)*(1+'01 Major Assumptions'!$D$25)^'02 Oil Price Analysis'!BF$57)</f>
        <v>267836.80218750006</v>
      </c>
      <c r="BG36" s="90">
        <f>IF('01 Major Assumptions'!BG$15=0,0,$D36*$E36*'01 Major Assumptions'!BG$14*(1+'01 Major Assumptions'!$D$97+'01 Major Assumptions'!$D$99)*(1+'01 Major Assumptions'!$D$98/12)*(1+'01 Major Assumptions'!$D$25)^'02 Oil Price Analysis'!BG$57)</f>
        <v>267836.80218750006</v>
      </c>
      <c r="BH36" s="90">
        <f>IF('01 Major Assumptions'!BH$15=0,0,$D36*$E36*'01 Major Assumptions'!BH$14*(1+'01 Major Assumptions'!$D$97+'01 Major Assumptions'!$D$99)*(1+'01 Major Assumptions'!$D$98/12)*(1+'01 Major Assumptions'!$D$25)^'02 Oil Price Analysis'!BH$57)</f>
        <v>267836.80218750006</v>
      </c>
      <c r="BI36" s="90">
        <f>IF('01 Major Assumptions'!BI$15=0,0,$D36*$E36*'01 Major Assumptions'!BI$14*(1+'01 Major Assumptions'!$D$97+'01 Major Assumptions'!$D$99)*(1+'01 Major Assumptions'!$D$98/12)*(1+'01 Major Assumptions'!$D$25)^'02 Oil Price Analysis'!BI$57)</f>
        <v>3374743.7075625011</v>
      </c>
      <c r="BJ36" s="90">
        <f>IF('01 Major Assumptions'!BJ$15=0,0,$D36*$E36*'01 Major Assumptions'!BJ$14*(1+'01 Major Assumptions'!$D$97+'01 Major Assumptions'!$D$99)*(1+'01 Major Assumptions'!$D$98/12)*(1+'01 Major Assumptions'!$D$25)^'02 Oil Price Analysis'!BJ$57)</f>
        <v>3543480.8929406255</v>
      </c>
      <c r="BK36" s="90">
        <f>IF('01 Major Assumptions'!BK$15=0,0,$D36*$E36*'01 Major Assumptions'!BK$14*(1+'01 Major Assumptions'!$D$97+'01 Major Assumptions'!$D$99)*(1+'01 Major Assumptions'!$D$98/12)*(1+'01 Major Assumptions'!$D$25)^'02 Oil Price Analysis'!BK$57)</f>
        <v>3720654.9375876575</v>
      </c>
      <c r="BL36" s="90">
        <f>IF('01 Major Assumptions'!BL$15=0,0,$D36*$E36*'01 Major Assumptions'!BL$14*(1+'01 Major Assumptions'!$D$97+'01 Major Assumptions'!$D$99)*(1+'01 Major Assumptions'!$D$98/12)*(1+'01 Major Assumptions'!$D$25)^'02 Oil Price Analysis'!BL$57)</f>
        <v>3906687.68446704</v>
      </c>
      <c r="BM36" s="90">
        <f>IF('01 Major Assumptions'!BM$15=0,0,$D36*$E36*'01 Major Assumptions'!BM$14*(1+'01 Major Assumptions'!$D$97+'01 Major Assumptions'!$D$99)*(1+'01 Major Assumptions'!$D$98/12)*(1+'01 Major Assumptions'!$D$25)^'02 Oil Price Analysis'!BM$57)</f>
        <v>4102022.0686903922</v>
      </c>
      <c r="BN36" s="90">
        <f>IF('01 Major Assumptions'!BN$15=0,0,$D36*$E36*'01 Major Assumptions'!BN$14*(1+'01 Major Assumptions'!$D$97+'01 Major Assumptions'!$D$99)*(1+'01 Major Assumptions'!$D$98/12)*(1+'01 Major Assumptions'!$D$25)^'02 Oil Price Analysis'!BN$57)</f>
        <v>4307123.172124912</v>
      </c>
      <c r="BO36" s="90">
        <f>IF('01 Major Assumptions'!BO$15=0,0,$D36*$E36*'01 Major Assumptions'!BO$14*(1+'01 Major Assumptions'!$D$97+'01 Major Assumptions'!$D$99)*(1+'01 Major Assumptions'!$D$98/12)*(1+'01 Major Assumptions'!$D$25)^'02 Oil Price Analysis'!BO$57)</f>
        <v>4522479.3307311572</v>
      </c>
    </row>
    <row r="37" spans="1:67">
      <c r="A37" s="11"/>
      <c r="B37" s="32" t="str">
        <f>'01 Major Assumptions'!B83</f>
        <v>Pyrolysis line operator</v>
      </c>
      <c r="C37" s="11"/>
      <c r="D37" s="92">
        <f>'01 Major Assumptions'!$C$83</f>
        <v>32</v>
      </c>
      <c r="E37" s="92">
        <f>'01 Major Assumptions'!$D$83</f>
        <v>22000</v>
      </c>
      <c r="F37" s="10" t="s">
        <v>13</v>
      </c>
      <c r="G37" s="90">
        <f>IF('01 Major Assumptions'!G$15=0,0,$D37*$E37*'01 Major Assumptions'!G$14*(1+'01 Major Assumptions'!$D$97+'01 Major Assumptions'!$D$99)*(1+'01 Major Assumptions'!$D$98/12)*(1+'01 Major Assumptions'!$D$25)^'02 Oil Price Analysis'!G$57)</f>
        <v>0</v>
      </c>
      <c r="H37" s="90">
        <f>IF('01 Major Assumptions'!H$15=0,0,$D37*$E37*'01 Major Assumptions'!H$14*(1+'01 Major Assumptions'!$D$97+'01 Major Assumptions'!$D$99)*(1+'01 Major Assumptions'!$D$98/12)*(1+'01 Major Assumptions'!$D$25)^'02 Oil Price Analysis'!H$57)</f>
        <v>0</v>
      </c>
      <c r="I37" s="90">
        <f>IF('01 Major Assumptions'!I$15=0,0,$D37*$E37*'01 Major Assumptions'!I$14*(1+'01 Major Assumptions'!$D$97+'01 Major Assumptions'!$D$99)*(1+'01 Major Assumptions'!$D$98/12)*(1+'01 Major Assumptions'!$D$25)^'02 Oil Price Analysis'!I$57)</f>
        <v>0</v>
      </c>
      <c r="J37" s="90">
        <f>IF('01 Major Assumptions'!J$15=0,0,$D37*$E37*'01 Major Assumptions'!J$14*(1+'01 Major Assumptions'!$D$97+'01 Major Assumptions'!$D$99)*(1+'01 Major Assumptions'!$D$98/12)*(1+'01 Major Assumptions'!$D$25)^'02 Oil Price Analysis'!J$57)</f>
        <v>0</v>
      </c>
      <c r="K37" s="90">
        <f>IF('01 Major Assumptions'!K$15=0,0,$D37*$E37*'01 Major Assumptions'!K$14*(1+'01 Major Assumptions'!$D$97+'01 Major Assumptions'!$D$99)*(1+'01 Major Assumptions'!$D$98/12)*(1+'01 Major Assumptions'!$D$25)^'02 Oil Price Analysis'!K$57)</f>
        <v>0</v>
      </c>
      <c r="L37" s="90">
        <f>IF('01 Major Assumptions'!L$15=0,0,$D37*$E37*'01 Major Assumptions'!L$14*(1+'01 Major Assumptions'!$D$97+'01 Major Assumptions'!$D$99)*(1+'01 Major Assumptions'!$D$98/12)*(1+'01 Major Assumptions'!$D$25)^'02 Oil Price Analysis'!L$57)</f>
        <v>0</v>
      </c>
      <c r="M37" s="90">
        <f>IF('01 Major Assumptions'!M$15=0,0,$D37*$E37*'01 Major Assumptions'!M$14*(1+'01 Major Assumptions'!$D$97+'01 Major Assumptions'!$D$99)*(1+'01 Major Assumptions'!$D$98/12)*(1+'01 Major Assumptions'!$D$25)^'02 Oil Price Analysis'!M$57)</f>
        <v>0</v>
      </c>
      <c r="N37" s="90">
        <f>IF('01 Major Assumptions'!N$15=0,0,$D37*$E37*'01 Major Assumptions'!N$14*(1+'01 Major Assumptions'!$D$97+'01 Major Assumptions'!$D$99)*(1+'01 Major Assumptions'!$D$98/12)*(1+'01 Major Assumptions'!$D$25)^'02 Oil Price Analysis'!N$57)</f>
        <v>0</v>
      </c>
      <c r="O37" s="90">
        <f>IF('01 Major Assumptions'!O$15=0,0,$D37*$E37*'01 Major Assumptions'!O$14*(1+'01 Major Assumptions'!$D$97+'01 Major Assumptions'!$D$99)*(1+'01 Major Assumptions'!$D$98/12)*(1+'01 Major Assumptions'!$D$25)^'02 Oil Price Analysis'!O$57)</f>
        <v>0</v>
      </c>
      <c r="P37" s="90">
        <f>IF('01 Major Assumptions'!P$15=0,0,$D37*$E37*'01 Major Assumptions'!P$14*(1+'01 Major Assumptions'!$D$97+'01 Major Assumptions'!$D$99)*(1+'01 Major Assumptions'!$D$98/12)*(1+'01 Major Assumptions'!$D$25)^'02 Oil Price Analysis'!P$57)</f>
        <v>0</v>
      </c>
      <c r="Q37" s="90">
        <f>IF('01 Major Assumptions'!Q$15=0,0,$D37*$E37*'01 Major Assumptions'!Q$14*(1+'01 Major Assumptions'!$D$97+'01 Major Assumptions'!$D$99)*(1+'01 Major Assumptions'!$D$98/12)*(1+'01 Major Assumptions'!$D$25)^'02 Oil Price Analysis'!Q$57)</f>
        <v>0</v>
      </c>
      <c r="R37" s="90">
        <f>IF('01 Major Assumptions'!R$15=0,0,$D37*$E37*'01 Major Assumptions'!R$14*(1+'01 Major Assumptions'!$D$97+'01 Major Assumptions'!$D$99)*(1+'01 Major Assumptions'!$D$98/12)*(1+'01 Major Assumptions'!$D$25)^'02 Oil Price Analysis'!R$57)</f>
        <v>0</v>
      </c>
      <c r="S37" s="90">
        <f>IF('01 Major Assumptions'!S$15=0,0,$D37*$E37*'01 Major Assumptions'!S$14*(1+'01 Major Assumptions'!$D$97+'01 Major Assumptions'!$D$99)*(1+'01 Major Assumptions'!$D$98/12)*(1+'01 Major Assumptions'!$D$25)^'02 Oil Price Analysis'!S$57)</f>
        <v>0</v>
      </c>
      <c r="T37" s="90">
        <f>IF('01 Major Assumptions'!T$15=0,0,$D37*$E37*'01 Major Assumptions'!T$14*(1+'01 Major Assumptions'!$D$97+'01 Major Assumptions'!$D$99)*(1+'01 Major Assumptions'!$D$98/12)*(1+'01 Major Assumptions'!$D$25)^'02 Oil Price Analysis'!T$57)</f>
        <v>0</v>
      </c>
      <c r="U37" s="90">
        <f>IF('01 Major Assumptions'!U$15=0,0,$D37*$E37*'01 Major Assumptions'!U$14*(1+'01 Major Assumptions'!$D$97+'01 Major Assumptions'!$D$99)*(1+'01 Major Assumptions'!$D$98/12)*(1+'01 Major Assumptions'!$D$25)^'02 Oil Price Analysis'!U$57)</f>
        <v>0</v>
      </c>
      <c r="V37" s="90">
        <f>IF('01 Major Assumptions'!V$15=0,0,$D37*$E37*'01 Major Assumptions'!V$14*(1+'01 Major Assumptions'!$D$97+'01 Major Assumptions'!$D$99)*(1+'01 Major Assumptions'!$D$98/12)*(1+'01 Major Assumptions'!$D$25)^'02 Oil Price Analysis'!V$57)</f>
        <v>0</v>
      </c>
      <c r="W37" s="90">
        <f>IF('01 Major Assumptions'!W$15=0,0,$D37*$E37*'01 Major Assumptions'!W$14*(1+'01 Major Assumptions'!$D$97+'01 Major Assumptions'!$D$99)*(1+'01 Major Assumptions'!$D$98/12)*(1+'01 Major Assumptions'!$D$25)^'02 Oil Price Analysis'!W$57)</f>
        <v>0</v>
      </c>
      <c r="X37" s="90">
        <f>IF('01 Major Assumptions'!X$15=0,0,$D37*$E37*'01 Major Assumptions'!X$14*(1+'01 Major Assumptions'!$D$97+'01 Major Assumptions'!$D$99)*(1+'01 Major Assumptions'!$D$98/12)*(1+'01 Major Assumptions'!$D$25)^'02 Oil Price Analysis'!X$57)</f>
        <v>0</v>
      </c>
      <c r="Y37" s="90">
        <f>IF('01 Major Assumptions'!Y$15=0,0,$D37*$E37*'01 Major Assumptions'!Y$14*(1+'01 Major Assumptions'!$D$97+'01 Major Assumptions'!$D$99)*(1+'01 Major Assumptions'!$D$98/12)*(1+'01 Major Assumptions'!$D$25)^'02 Oil Price Analysis'!Y$57)</f>
        <v>0</v>
      </c>
      <c r="Z37" s="90">
        <f>IF('01 Major Assumptions'!Z$15=0,0,$D37*$E37*'01 Major Assumptions'!Z$14*(1+'01 Major Assumptions'!$D$97+'01 Major Assumptions'!$D$99)*(1+'01 Major Assumptions'!$D$98/12)*(1+'01 Major Assumptions'!$D$25)^'02 Oil Price Analysis'!Z$57)</f>
        <v>0</v>
      </c>
      <c r="AA37" s="90">
        <f>IF('01 Major Assumptions'!AA$15=0,0,$D37*$E37*'01 Major Assumptions'!AA$14*(1+'01 Major Assumptions'!$D$97+'01 Major Assumptions'!$D$99)*(1+'01 Major Assumptions'!$D$98/12)*(1+'01 Major Assumptions'!$D$25)^'02 Oil Price Analysis'!AA$57)</f>
        <v>0</v>
      </c>
      <c r="AB37" s="90">
        <f>IF('01 Major Assumptions'!AB$15=0,0,$D37*$E37*'01 Major Assumptions'!AB$14*(1+'01 Major Assumptions'!$D$97+'01 Major Assumptions'!$D$99)*(1+'01 Major Assumptions'!$D$98/12)*(1+'01 Major Assumptions'!$D$25)^'02 Oil Price Analysis'!AB$57)</f>
        <v>904904.00000000012</v>
      </c>
      <c r="AC37" s="90">
        <f>IF('01 Major Assumptions'!AC$15=0,0,$D37*$E37*'01 Major Assumptions'!AC$14*(1+'01 Major Assumptions'!$D$97+'01 Major Assumptions'!$D$99)*(1+'01 Major Assumptions'!$D$98/12)*(1+'01 Major Assumptions'!$D$25)^'02 Oil Price Analysis'!AC$57)</f>
        <v>904904.00000000012</v>
      </c>
      <c r="AD37" s="90">
        <f>IF('01 Major Assumptions'!AD$15=0,0,$D37*$E37*'01 Major Assumptions'!AD$14*(1+'01 Major Assumptions'!$D$97+'01 Major Assumptions'!$D$99)*(1+'01 Major Assumptions'!$D$98/12)*(1+'01 Major Assumptions'!$D$25)^'02 Oil Price Analysis'!AD$57)</f>
        <v>904904.00000000012</v>
      </c>
      <c r="AE37" s="90">
        <f>IF('01 Major Assumptions'!AE$15=0,0,$D37*$E37*'01 Major Assumptions'!AE$14*(1+'01 Major Assumptions'!$D$97+'01 Major Assumptions'!$D$99)*(1+'01 Major Assumptions'!$D$98/12)*(1+'01 Major Assumptions'!$D$25)^'02 Oil Price Analysis'!AE$57)</f>
        <v>950149.20000000007</v>
      </c>
      <c r="AF37" s="90">
        <f>IF('01 Major Assumptions'!AF$15=0,0,$D37*$E37*'01 Major Assumptions'!AF$14*(1+'01 Major Assumptions'!$D$97+'01 Major Assumptions'!$D$99)*(1+'01 Major Assumptions'!$D$98/12)*(1+'01 Major Assumptions'!$D$25)^'02 Oil Price Analysis'!AF$57)</f>
        <v>950149.20000000007</v>
      </c>
      <c r="AG37" s="90">
        <f>IF('01 Major Assumptions'!AG$15=0,0,$D37*$E37*'01 Major Assumptions'!AG$14*(1+'01 Major Assumptions'!$D$97+'01 Major Assumptions'!$D$99)*(1+'01 Major Assumptions'!$D$98/12)*(1+'01 Major Assumptions'!$D$25)^'02 Oil Price Analysis'!AG$57)</f>
        <v>950149.20000000007</v>
      </c>
      <c r="AH37" s="90">
        <f>IF('01 Major Assumptions'!AH$15=0,0,$D37*$E37*'01 Major Assumptions'!AH$14*(1+'01 Major Assumptions'!$D$97+'01 Major Assumptions'!$D$99)*(1+'01 Major Assumptions'!$D$98/12)*(1+'01 Major Assumptions'!$D$25)^'02 Oil Price Analysis'!AH$57)</f>
        <v>950149.20000000007</v>
      </c>
      <c r="AI37" s="90">
        <f>IF('01 Major Assumptions'!AI$15=0,0,$D37*$E37*'01 Major Assumptions'!AI$14*(1+'01 Major Assumptions'!$D$97+'01 Major Assumptions'!$D$99)*(1+'01 Major Assumptions'!$D$98/12)*(1+'01 Major Assumptions'!$D$25)^'02 Oil Price Analysis'!AI$57)</f>
        <v>950149.20000000007</v>
      </c>
      <c r="AJ37" s="90">
        <f>IF('01 Major Assumptions'!AJ$15=0,0,$D37*$E37*'01 Major Assumptions'!AJ$14*(1+'01 Major Assumptions'!$D$97+'01 Major Assumptions'!$D$99)*(1+'01 Major Assumptions'!$D$98/12)*(1+'01 Major Assumptions'!$D$25)^'02 Oil Price Analysis'!AJ$57)</f>
        <v>950149.20000000007</v>
      </c>
      <c r="AK37" s="90">
        <f>IF('01 Major Assumptions'!AK$15=0,0,$D37*$E37*'01 Major Assumptions'!AK$14*(1+'01 Major Assumptions'!$D$97+'01 Major Assumptions'!$D$99)*(1+'01 Major Assumptions'!$D$98/12)*(1+'01 Major Assumptions'!$D$25)^'02 Oil Price Analysis'!AK$57)</f>
        <v>950149.20000000007</v>
      </c>
      <c r="AL37" s="90">
        <f>IF('01 Major Assumptions'!AL$15=0,0,$D37*$E37*'01 Major Assumptions'!AL$14*(1+'01 Major Assumptions'!$D$97+'01 Major Assumptions'!$D$99)*(1+'01 Major Assumptions'!$D$98/12)*(1+'01 Major Assumptions'!$D$25)^'02 Oil Price Analysis'!AL$57)</f>
        <v>950149.20000000007</v>
      </c>
      <c r="AM37" s="90">
        <f>IF('01 Major Assumptions'!AM$15=0,0,$D37*$E37*'01 Major Assumptions'!AM$14*(1+'01 Major Assumptions'!$D$97+'01 Major Assumptions'!$D$99)*(1+'01 Major Assumptions'!$D$98/12)*(1+'01 Major Assumptions'!$D$25)^'02 Oil Price Analysis'!AM$57)</f>
        <v>950149.20000000007</v>
      </c>
      <c r="AN37" s="90">
        <f>IF('01 Major Assumptions'!AN$15=0,0,$D37*$E37*'01 Major Assumptions'!AN$14*(1+'01 Major Assumptions'!$D$97+'01 Major Assumptions'!$D$99)*(1+'01 Major Assumptions'!$D$98/12)*(1+'01 Major Assumptions'!$D$25)^'02 Oil Price Analysis'!AN$57)</f>
        <v>950149.20000000007</v>
      </c>
      <c r="AO37" s="90">
        <f>IF('01 Major Assumptions'!AO$15=0,0,$D37*$E37*'01 Major Assumptions'!AO$14*(1+'01 Major Assumptions'!$D$97+'01 Major Assumptions'!$D$99)*(1+'01 Major Assumptions'!$D$98/12)*(1+'01 Major Assumptions'!$D$25)^'02 Oil Price Analysis'!AO$57)</f>
        <v>950149.20000000007</v>
      </c>
      <c r="AP37" s="90">
        <f>IF('01 Major Assumptions'!AP$15=0,0,$D37*$E37*'01 Major Assumptions'!AP$14*(1+'01 Major Assumptions'!$D$97+'01 Major Assumptions'!$D$99)*(1+'01 Major Assumptions'!$D$98/12)*(1+'01 Major Assumptions'!$D$25)^'02 Oil Price Analysis'!AP$57)</f>
        <v>950149.20000000007</v>
      </c>
      <c r="AQ37" s="90">
        <f>IF('01 Major Assumptions'!AQ$15=0,0,$D37*$E37*'01 Major Assumptions'!AQ$14*(1+'01 Major Assumptions'!$D$97+'01 Major Assumptions'!$D$99)*(1+'01 Major Assumptions'!$D$98/12)*(1+'01 Major Assumptions'!$D$25)^'02 Oil Price Analysis'!AQ$57)</f>
        <v>997656.66000000015</v>
      </c>
      <c r="AR37" s="90">
        <f>IF('01 Major Assumptions'!AR$15=0,0,$D37*$E37*'01 Major Assumptions'!AR$14*(1+'01 Major Assumptions'!$D$97+'01 Major Assumptions'!$D$99)*(1+'01 Major Assumptions'!$D$98/12)*(1+'01 Major Assumptions'!$D$25)^'02 Oil Price Analysis'!AR$57)</f>
        <v>997656.66000000015</v>
      </c>
      <c r="AS37" s="90">
        <f>IF('01 Major Assumptions'!AS$15=0,0,$D37*$E37*'01 Major Assumptions'!AS$14*(1+'01 Major Assumptions'!$D$97+'01 Major Assumptions'!$D$99)*(1+'01 Major Assumptions'!$D$98/12)*(1+'01 Major Assumptions'!$D$25)^'02 Oil Price Analysis'!AS$57)</f>
        <v>997656.66000000015</v>
      </c>
      <c r="AT37" s="90">
        <f>IF('01 Major Assumptions'!AT$15=0,0,$D37*$E37*'01 Major Assumptions'!AT$14*(1+'01 Major Assumptions'!$D$97+'01 Major Assumptions'!$D$99)*(1+'01 Major Assumptions'!$D$98/12)*(1+'01 Major Assumptions'!$D$25)^'02 Oil Price Analysis'!AT$57)</f>
        <v>997656.66000000015</v>
      </c>
      <c r="AU37" s="90">
        <f>IF('01 Major Assumptions'!AU$15=0,0,$D37*$E37*'01 Major Assumptions'!AU$14*(1+'01 Major Assumptions'!$D$97+'01 Major Assumptions'!$D$99)*(1+'01 Major Assumptions'!$D$98/12)*(1+'01 Major Assumptions'!$D$25)^'02 Oil Price Analysis'!AU$57)</f>
        <v>997656.66000000015</v>
      </c>
      <c r="AV37" s="90">
        <f>IF('01 Major Assumptions'!AV$15=0,0,$D37*$E37*'01 Major Assumptions'!AV$14*(1+'01 Major Assumptions'!$D$97+'01 Major Assumptions'!$D$99)*(1+'01 Major Assumptions'!$D$98/12)*(1+'01 Major Assumptions'!$D$25)^'02 Oil Price Analysis'!AV$57)</f>
        <v>997656.66000000015</v>
      </c>
      <c r="AW37" s="90">
        <f>IF('01 Major Assumptions'!AW$15=0,0,$D37*$E37*'01 Major Assumptions'!AW$14*(1+'01 Major Assumptions'!$D$97+'01 Major Assumptions'!$D$99)*(1+'01 Major Assumptions'!$D$98/12)*(1+'01 Major Assumptions'!$D$25)^'02 Oil Price Analysis'!AW$57)</f>
        <v>997656.66000000015</v>
      </c>
      <c r="AX37" s="90">
        <f>IF('01 Major Assumptions'!AX$15=0,0,$D37*$E37*'01 Major Assumptions'!AX$14*(1+'01 Major Assumptions'!$D$97+'01 Major Assumptions'!$D$99)*(1+'01 Major Assumptions'!$D$98/12)*(1+'01 Major Assumptions'!$D$25)^'02 Oil Price Analysis'!AX$57)</f>
        <v>997656.66000000015</v>
      </c>
      <c r="AY37" s="90">
        <f>IF('01 Major Assumptions'!AY$15=0,0,$D37*$E37*'01 Major Assumptions'!AY$14*(1+'01 Major Assumptions'!$D$97+'01 Major Assumptions'!$D$99)*(1+'01 Major Assumptions'!$D$98/12)*(1+'01 Major Assumptions'!$D$25)^'02 Oil Price Analysis'!AY$57)</f>
        <v>997656.66000000015</v>
      </c>
      <c r="AZ37" s="90">
        <f>IF('01 Major Assumptions'!AZ$15=0,0,$D37*$E37*'01 Major Assumptions'!AZ$14*(1+'01 Major Assumptions'!$D$97+'01 Major Assumptions'!$D$99)*(1+'01 Major Assumptions'!$D$98/12)*(1+'01 Major Assumptions'!$D$25)^'02 Oil Price Analysis'!AZ$57)</f>
        <v>997656.66000000015</v>
      </c>
      <c r="BA37" s="90">
        <f>IF('01 Major Assumptions'!BA$15=0,0,$D37*$E37*'01 Major Assumptions'!BA$14*(1+'01 Major Assumptions'!$D$97+'01 Major Assumptions'!$D$99)*(1+'01 Major Assumptions'!$D$98/12)*(1+'01 Major Assumptions'!$D$25)^'02 Oil Price Analysis'!BA$57)</f>
        <v>997656.66000000015</v>
      </c>
      <c r="BB37" s="90">
        <f>IF('01 Major Assumptions'!BB$15=0,0,$D37*$E37*'01 Major Assumptions'!BB$14*(1+'01 Major Assumptions'!$D$97+'01 Major Assumptions'!$D$99)*(1+'01 Major Assumptions'!$D$98/12)*(1+'01 Major Assumptions'!$D$25)^'02 Oil Price Analysis'!BB$57)</f>
        <v>997656.66000000015</v>
      </c>
      <c r="BC37" s="90">
        <f>IF('01 Major Assumptions'!BC$15=0,0,$D37*$E37*'01 Major Assumptions'!BC$14*(1+'01 Major Assumptions'!$D$97+'01 Major Assumptions'!$D$99)*(1+'01 Major Assumptions'!$D$98/12)*(1+'01 Major Assumptions'!$D$25)^'02 Oil Price Analysis'!BC$57)</f>
        <v>1047539.493</v>
      </c>
      <c r="BD37" s="90">
        <f>IF('01 Major Assumptions'!BD$15=0,0,$D37*$E37*'01 Major Assumptions'!BD$14*(1+'01 Major Assumptions'!$D$97+'01 Major Assumptions'!$D$99)*(1+'01 Major Assumptions'!$D$98/12)*(1+'01 Major Assumptions'!$D$25)^'02 Oil Price Analysis'!BD$57)</f>
        <v>1047539.493</v>
      </c>
      <c r="BE37" s="90">
        <f>IF('01 Major Assumptions'!BE$15=0,0,$D37*$E37*'01 Major Assumptions'!BE$14*(1+'01 Major Assumptions'!$D$97+'01 Major Assumptions'!$D$99)*(1+'01 Major Assumptions'!$D$98/12)*(1+'01 Major Assumptions'!$D$25)^'02 Oil Price Analysis'!BE$57)</f>
        <v>1047539.493</v>
      </c>
      <c r="BF37" s="90">
        <f>IF('01 Major Assumptions'!BF$15=0,0,$D37*$E37*'01 Major Assumptions'!BF$14*(1+'01 Major Assumptions'!$D$97+'01 Major Assumptions'!$D$99)*(1+'01 Major Assumptions'!$D$98/12)*(1+'01 Major Assumptions'!$D$25)^'02 Oil Price Analysis'!BF$57)</f>
        <v>1047539.493</v>
      </c>
      <c r="BG37" s="90">
        <f>IF('01 Major Assumptions'!BG$15=0,0,$D37*$E37*'01 Major Assumptions'!BG$14*(1+'01 Major Assumptions'!$D$97+'01 Major Assumptions'!$D$99)*(1+'01 Major Assumptions'!$D$98/12)*(1+'01 Major Assumptions'!$D$25)^'02 Oil Price Analysis'!BG$57)</f>
        <v>1047539.493</v>
      </c>
      <c r="BH37" s="90">
        <f>IF('01 Major Assumptions'!BH$15=0,0,$D37*$E37*'01 Major Assumptions'!BH$14*(1+'01 Major Assumptions'!$D$97+'01 Major Assumptions'!$D$99)*(1+'01 Major Assumptions'!$D$98/12)*(1+'01 Major Assumptions'!$D$25)^'02 Oil Price Analysis'!BH$57)</f>
        <v>1047539.493</v>
      </c>
      <c r="BI37" s="90">
        <f>IF('01 Major Assumptions'!BI$15=0,0,$D37*$E37*'01 Major Assumptions'!BI$14*(1+'01 Major Assumptions'!$D$97+'01 Major Assumptions'!$D$99)*(1+'01 Major Assumptions'!$D$98/12)*(1+'01 Major Assumptions'!$D$25)^'02 Oil Price Analysis'!BI$57)</f>
        <v>13198997.611800004</v>
      </c>
      <c r="BJ37" s="90">
        <f>IF('01 Major Assumptions'!BJ$15=0,0,$D37*$E37*'01 Major Assumptions'!BJ$14*(1+'01 Major Assumptions'!$D$97+'01 Major Assumptions'!$D$99)*(1+'01 Major Assumptions'!$D$98/12)*(1+'01 Major Assumptions'!$D$25)^'02 Oil Price Analysis'!BJ$57)</f>
        <v>13858947.492390003</v>
      </c>
      <c r="BK37" s="90">
        <f>IF('01 Major Assumptions'!BK$15=0,0,$D37*$E37*'01 Major Assumptions'!BK$14*(1+'01 Major Assumptions'!$D$97+'01 Major Assumptions'!$D$99)*(1+'01 Major Assumptions'!$D$98/12)*(1+'01 Major Assumptions'!$D$25)^'02 Oil Price Analysis'!BK$57)</f>
        <v>14551894.867009506</v>
      </c>
      <c r="BL37" s="90">
        <f>IF('01 Major Assumptions'!BL$15=0,0,$D37*$E37*'01 Major Assumptions'!BL$14*(1+'01 Major Assumptions'!$D$97+'01 Major Assumptions'!$D$99)*(1+'01 Major Assumptions'!$D$98/12)*(1+'01 Major Assumptions'!$D$25)^'02 Oil Price Analysis'!BL$57)</f>
        <v>15279489.610359978</v>
      </c>
      <c r="BM37" s="90">
        <f>IF('01 Major Assumptions'!BM$15=0,0,$D37*$E37*'01 Major Assumptions'!BM$14*(1+'01 Major Assumptions'!$D$97+'01 Major Assumptions'!$D$99)*(1+'01 Major Assumptions'!$D$98/12)*(1+'01 Major Assumptions'!$D$25)^'02 Oil Price Analysis'!BM$57)</f>
        <v>16043464.090877978</v>
      </c>
      <c r="BN37" s="90">
        <f>IF('01 Major Assumptions'!BN$15=0,0,$D37*$E37*'01 Major Assumptions'!BN$14*(1+'01 Major Assumptions'!$D$97+'01 Major Assumptions'!$D$99)*(1+'01 Major Assumptions'!$D$98/12)*(1+'01 Major Assumptions'!$D$25)^'02 Oil Price Analysis'!BN$57)</f>
        <v>16845637.295421876</v>
      </c>
      <c r="BO37" s="90">
        <f>IF('01 Major Assumptions'!BO$15=0,0,$D37*$E37*'01 Major Assumptions'!BO$14*(1+'01 Major Assumptions'!$D$97+'01 Major Assumptions'!$D$99)*(1+'01 Major Assumptions'!$D$98/12)*(1+'01 Major Assumptions'!$D$25)^'02 Oil Price Analysis'!BO$57)</f>
        <v>17687919.160192974</v>
      </c>
    </row>
    <row r="38" spans="1:67">
      <c r="A38" s="11"/>
      <c r="B38" s="32" t="str">
        <f>'01 Major Assumptions'!B84</f>
        <v>Shredder &amp; feed operator</v>
      </c>
      <c r="C38" s="11"/>
      <c r="D38" s="92">
        <f>'01 Major Assumptions'!$C$84</f>
        <v>8</v>
      </c>
      <c r="E38" s="92">
        <f>'01 Major Assumptions'!$D$84</f>
        <v>20000</v>
      </c>
      <c r="F38" s="10" t="s">
        <v>13</v>
      </c>
      <c r="G38" s="90">
        <f>IF('01 Major Assumptions'!G$15=0,0,$D38*$E38*'01 Major Assumptions'!G$14*(1+'01 Major Assumptions'!$D$97+'01 Major Assumptions'!$D$99)*(1+'01 Major Assumptions'!$D$98/12)*(1+'01 Major Assumptions'!$D$25)^'02 Oil Price Analysis'!G$57)</f>
        <v>0</v>
      </c>
      <c r="H38" s="90">
        <f>IF('01 Major Assumptions'!H$15=0,0,$D38*$E38*'01 Major Assumptions'!H$14*(1+'01 Major Assumptions'!$D$97+'01 Major Assumptions'!$D$99)*(1+'01 Major Assumptions'!$D$98/12)*(1+'01 Major Assumptions'!$D$25)^'02 Oil Price Analysis'!H$57)</f>
        <v>0</v>
      </c>
      <c r="I38" s="90">
        <f>IF('01 Major Assumptions'!I$15=0,0,$D38*$E38*'01 Major Assumptions'!I$14*(1+'01 Major Assumptions'!$D$97+'01 Major Assumptions'!$D$99)*(1+'01 Major Assumptions'!$D$98/12)*(1+'01 Major Assumptions'!$D$25)^'02 Oil Price Analysis'!I$57)</f>
        <v>0</v>
      </c>
      <c r="J38" s="90">
        <f>IF('01 Major Assumptions'!J$15=0,0,$D38*$E38*'01 Major Assumptions'!J$14*(1+'01 Major Assumptions'!$D$97+'01 Major Assumptions'!$D$99)*(1+'01 Major Assumptions'!$D$98/12)*(1+'01 Major Assumptions'!$D$25)^'02 Oil Price Analysis'!J$57)</f>
        <v>0</v>
      </c>
      <c r="K38" s="90">
        <f>IF('01 Major Assumptions'!K$15=0,0,$D38*$E38*'01 Major Assumptions'!K$14*(1+'01 Major Assumptions'!$D$97+'01 Major Assumptions'!$D$99)*(1+'01 Major Assumptions'!$D$98/12)*(1+'01 Major Assumptions'!$D$25)^'02 Oil Price Analysis'!K$57)</f>
        <v>0</v>
      </c>
      <c r="L38" s="90">
        <f>IF('01 Major Assumptions'!L$15=0,0,$D38*$E38*'01 Major Assumptions'!L$14*(1+'01 Major Assumptions'!$D$97+'01 Major Assumptions'!$D$99)*(1+'01 Major Assumptions'!$D$98/12)*(1+'01 Major Assumptions'!$D$25)^'02 Oil Price Analysis'!L$57)</f>
        <v>0</v>
      </c>
      <c r="M38" s="90">
        <f>IF('01 Major Assumptions'!M$15=0,0,$D38*$E38*'01 Major Assumptions'!M$14*(1+'01 Major Assumptions'!$D$97+'01 Major Assumptions'!$D$99)*(1+'01 Major Assumptions'!$D$98/12)*(1+'01 Major Assumptions'!$D$25)^'02 Oil Price Analysis'!M$57)</f>
        <v>0</v>
      </c>
      <c r="N38" s="90">
        <f>IF('01 Major Assumptions'!N$15=0,0,$D38*$E38*'01 Major Assumptions'!N$14*(1+'01 Major Assumptions'!$D$97+'01 Major Assumptions'!$D$99)*(1+'01 Major Assumptions'!$D$98/12)*(1+'01 Major Assumptions'!$D$25)^'02 Oil Price Analysis'!N$57)</f>
        <v>0</v>
      </c>
      <c r="O38" s="90">
        <f>IF('01 Major Assumptions'!O$15=0,0,$D38*$E38*'01 Major Assumptions'!O$14*(1+'01 Major Assumptions'!$D$97+'01 Major Assumptions'!$D$99)*(1+'01 Major Assumptions'!$D$98/12)*(1+'01 Major Assumptions'!$D$25)^'02 Oil Price Analysis'!O$57)</f>
        <v>0</v>
      </c>
      <c r="P38" s="90">
        <f>IF('01 Major Assumptions'!P$15=0,0,$D38*$E38*'01 Major Assumptions'!P$14*(1+'01 Major Assumptions'!$D$97+'01 Major Assumptions'!$D$99)*(1+'01 Major Assumptions'!$D$98/12)*(1+'01 Major Assumptions'!$D$25)^'02 Oil Price Analysis'!P$57)</f>
        <v>0</v>
      </c>
      <c r="Q38" s="90">
        <f>IF('01 Major Assumptions'!Q$15=0,0,$D38*$E38*'01 Major Assumptions'!Q$14*(1+'01 Major Assumptions'!$D$97+'01 Major Assumptions'!$D$99)*(1+'01 Major Assumptions'!$D$98/12)*(1+'01 Major Assumptions'!$D$25)^'02 Oil Price Analysis'!Q$57)</f>
        <v>0</v>
      </c>
      <c r="R38" s="90">
        <f>IF('01 Major Assumptions'!R$15=0,0,$D38*$E38*'01 Major Assumptions'!R$14*(1+'01 Major Assumptions'!$D$97+'01 Major Assumptions'!$D$99)*(1+'01 Major Assumptions'!$D$98/12)*(1+'01 Major Assumptions'!$D$25)^'02 Oil Price Analysis'!R$57)</f>
        <v>0</v>
      </c>
      <c r="S38" s="90">
        <f>IF('01 Major Assumptions'!S$15=0,0,$D38*$E38*'01 Major Assumptions'!S$14*(1+'01 Major Assumptions'!$D$97+'01 Major Assumptions'!$D$99)*(1+'01 Major Assumptions'!$D$98/12)*(1+'01 Major Assumptions'!$D$25)^'02 Oil Price Analysis'!S$57)</f>
        <v>0</v>
      </c>
      <c r="T38" s="90">
        <f>IF('01 Major Assumptions'!T$15=0,0,$D38*$E38*'01 Major Assumptions'!T$14*(1+'01 Major Assumptions'!$D$97+'01 Major Assumptions'!$D$99)*(1+'01 Major Assumptions'!$D$98/12)*(1+'01 Major Assumptions'!$D$25)^'02 Oil Price Analysis'!T$57)</f>
        <v>0</v>
      </c>
      <c r="U38" s="90">
        <f>IF('01 Major Assumptions'!U$15=0,0,$D38*$E38*'01 Major Assumptions'!U$14*(1+'01 Major Assumptions'!$D$97+'01 Major Assumptions'!$D$99)*(1+'01 Major Assumptions'!$D$98/12)*(1+'01 Major Assumptions'!$D$25)^'02 Oil Price Analysis'!U$57)</f>
        <v>0</v>
      </c>
      <c r="V38" s="90">
        <f>IF('01 Major Assumptions'!V$15=0,0,$D38*$E38*'01 Major Assumptions'!V$14*(1+'01 Major Assumptions'!$D$97+'01 Major Assumptions'!$D$99)*(1+'01 Major Assumptions'!$D$98/12)*(1+'01 Major Assumptions'!$D$25)^'02 Oil Price Analysis'!V$57)</f>
        <v>0</v>
      </c>
      <c r="W38" s="90">
        <f>IF('01 Major Assumptions'!W$15=0,0,$D38*$E38*'01 Major Assumptions'!W$14*(1+'01 Major Assumptions'!$D$97+'01 Major Assumptions'!$D$99)*(1+'01 Major Assumptions'!$D$98/12)*(1+'01 Major Assumptions'!$D$25)^'02 Oil Price Analysis'!W$57)</f>
        <v>0</v>
      </c>
      <c r="X38" s="90">
        <f>IF('01 Major Assumptions'!X$15=0,0,$D38*$E38*'01 Major Assumptions'!X$14*(1+'01 Major Assumptions'!$D$97+'01 Major Assumptions'!$D$99)*(1+'01 Major Assumptions'!$D$98/12)*(1+'01 Major Assumptions'!$D$25)^'02 Oil Price Analysis'!X$57)</f>
        <v>0</v>
      </c>
      <c r="Y38" s="90">
        <f>IF('01 Major Assumptions'!Y$15=0,0,$D38*$E38*'01 Major Assumptions'!Y$14*(1+'01 Major Assumptions'!$D$97+'01 Major Assumptions'!$D$99)*(1+'01 Major Assumptions'!$D$98/12)*(1+'01 Major Assumptions'!$D$25)^'02 Oil Price Analysis'!Y$57)</f>
        <v>0</v>
      </c>
      <c r="Z38" s="90">
        <f>IF('01 Major Assumptions'!Z$15=0,0,$D38*$E38*'01 Major Assumptions'!Z$14*(1+'01 Major Assumptions'!$D$97+'01 Major Assumptions'!$D$99)*(1+'01 Major Assumptions'!$D$98/12)*(1+'01 Major Assumptions'!$D$25)^'02 Oil Price Analysis'!Z$57)</f>
        <v>0</v>
      </c>
      <c r="AA38" s="90">
        <f>IF('01 Major Assumptions'!AA$15=0,0,$D38*$E38*'01 Major Assumptions'!AA$14*(1+'01 Major Assumptions'!$D$97+'01 Major Assumptions'!$D$99)*(1+'01 Major Assumptions'!$D$98/12)*(1+'01 Major Assumptions'!$D$25)^'02 Oil Price Analysis'!AA$57)</f>
        <v>0</v>
      </c>
      <c r="AB38" s="90">
        <f>IF('01 Major Assumptions'!AB$15=0,0,$D38*$E38*'01 Major Assumptions'!AB$14*(1+'01 Major Assumptions'!$D$97+'01 Major Assumptions'!$D$99)*(1+'01 Major Assumptions'!$D$98/12)*(1+'01 Major Assumptions'!$D$25)^'02 Oil Price Analysis'!AB$57)</f>
        <v>205660.00000000003</v>
      </c>
      <c r="AC38" s="90">
        <f>IF('01 Major Assumptions'!AC$15=0,0,$D38*$E38*'01 Major Assumptions'!AC$14*(1+'01 Major Assumptions'!$D$97+'01 Major Assumptions'!$D$99)*(1+'01 Major Assumptions'!$D$98/12)*(1+'01 Major Assumptions'!$D$25)^'02 Oil Price Analysis'!AC$57)</f>
        <v>205660.00000000003</v>
      </c>
      <c r="AD38" s="90">
        <f>IF('01 Major Assumptions'!AD$15=0,0,$D38*$E38*'01 Major Assumptions'!AD$14*(1+'01 Major Assumptions'!$D$97+'01 Major Assumptions'!$D$99)*(1+'01 Major Assumptions'!$D$98/12)*(1+'01 Major Assumptions'!$D$25)^'02 Oil Price Analysis'!AD$57)</f>
        <v>205660.00000000003</v>
      </c>
      <c r="AE38" s="90">
        <f>IF('01 Major Assumptions'!AE$15=0,0,$D38*$E38*'01 Major Assumptions'!AE$14*(1+'01 Major Assumptions'!$D$97+'01 Major Assumptions'!$D$99)*(1+'01 Major Assumptions'!$D$98/12)*(1+'01 Major Assumptions'!$D$25)^'02 Oil Price Analysis'!AE$57)</f>
        <v>215943.00000000003</v>
      </c>
      <c r="AF38" s="90">
        <f>IF('01 Major Assumptions'!AF$15=0,0,$D38*$E38*'01 Major Assumptions'!AF$14*(1+'01 Major Assumptions'!$D$97+'01 Major Assumptions'!$D$99)*(1+'01 Major Assumptions'!$D$98/12)*(1+'01 Major Assumptions'!$D$25)^'02 Oil Price Analysis'!AF$57)</f>
        <v>215943.00000000003</v>
      </c>
      <c r="AG38" s="90">
        <f>IF('01 Major Assumptions'!AG$15=0,0,$D38*$E38*'01 Major Assumptions'!AG$14*(1+'01 Major Assumptions'!$D$97+'01 Major Assumptions'!$D$99)*(1+'01 Major Assumptions'!$D$98/12)*(1+'01 Major Assumptions'!$D$25)^'02 Oil Price Analysis'!AG$57)</f>
        <v>215943.00000000003</v>
      </c>
      <c r="AH38" s="90">
        <f>IF('01 Major Assumptions'!AH$15=0,0,$D38*$E38*'01 Major Assumptions'!AH$14*(1+'01 Major Assumptions'!$D$97+'01 Major Assumptions'!$D$99)*(1+'01 Major Assumptions'!$D$98/12)*(1+'01 Major Assumptions'!$D$25)^'02 Oil Price Analysis'!AH$57)</f>
        <v>215943.00000000003</v>
      </c>
      <c r="AI38" s="90">
        <f>IF('01 Major Assumptions'!AI$15=0,0,$D38*$E38*'01 Major Assumptions'!AI$14*(1+'01 Major Assumptions'!$D$97+'01 Major Assumptions'!$D$99)*(1+'01 Major Assumptions'!$D$98/12)*(1+'01 Major Assumptions'!$D$25)^'02 Oil Price Analysis'!AI$57)</f>
        <v>215943.00000000003</v>
      </c>
      <c r="AJ38" s="90">
        <f>IF('01 Major Assumptions'!AJ$15=0,0,$D38*$E38*'01 Major Assumptions'!AJ$14*(1+'01 Major Assumptions'!$D$97+'01 Major Assumptions'!$D$99)*(1+'01 Major Assumptions'!$D$98/12)*(1+'01 Major Assumptions'!$D$25)^'02 Oil Price Analysis'!AJ$57)</f>
        <v>215943.00000000003</v>
      </c>
      <c r="AK38" s="90">
        <f>IF('01 Major Assumptions'!AK$15=0,0,$D38*$E38*'01 Major Assumptions'!AK$14*(1+'01 Major Assumptions'!$D$97+'01 Major Assumptions'!$D$99)*(1+'01 Major Assumptions'!$D$98/12)*(1+'01 Major Assumptions'!$D$25)^'02 Oil Price Analysis'!AK$57)</f>
        <v>215943.00000000003</v>
      </c>
      <c r="AL38" s="90">
        <f>IF('01 Major Assumptions'!AL$15=0,0,$D38*$E38*'01 Major Assumptions'!AL$14*(1+'01 Major Assumptions'!$D$97+'01 Major Assumptions'!$D$99)*(1+'01 Major Assumptions'!$D$98/12)*(1+'01 Major Assumptions'!$D$25)^'02 Oil Price Analysis'!AL$57)</f>
        <v>215943.00000000003</v>
      </c>
      <c r="AM38" s="90">
        <f>IF('01 Major Assumptions'!AM$15=0,0,$D38*$E38*'01 Major Assumptions'!AM$14*(1+'01 Major Assumptions'!$D$97+'01 Major Assumptions'!$D$99)*(1+'01 Major Assumptions'!$D$98/12)*(1+'01 Major Assumptions'!$D$25)^'02 Oil Price Analysis'!AM$57)</f>
        <v>215943.00000000003</v>
      </c>
      <c r="AN38" s="90">
        <f>IF('01 Major Assumptions'!AN$15=0,0,$D38*$E38*'01 Major Assumptions'!AN$14*(1+'01 Major Assumptions'!$D$97+'01 Major Assumptions'!$D$99)*(1+'01 Major Assumptions'!$D$98/12)*(1+'01 Major Assumptions'!$D$25)^'02 Oil Price Analysis'!AN$57)</f>
        <v>215943.00000000003</v>
      </c>
      <c r="AO38" s="90">
        <f>IF('01 Major Assumptions'!AO$15=0,0,$D38*$E38*'01 Major Assumptions'!AO$14*(1+'01 Major Assumptions'!$D$97+'01 Major Assumptions'!$D$99)*(1+'01 Major Assumptions'!$D$98/12)*(1+'01 Major Assumptions'!$D$25)^'02 Oil Price Analysis'!AO$57)</f>
        <v>215943.00000000003</v>
      </c>
      <c r="AP38" s="90">
        <f>IF('01 Major Assumptions'!AP$15=0,0,$D38*$E38*'01 Major Assumptions'!AP$14*(1+'01 Major Assumptions'!$D$97+'01 Major Assumptions'!$D$99)*(1+'01 Major Assumptions'!$D$98/12)*(1+'01 Major Assumptions'!$D$25)^'02 Oil Price Analysis'!AP$57)</f>
        <v>215943.00000000003</v>
      </c>
      <c r="AQ38" s="90">
        <f>IF('01 Major Assumptions'!AQ$15=0,0,$D38*$E38*'01 Major Assumptions'!AQ$14*(1+'01 Major Assumptions'!$D$97+'01 Major Assumptions'!$D$99)*(1+'01 Major Assumptions'!$D$98/12)*(1+'01 Major Assumptions'!$D$25)^'02 Oil Price Analysis'!AQ$57)</f>
        <v>226740.15000000005</v>
      </c>
      <c r="AR38" s="90">
        <f>IF('01 Major Assumptions'!AR$15=0,0,$D38*$E38*'01 Major Assumptions'!AR$14*(1+'01 Major Assumptions'!$D$97+'01 Major Assumptions'!$D$99)*(1+'01 Major Assumptions'!$D$98/12)*(1+'01 Major Assumptions'!$D$25)^'02 Oil Price Analysis'!AR$57)</f>
        <v>226740.15000000005</v>
      </c>
      <c r="AS38" s="90">
        <f>IF('01 Major Assumptions'!AS$15=0,0,$D38*$E38*'01 Major Assumptions'!AS$14*(1+'01 Major Assumptions'!$D$97+'01 Major Assumptions'!$D$99)*(1+'01 Major Assumptions'!$D$98/12)*(1+'01 Major Assumptions'!$D$25)^'02 Oil Price Analysis'!AS$57)</f>
        <v>226740.15000000005</v>
      </c>
      <c r="AT38" s="90">
        <f>IF('01 Major Assumptions'!AT$15=0,0,$D38*$E38*'01 Major Assumptions'!AT$14*(1+'01 Major Assumptions'!$D$97+'01 Major Assumptions'!$D$99)*(1+'01 Major Assumptions'!$D$98/12)*(1+'01 Major Assumptions'!$D$25)^'02 Oil Price Analysis'!AT$57)</f>
        <v>226740.15000000005</v>
      </c>
      <c r="AU38" s="90">
        <f>IF('01 Major Assumptions'!AU$15=0,0,$D38*$E38*'01 Major Assumptions'!AU$14*(1+'01 Major Assumptions'!$D$97+'01 Major Assumptions'!$D$99)*(1+'01 Major Assumptions'!$D$98/12)*(1+'01 Major Assumptions'!$D$25)^'02 Oil Price Analysis'!AU$57)</f>
        <v>226740.15000000005</v>
      </c>
      <c r="AV38" s="90">
        <f>IF('01 Major Assumptions'!AV$15=0,0,$D38*$E38*'01 Major Assumptions'!AV$14*(1+'01 Major Assumptions'!$D$97+'01 Major Assumptions'!$D$99)*(1+'01 Major Assumptions'!$D$98/12)*(1+'01 Major Assumptions'!$D$25)^'02 Oil Price Analysis'!AV$57)</f>
        <v>226740.15000000005</v>
      </c>
      <c r="AW38" s="90">
        <f>IF('01 Major Assumptions'!AW$15=0,0,$D38*$E38*'01 Major Assumptions'!AW$14*(1+'01 Major Assumptions'!$D$97+'01 Major Assumptions'!$D$99)*(1+'01 Major Assumptions'!$D$98/12)*(1+'01 Major Assumptions'!$D$25)^'02 Oil Price Analysis'!AW$57)</f>
        <v>226740.15000000005</v>
      </c>
      <c r="AX38" s="90">
        <f>IF('01 Major Assumptions'!AX$15=0,0,$D38*$E38*'01 Major Assumptions'!AX$14*(1+'01 Major Assumptions'!$D$97+'01 Major Assumptions'!$D$99)*(1+'01 Major Assumptions'!$D$98/12)*(1+'01 Major Assumptions'!$D$25)^'02 Oil Price Analysis'!AX$57)</f>
        <v>226740.15000000005</v>
      </c>
      <c r="AY38" s="90">
        <f>IF('01 Major Assumptions'!AY$15=0,0,$D38*$E38*'01 Major Assumptions'!AY$14*(1+'01 Major Assumptions'!$D$97+'01 Major Assumptions'!$D$99)*(1+'01 Major Assumptions'!$D$98/12)*(1+'01 Major Assumptions'!$D$25)^'02 Oil Price Analysis'!AY$57)</f>
        <v>226740.15000000005</v>
      </c>
      <c r="AZ38" s="90">
        <f>IF('01 Major Assumptions'!AZ$15=0,0,$D38*$E38*'01 Major Assumptions'!AZ$14*(1+'01 Major Assumptions'!$D$97+'01 Major Assumptions'!$D$99)*(1+'01 Major Assumptions'!$D$98/12)*(1+'01 Major Assumptions'!$D$25)^'02 Oil Price Analysis'!AZ$57)</f>
        <v>226740.15000000005</v>
      </c>
      <c r="BA38" s="90">
        <f>IF('01 Major Assumptions'!BA$15=0,0,$D38*$E38*'01 Major Assumptions'!BA$14*(1+'01 Major Assumptions'!$D$97+'01 Major Assumptions'!$D$99)*(1+'01 Major Assumptions'!$D$98/12)*(1+'01 Major Assumptions'!$D$25)^'02 Oil Price Analysis'!BA$57)</f>
        <v>226740.15000000005</v>
      </c>
      <c r="BB38" s="90">
        <f>IF('01 Major Assumptions'!BB$15=0,0,$D38*$E38*'01 Major Assumptions'!BB$14*(1+'01 Major Assumptions'!$D$97+'01 Major Assumptions'!$D$99)*(1+'01 Major Assumptions'!$D$98/12)*(1+'01 Major Assumptions'!$D$25)^'02 Oil Price Analysis'!BB$57)</f>
        <v>226740.15000000005</v>
      </c>
      <c r="BC38" s="90">
        <f>IF('01 Major Assumptions'!BC$15=0,0,$D38*$E38*'01 Major Assumptions'!BC$14*(1+'01 Major Assumptions'!$D$97+'01 Major Assumptions'!$D$99)*(1+'01 Major Assumptions'!$D$98/12)*(1+'01 Major Assumptions'!$D$25)^'02 Oil Price Analysis'!BC$57)</f>
        <v>238077.15750000003</v>
      </c>
      <c r="BD38" s="90">
        <f>IF('01 Major Assumptions'!BD$15=0,0,$D38*$E38*'01 Major Assumptions'!BD$14*(1+'01 Major Assumptions'!$D$97+'01 Major Assumptions'!$D$99)*(1+'01 Major Assumptions'!$D$98/12)*(1+'01 Major Assumptions'!$D$25)^'02 Oil Price Analysis'!BD$57)</f>
        <v>238077.15750000003</v>
      </c>
      <c r="BE38" s="90">
        <f>IF('01 Major Assumptions'!BE$15=0,0,$D38*$E38*'01 Major Assumptions'!BE$14*(1+'01 Major Assumptions'!$D$97+'01 Major Assumptions'!$D$99)*(1+'01 Major Assumptions'!$D$98/12)*(1+'01 Major Assumptions'!$D$25)^'02 Oil Price Analysis'!BE$57)</f>
        <v>238077.15750000003</v>
      </c>
      <c r="BF38" s="90">
        <f>IF('01 Major Assumptions'!BF$15=0,0,$D38*$E38*'01 Major Assumptions'!BF$14*(1+'01 Major Assumptions'!$D$97+'01 Major Assumptions'!$D$99)*(1+'01 Major Assumptions'!$D$98/12)*(1+'01 Major Assumptions'!$D$25)^'02 Oil Price Analysis'!BF$57)</f>
        <v>238077.15750000003</v>
      </c>
      <c r="BG38" s="90">
        <f>IF('01 Major Assumptions'!BG$15=0,0,$D38*$E38*'01 Major Assumptions'!BG$14*(1+'01 Major Assumptions'!$D$97+'01 Major Assumptions'!$D$99)*(1+'01 Major Assumptions'!$D$98/12)*(1+'01 Major Assumptions'!$D$25)^'02 Oil Price Analysis'!BG$57)</f>
        <v>238077.15750000003</v>
      </c>
      <c r="BH38" s="90">
        <f>IF('01 Major Assumptions'!BH$15=0,0,$D38*$E38*'01 Major Assumptions'!BH$14*(1+'01 Major Assumptions'!$D$97+'01 Major Assumptions'!$D$99)*(1+'01 Major Assumptions'!$D$98/12)*(1+'01 Major Assumptions'!$D$25)^'02 Oil Price Analysis'!BH$57)</f>
        <v>238077.15750000003</v>
      </c>
      <c r="BI38" s="90">
        <f>IF('01 Major Assumptions'!BI$15=0,0,$D38*$E38*'01 Major Assumptions'!BI$14*(1+'01 Major Assumptions'!$D$97+'01 Major Assumptions'!$D$99)*(1+'01 Major Assumptions'!$D$98/12)*(1+'01 Major Assumptions'!$D$25)^'02 Oil Price Analysis'!BI$57)</f>
        <v>2999772.1845000004</v>
      </c>
      <c r="BJ38" s="90">
        <f>IF('01 Major Assumptions'!BJ$15=0,0,$D38*$E38*'01 Major Assumptions'!BJ$14*(1+'01 Major Assumptions'!$D$97+'01 Major Assumptions'!$D$99)*(1+'01 Major Assumptions'!$D$98/12)*(1+'01 Major Assumptions'!$D$25)^'02 Oil Price Analysis'!BJ$57)</f>
        <v>3149760.7937249998</v>
      </c>
      <c r="BK38" s="90">
        <f>IF('01 Major Assumptions'!BK$15=0,0,$D38*$E38*'01 Major Assumptions'!BK$14*(1+'01 Major Assumptions'!$D$97+'01 Major Assumptions'!$D$99)*(1+'01 Major Assumptions'!$D$98/12)*(1+'01 Major Assumptions'!$D$25)^'02 Oil Price Analysis'!BK$57)</f>
        <v>3307248.8334112507</v>
      </c>
      <c r="BL38" s="90">
        <f>IF('01 Major Assumptions'!BL$15=0,0,$D38*$E38*'01 Major Assumptions'!BL$14*(1+'01 Major Assumptions'!$D$97+'01 Major Assumptions'!$D$99)*(1+'01 Major Assumptions'!$D$98/12)*(1+'01 Major Assumptions'!$D$25)^'02 Oil Price Analysis'!BL$57)</f>
        <v>3472611.2750818129</v>
      </c>
      <c r="BM38" s="90">
        <f>IF('01 Major Assumptions'!BM$15=0,0,$D38*$E38*'01 Major Assumptions'!BM$14*(1+'01 Major Assumptions'!$D$97+'01 Major Assumptions'!$D$99)*(1+'01 Major Assumptions'!$D$98/12)*(1+'01 Major Assumptions'!$D$25)^'02 Oil Price Analysis'!BM$57)</f>
        <v>3646241.8388359034</v>
      </c>
      <c r="BN38" s="90">
        <f>IF('01 Major Assumptions'!BN$15=0,0,$D38*$E38*'01 Major Assumptions'!BN$14*(1+'01 Major Assumptions'!$D$97+'01 Major Assumptions'!$D$99)*(1+'01 Major Assumptions'!$D$98/12)*(1+'01 Major Assumptions'!$D$25)^'02 Oil Price Analysis'!BN$57)</f>
        <v>3828553.9307776988</v>
      </c>
      <c r="BO38" s="90">
        <f>IF('01 Major Assumptions'!BO$15=0,0,$D38*$E38*'01 Major Assumptions'!BO$14*(1+'01 Major Assumptions'!$D$97+'01 Major Assumptions'!$D$99)*(1+'01 Major Assumptions'!$D$98/12)*(1+'01 Major Assumptions'!$D$25)^'02 Oil Price Analysis'!BO$57)</f>
        <v>4019981.6273165839</v>
      </c>
    </row>
    <row r="39" spans="1:67">
      <c r="A39" s="11"/>
      <c r="B39" s="32" t="str">
        <f>'01 Major Assumptions'!B85</f>
        <v>rCB / pelletising operator</v>
      </c>
      <c r="C39" s="11"/>
      <c r="D39" s="92">
        <f>'01 Major Assumptions'!$C$85</f>
        <v>8</v>
      </c>
      <c r="E39" s="92">
        <f>'01 Major Assumptions'!$D$85</f>
        <v>20000</v>
      </c>
      <c r="F39" s="10" t="s">
        <v>13</v>
      </c>
      <c r="G39" s="90">
        <f>IF('01 Major Assumptions'!G$15=0,0,$D39*$E39*'01 Major Assumptions'!G$14*(1+'01 Major Assumptions'!$D$97+'01 Major Assumptions'!$D$99)*(1+'01 Major Assumptions'!$D$98/12)*(1+'01 Major Assumptions'!$D$25)^'02 Oil Price Analysis'!G$57)</f>
        <v>0</v>
      </c>
      <c r="H39" s="90">
        <f>IF('01 Major Assumptions'!H$15=0,0,$D39*$E39*'01 Major Assumptions'!H$14*(1+'01 Major Assumptions'!$D$97+'01 Major Assumptions'!$D$99)*(1+'01 Major Assumptions'!$D$98/12)*(1+'01 Major Assumptions'!$D$25)^'02 Oil Price Analysis'!H$57)</f>
        <v>0</v>
      </c>
      <c r="I39" s="90">
        <f>IF('01 Major Assumptions'!I$15=0,0,$D39*$E39*'01 Major Assumptions'!I$14*(1+'01 Major Assumptions'!$D$97+'01 Major Assumptions'!$D$99)*(1+'01 Major Assumptions'!$D$98/12)*(1+'01 Major Assumptions'!$D$25)^'02 Oil Price Analysis'!I$57)</f>
        <v>0</v>
      </c>
      <c r="J39" s="90">
        <f>IF('01 Major Assumptions'!J$15=0,0,$D39*$E39*'01 Major Assumptions'!J$14*(1+'01 Major Assumptions'!$D$97+'01 Major Assumptions'!$D$99)*(1+'01 Major Assumptions'!$D$98/12)*(1+'01 Major Assumptions'!$D$25)^'02 Oil Price Analysis'!J$57)</f>
        <v>0</v>
      </c>
      <c r="K39" s="90">
        <f>IF('01 Major Assumptions'!K$15=0,0,$D39*$E39*'01 Major Assumptions'!K$14*(1+'01 Major Assumptions'!$D$97+'01 Major Assumptions'!$D$99)*(1+'01 Major Assumptions'!$D$98/12)*(1+'01 Major Assumptions'!$D$25)^'02 Oil Price Analysis'!K$57)</f>
        <v>0</v>
      </c>
      <c r="L39" s="90">
        <f>IF('01 Major Assumptions'!L$15=0,0,$D39*$E39*'01 Major Assumptions'!L$14*(1+'01 Major Assumptions'!$D$97+'01 Major Assumptions'!$D$99)*(1+'01 Major Assumptions'!$D$98/12)*(1+'01 Major Assumptions'!$D$25)^'02 Oil Price Analysis'!L$57)</f>
        <v>0</v>
      </c>
      <c r="M39" s="90">
        <f>IF('01 Major Assumptions'!M$15=0,0,$D39*$E39*'01 Major Assumptions'!M$14*(1+'01 Major Assumptions'!$D$97+'01 Major Assumptions'!$D$99)*(1+'01 Major Assumptions'!$D$98/12)*(1+'01 Major Assumptions'!$D$25)^'02 Oil Price Analysis'!M$57)</f>
        <v>0</v>
      </c>
      <c r="N39" s="90">
        <f>IF('01 Major Assumptions'!N$15=0,0,$D39*$E39*'01 Major Assumptions'!N$14*(1+'01 Major Assumptions'!$D$97+'01 Major Assumptions'!$D$99)*(1+'01 Major Assumptions'!$D$98/12)*(1+'01 Major Assumptions'!$D$25)^'02 Oil Price Analysis'!N$57)</f>
        <v>0</v>
      </c>
      <c r="O39" s="90">
        <f>IF('01 Major Assumptions'!O$15=0,0,$D39*$E39*'01 Major Assumptions'!O$14*(1+'01 Major Assumptions'!$D$97+'01 Major Assumptions'!$D$99)*(1+'01 Major Assumptions'!$D$98/12)*(1+'01 Major Assumptions'!$D$25)^'02 Oil Price Analysis'!O$57)</f>
        <v>0</v>
      </c>
      <c r="P39" s="90">
        <f>IF('01 Major Assumptions'!P$15=0,0,$D39*$E39*'01 Major Assumptions'!P$14*(1+'01 Major Assumptions'!$D$97+'01 Major Assumptions'!$D$99)*(1+'01 Major Assumptions'!$D$98/12)*(1+'01 Major Assumptions'!$D$25)^'02 Oil Price Analysis'!P$57)</f>
        <v>0</v>
      </c>
      <c r="Q39" s="90">
        <f>IF('01 Major Assumptions'!Q$15=0,0,$D39*$E39*'01 Major Assumptions'!Q$14*(1+'01 Major Assumptions'!$D$97+'01 Major Assumptions'!$D$99)*(1+'01 Major Assumptions'!$D$98/12)*(1+'01 Major Assumptions'!$D$25)^'02 Oil Price Analysis'!Q$57)</f>
        <v>0</v>
      </c>
      <c r="R39" s="90">
        <f>IF('01 Major Assumptions'!R$15=0,0,$D39*$E39*'01 Major Assumptions'!R$14*(1+'01 Major Assumptions'!$D$97+'01 Major Assumptions'!$D$99)*(1+'01 Major Assumptions'!$D$98/12)*(1+'01 Major Assumptions'!$D$25)^'02 Oil Price Analysis'!R$57)</f>
        <v>0</v>
      </c>
      <c r="S39" s="90">
        <f>IF('01 Major Assumptions'!S$15=0,0,$D39*$E39*'01 Major Assumptions'!S$14*(1+'01 Major Assumptions'!$D$97+'01 Major Assumptions'!$D$99)*(1+'01 Major Assumptions'!$D$98/12)*(1+'01 Major Assumptions'!$D$25)^'02 Oil Price Analysis'!S$57)</f>
        <v>0</v>
      </c>
      <c r="T39" s="90">
        <f>IF('01 Major Assumptions'!T$15=0,0,$D39*$E39*'01 Major Assumptions'!T$14*(1+'01 Major Assumptions'!$D$97+'01 Major Assumptions'!$D$99)*(1+'01 Major Assumptions'!$D$98/12)*(1+'01 Major Assumptions'!$D$25)^'02 Oil Price Analysis'!T$57)</f>
        <v>0</v>
      </c>
      <c r="U39" s="90">
        <f>IF('01 Major Assumptions'!U$15=0,0,$D39*$E39*'01 Major Assumptions'!U$14*(1+'01 Major Assumptions'!$D$97+'01 Major Assumptions'!$D$99)*(1+'01 Major Assumptions'!$D$98/12)*(1+'01 Major Assumptions'!$D$25)^'02 Oil Price Analysis'!U$57)</f>
        <v>0</v>
      </c>
      <c r="V39" s="90">
        <f>IF('01 Major Assumptions'!V$15=0,0,$D39*$E39*'01 Major Assumptions'!V$14*(1+'01 Major Assumptions'!$D$97+'01 Major Assumptions'!$D$99)*(1+'01 Major Assumptions'!$D$98/12)*(1+'01 Major Assumptions'!$D$25)^'02 Oil Price Analysis'!V$57)</f>
        <v>0</v>
      </c>
      <c r="W39" s="90">
        <f>IF('01 Major Assumptions'!W$15=0,0,$D39*$E39*'01 Major Assumptions'!W$14*(1+'01 Major Assumptions'!$D$97+'01 Major Assumptions'!$D$99)*(1+'01 Major Assumptions'!$D$98/12)*(1+'01 Major Assumptions'!$D$25)^'02 Oil Price Analysis'!W$57)</f>
        <v>0</v>
      </c>
      <c r="X39" s="90">
        <f>IF('01 Major Assumptions'!X$15=0,0,$D39*$E39*'01 Major Assumptions'!X$14*(1+'01 Major Assumptions'!$D$97+'01 Major Assumptions'!$D$99)*(1+'01 Major Assumptions'!$D$98/12)*(1+'01 Major Assumptions'!$D$25)^'02 Oil Price Analysis'!X$57)</f>
        <v>0</v>
      </c>
      <c r="Y39" s="90">
        <f>IF('01 Major Assumptions'!Y$15=0,0,$D39*$E39*'01 Major Assumptions'!Y$14*(1+'01 Major Assumptions'!$D$97+'01 Major Assumptions'!$D$99)*(1+'01 Major Assumptions'!$D$98/12)*(1+'01 Major Assumptions'!$D$25)^'02 Oil Price Analysis'!Y$57)</f>
        <v>0</v>
      </c>
      <c r="Z39" s="90">
        <f>IF('01 Major Assumptions'!Z$15=0,0,$D39*$E39*'01 Major Assumptions'!Z$14*(1+'01 Major Assumptions'!$D$97+'01 Major Assumptions'!$D$99)*(1+'01 Major Assumptions'!$D$98/12)*(1+'01 Major Assumptions'!$D$25)^'02 Oil Price Analysis'!Z$57)</f>
        <v>0</v>
      </c>
      <c r="AA39" s="90">
        <f>IF('01 Major Assumptions'!AA$15=0,0,$D39*$E39*'01 Major Assumptions'!AA$14*(1+'01 Major Assumptions'!$D$97+'01 Major Assumptions'!$D$99)*(1+'01 Major Assumptions'!$D$98/12)*(1+'01 Major Assumptions'!$D$25)^'02 Oil Price Analysis'!AA$57)</f>
        <v>0</v>
      </c>
      <c r="AB39" s="90">
        <f>IF('01 Major Assumptions'!AB$15=0,0,$D39*$E39*'01 Major Assumptions'!AB$14*(1+'01 Major Assumptions'!$D$97+'01 Major Assumptions'!$D$99)*(1+'01 Major Assumptions'!$D$98/12)*(1+'01 Major Assumptions'!$D$25)^'02 Oil Price Analysis'!AB$57)</f>
        <v>205660.00000000003</v>
      </c>
      <c r="AC39" s="90">
        <f>IF('01 Major Assumptions'!AC$15=0,0,$D39*$E39*'01 Major Assumptions'!AC$14*(1+'01 Major Assumptions'!$D$97+'01 Major Assumptions'!$D$99)*(1+'01 Major Assumptions'!$D$98/12)*(1+'01 Major Assumptions'!$D$25)^'02 Oil Price Analysis'!AC$57)</f>
        <v>205660.00000000003</v>
      </c>
      <c r="AD39" s="90">
        <f>IF('01 Major Assumptions'!AD$15=0,0,$D39*$E39*'01 Major Assumptions'!AD$14*(1+'01 Major Assumptions'!$D$97+'01 Major Assumptions'!$D$99)*(1+'01 Major Assumptions'!$D$98/12)*(1+'01 Major Assumptions'!$D$25)^'02 Oil Price Analysis'!AD$57)</f>
        <v>205660.00000000003</v>
      </c>
      <c r="AE39" s="90">
        <f>IF('01 Major Assumptions'!AE$15=0,0,$D39*$E39*'01 Major Assumptions'!AE$14*(1+'01 Major Assumptions'!$D$97+'01 Major Assumptions'!$D$99)*(1+'01 Major Assumptions'!$D$98/12)*(1+'01 Major Assumptions'!$D$25)^'02 Oil Price Analysis'!AE$57)</f>
        <v>215943.00000000003</v>
      </c>
      <c r="AF39" s="90">
        <f>IF('01 Major Assumptions'!AF$15=0,0,$D39*$E39*'01 Major Assumptions'!AF$14*(1+'01 Major Assumptions'!$D$97+'01 Major Assumptions'!$D$99)*(1+'01 Major Assumptions'!$D$98/12)*(1+'01 Major Assumptions'!$D$25)^'02 Oil Price Analysis'!AF$57)</f>
        <v>215943.00000000003</v>
      </c>
      <c r="AG39" s="90">
        <f>IF('01 Major Assumptions'!AG$15=0,0,$D39*$E39*'01 Major Assumptions'!AG$14*(1+'01 Major Assumptions'!$D$97+'01 Major Assumptions'!$D$99)*(1+'01 Major Assumptions'!$D$98/12)*(1+'01 Major Assumptions'!$D$25)^'02 Oil Price Analysis'!AG$57)</f>
        <v>215943.00000000003</v>
      </c>
      <c r="AH39" s="90">
        <f>IF('01 Major Assumptions'!AH$15=0,0,$D39*$E39*'01 Major Assumptions'!AH$14*(1+'01 Major Assumptions'!$D$97+'01 Major Assumptions'!$D$99)*(1+'01 Major Assumptions'!$D$98/12)*(1+'01 Major Assumptions'!$D$25)^'02 Oil Price Analysis'!AH$57)</f>
        <v>215943.00000000003</v>
      </c>
      <c r="AI39" s="90">
        <f>IF('01 Major Assumptions'!AI$15=0,0,$D39*$E39*'01 Major Assumptions'!AI$14*(1+'01 Major Assumptions'!$D$97+'01 Major Assumptions'!$D$99)*(1+'01 Major Assumptions'!$D$98/12)*(1+'01 Major Assumptions'!$D$25)^'02 Oil Price Analysis'!AI$57)</f>
        <v>215943.00000000003</v>
      </c>
      <c r="AJ39" s="90">
        <f>IF('01 Major Assumptions'!AJ$15=0,0,$D39*$E39*'01 Major Assumptions'!AJ$14*(1+'01 Major Assumptions'!$D$97+'01 Major Assumptions'!$D$99)*(1+'01 Major Assumptions'!$D$98/12)*(1+'01 Major Assumptions'!$D$25)^'02 Oil Price Analysis'!AJ$57)</f>
        <v>215943.00000000003</v>
      </c>
      <c r="AK39" s="90">
        <f>IF('01 Major Assumptions'!AK$15=0,0,$D39*$E39*'01 Major Assumptions'!AK$14*(1+'01 Major Assumptions'!$D$97+'01 Major Assumptions'!$D$99)*(1+'01 Major Assumptions'!$D$98/12)*(1+'01 Major Assumptions'!$D$25)^'02 Oil Price Analysis'!AK$57)</f>
        <v>215943.00000000003</v>
      </c>
      <c r="AL39" s="90">
        <f>IF('01 Major Assumptions'!AL$15=0,0,$D39*$E39*'01 Major Assumptions'!AL$14*(1+'01 Major Assumptions'!$D$97+'01 Major Assumptions'!$D$99)*(1+'01 Major Assumptions'!$D$98/12)*(1+'01 Major Assumptions'!$D$25)^'02 Oil Price Analysis'!AL$57)</f>
        <v>215943.00000000003</v>
      </c>
      <c r="AM39" s="90">
        <f>IF('01 Major Assumptions'!AM$15=0,0,$D39*$E39*'01 Major Assumptions'!AM$14*(1+'01 Major Assumptions'!$D$97+'01 Major Assumptions'!$D$99)*(1+'01 Major Assumptions'!$D$98/12)*(1+'01 Major Assumptions'!$D$25)^'02 Oil Price Analysis'!AM$57)</f>
        <v>215943.00000000003</v>
      </c>
      <c r="AN39" s="90">
        <f>IF('01 Major Assumptions'!AN$15=0,0,$D39*$E39*'01 Major Assumptions'!AN$14*(1+'01 Major Assumptions'!$D$97+'01 Major Assumptions'!$D$99)*(1+'01 Major Assumptions'!$D$98/12)*(1+'01 Major Assumptions'!$D$25)^'02 Oil Price Analysis'!AN$57)</f>
        <v>215943.00000000003</v>
      </c>
      <c r="AO39" s="90">
        <f>IF('01 Major Assumptions'!AO$15=0,0,$D39*$E39*'01 Major Assumptions'!AO$14*(1+'01 Major Assumptions'!$D$97+'01 Major Assumptions'!$D$99)*(1+'01 Major Assumptions'!$D$98/12)*(1+'01 Major Assumptions'!$D$25)^'02 Oil Price Analysis'!AO$57)</f>
        <v>215943.00000000003</v>
      </c>
      <c r="AP39" s="90">
        <f>IF('01 Major Assumptions'!AP$15=0,0,$D39*$E39*'01 Major Assumptions'!AP$14*(1+'01 Major Assumptions'!$D$97+'01 Major Assumptions'!$D$99)*(1+'01 Major Assumptions'!$D$98/12)*(1+'01 Major Assumptions'!$D$25)^'02 Oil Price Analysis'!AP$57)</f>
        <v>215943.00000000003</v>
      </c>
      <c r="AQ39" s="90">
        <f>IF('01 Major Assumptions'!AQ$15=0,0,$D39*$E39*'01 Major Assumptions'!AQ$14*(1+'01 Major Assumptions'!$D$97+'01 Major Assumptions'!$D$99)*(1+'01 Major Assumptions'!$D$98/12)*(1+'01 Major Assumptions'!$D$25)^'02 Oil Price Analysis'!AQ$57)</f>
        <v>226740.15000000005</v>
      </c>
      <c r="AR39" s="90">
        <f>IF('01 Major Assumptions'!AR$15=0,0,$D39*$E39*'01 Major Assumptions'!AR$14*(1+'01 Major Assumptions'!$D$97+'01 Major Assumptions'!$D$99)*(1+'01 Major Assumptions'!$D$98/12)*(1+'01 Major Assumptions'!$D$25)^'02 Oil Price Analysis'!AR$57)</f>
        <v>226740.15000000005</v>
      </c>
      <c r="AS39" s="90">
        <f>IF('01 Major Assumptions'!AS$15=0,0,$D39*$E39*'01 Major Assumptions'!AS$14*(1+'01 Major Assumptions'!$D$97+'01 Major Assumptions'!$D$99)*(1+'01 Major Assumptions'!$D$98/12)*(1+'01 Major Assumptions'!$D$25)^'02 Oil Price Analysis'!AS$57)</f>
        <v>226740.15000000005</v>
      </c>
      <c r="AT39" s="90">
        <f>IF('01 Major Assumptions'!AT$15=0,0,$D39*$E39*'01 Major Assumptions'!AT$14*(1+'01 Major Assumptions'!$D$97+'01 Major Assumptions'!$D$99)*(1+'01 Major Assumptions'!$D$98/12)*(1+'01 Major Assumptions'!$D$25)^'02 Oil Price Analysis'!AT$57)</f>
        <v>226740.15000000005</v>
      </c>
      <c r="AU39" s="90">
        <f>IF('01 Major Assumptions'!AU$15=0,0,$D39*$E39*'01 Major Assumptions'!AU$14*(1+'01 Major Assumptions'!$D$97+'01 Major Assumptions'!$D$99)*(1+'01 Major Assumptions'!$D$98/12)*(1+'01 Major Assumptions'!$D$25)^'02 Oil Price Analysis'!AU$57)</f>
        <v>226740.15000000005</v>
      </c>
      <c r="AV39" s="90">
        <f>IF('01 Major Assumptions'!AV$15=0,0,$D39*$E39*'01 Major Assumptions'!AV$14*(1+'01 Major Assumptions'!$D$97+'01 Major Assumptions'!$D$99)*(1+'01 Major Assumptions'!$D$98/12)*(1+'01 Major Assumptions'!$D$25)^'02 Oil Price Analysis'!AV$57)</f>
        <v>226740.15000000005</v>
      </c>
      <c r="AW39" s="90">
        <f>IF('01 Major Assumptions'!AW$15=0,0,$D39*$E39*'01 Major Assumptions'!AW$14*(1+'01 Major Assumptions'!$D$97+'01 Major Assumptions'!$D$99)*(1+'01 Major Assumptions'!$D$98/12)*(1+'01 Major Assumptions'!$D$25)^'02 Oil Price Analysis'!AW$57)</f>
        <v>226740.15000000005</v>
      </c>
      <c r="AX39" s="90">
        <f>IF('01 Major Assumptions'!AX$15=0,0,$D39*$E39*'01 Major Assumptions'!AX$14*(1+'01 Major Assumptions'!$D$97+'01 Major Assumptions'!$D$99)*(1+'01 Major Assumptions'!$D$98/12)*(1+'01 Major Assumptions'!$D$25)^'02 Oil Price Analysis'!AX$57)</f>
        <v>226740.15000000005</v>
      </c>
      <c r="AY39" s="90">
        <f>IF('01 Major Assumptions'!AY$15=0,0,$D39*$E39*'01 Major Assumptions'!AY$14*(1+'01 Major Assumptions'!$D$97+'01 Major Assumptions'!$D$99)*(1+'01 Major Assumptions'!$D$98/12)*(1+'01 Major Assumptions'!$D$25)^'02 Oil Price Analysis'!AY$57)</f>
        <v>226740.15000000005</v>
      </c>
      <c r="AZ39" s="90">
        <f>IF('01 Major Assumptions'!AZ$15=0,0,$D39*$E39*'01 Major Assumptions'!AZ$14*(1+'01 Major Assumptions'!$D$97+'01 Major Assumptions'!$D$99)*(1+'01 Major Assumptions'!$D$98/12)*(1+'01 Major Assumptions'!$D$25)^'02 Oil Price Analysis'!AZ$57)</f>
        <v>226740.15000000005</v>
      </c>
      <c r="BA39" s="90">
        <f>IF('01 Major Assumptions'!BA$15=0,0,$D39*$E39*'01 Major Assumptions'!BA$14*(1+'01 Major Assumptions'!$D$97+'01 Major Assumptions'!$D$99)*(1+'01 Major Assumptions'!$D$98/12)*(1+'01 Major Assumptions'!$D$25)^'02 Oil Price Analysis'!BA$57)</f>
        <v>226740.15000000005</v>
      </c>
      <c r="BB39" s="90">
        <f>IF('01 Major Assumptions'!BB$15=0,0,$D39*$E39*'01 Major Assumptions'!BB$14*(1+'01 Major Assumptions'!$D$97+'01 Major Assumptions'!$D$99)*(1+'01 Major Assumptions'!$D$98/12)*(1+'01 Major Assumptions'!$D$25)^'02 Oil Price Analysis'!BB$57)</f>
        <v>226740.15000000005</v>
      </c>
      <c r="BC39" s="90">
        <f>IF('01 Major Assumptions'!BC$15=0,0,$D39*$E39*'01 Major Assumptions'!BC$14*(1+'01 Major Assumptions'!$D$97+'01 Major Assumptions'!$D$99)*(1+'01 Major Assumptions'!$D$98/12)*(1+'01 Major Assumptions'!$D$25)^'02 Oil Price Analysis'!BC$57)</f>
        <v>238077.15750000003</v>
      </c>
      <c r="BD39" s="90">
        <f>IF('01 Major Assumptions'!BD$15=0,0,$D39*$E39*'01 Major Assumptions'!BD$14*(1+'01 Major Assumptions'!$D$97+'01 Major Assumptions'!$D$99)*(1+'01 Major Assumptions'!$D$98/12)*(1+'01 Major Assumptions'!$D$25)^'02 Oil Price Analysis'!BD$57)</f>
        <v>238077.15750000003</v>
      </c>
      <c r="BE39" s="90">
        <f>IF('01 Major Assumptions'!BE$15=0,0,$D39*$E39*'01 Major Assumptions'!BE$14*(1+'01 Major Assumptions'!$D$97+'01 Major Assumptions'!$D$99)*(1+'01 Major Assumptions'!$D$98/12)*(1+'01 Major Assumptions'!$D$25)^'02 Oil Price Analysis'!BE$57)</f>
        <v>238077.15750000003</v>
      </c>
      <c r="BF39" s="90">
        <f>IF('01 Major Assumptions'!BF$15=0,0,$D39*$E39*'01 Major Assumptions'!BF$14*(1+'01 Major Assumptions'!$D$97+'01 Major Assumptions'!$D$99)*(1+'01 Major Assumptions'!$D$98/12)*(1+'01 Major Assumptions'!$D$25)^'02 Oil Price Analysis'!BF$57)</f>
        <v>238077.15750000003</v>
      </c>
      <c r="BG39" s="90">
        <f>IF('01 Major Assumptions'!BG$15=0,0,$D39*$E39*'01 Major Assumptions'!BG$14*(1+'01 Major Assumptions'!$D$97+'01 Major Assumptions'!$D$99)*(1+'01 Major Assumptions'!$D$98/12)*(1+'01 Major Assumptions'!$D$25)^'02 Oil Price Analysis'!BG$57)</f>
        <v>238077.15750000003</v>
      </c>
      <c r="BH39" s="90">
        <f>IF('01 Major Assumptions'!BH$15=0,0,$D39*$E39*'01 Major Assumptions'!BH$14*(1+'01 Major Assumptions'!$D$97+'01 Major Assumptions'!$D$99)*(1+'01 Major Assumptions'!$D$98/12)*(1+'01 Major Assumptions'!$D$25)^'02 Oil Price Analysis'!BH$57)</f>
        <v>238077.15750000003</v>
      </c>
      <c r="BI39" s="90">
        <f>IF('01 Major Assumptions'!BI$15=0,0,$D39*$E39*'01 Major Assumptions'!BI$14*(1+'01 Major Assumptions'!$D$97+'01 Major Assumptions'!$D$99)*(1+'01 Major Assumptions'!$D$98/12)*(1+'01 Major Assumptions'!$D$25)^'02 Oil Price Analysis'!BI$57)</f>
        <v>2999772.1845000004</v>
      </c>
      <c r="BJ39" s="90">
        <f>IF('01 Major Assumptions'!BJ$15=0,0,$D39*$E39*'01 Major Assumptions'!BJ$14*(1+'01 Major Assumptions'!$D$97+'01 Major Assumptions'!$D$99)*(1+'01 Major Assumptions'!$D$98/12)*(1+'01 Major Assumptions'!$D$25)^'02 Oil Price Analysis'!BJ$57)</f>
        <v>3149760.7937249998</v>
      </c>
      <c r="BK39" s="90">
        <f>IF('01 Major Assumptions'!BK$15=0,0,$D39*$E39*'01 Major Assumptions'!BK$14*(1+'01 Major Assumptions'!$D$97+'01 Major Assumptions'!$D$99)*(1+'01 Major Assumptions'!$D$98/12)*(1+'01 Major Assumptions'!$D$25)^'02 Oil Price Analysis'!BK$57)</f>
        <v>3307248.8334112507</v>
      </c>
      <c r="BL39" s="90">
        <f>IF('01 Major Assumptions'!BL$15=0,0,$D39*$E39*'01 Major Assumptions'!BL$14*(1+'01 Major Assumptions'!$D$97+'01 Major Assumptions'!$D$99)*(1+'01 Major Assumptions'!$D$98/12)*(1+'01 Major Assumptions'!$D$25)^'02 Oil Price Analysis'!BL$57)</f>
        <v>3472611.2750818129</v>
      </c>
      <c r="BM39" s="90">
        <f>IF('01 Major Assumptions'!BM$15=0,0,$D39*$E39*'01 Major Assumptions'!BM$14*(1+'01 Major Assumptions'!$D$97+'01 Major Assumptions'!$D$99)*(1+'01 Major Assumptions'!$D$98/12)*(1+'01 Major Assumptions'!$D$25)^'02 Oil Price Analysis'!BM$57)</f>
        <v>3646241.8388359034</v>
      </c>
      <c r="BN39" s="90">
        <f>IF('01 Major Assumptions'!BN$15=0,0,$D39*$E39*'01 Major Assumptions'!BN$14*(1+'01 Major Assumptions'!$D$97+'01 Major Assumptions'!$D$99)*(1+'01 Major Assumptions'!$D$98/12)*(1+'01 Major Assumptions'!$D$25)^'02 Oil Price Analysis'!BN$57)</f>
        <v>3828553.9307776988</v>
      </c>
      <c r="BO39" s="90">
        <f>IF('01 Major Assumptions'!BO$15=0,0,$D39*$E39*'01 Major Assumptions'!BO$14*(1+'01 Major Assumptions'!$D$97+'01 Major Assumptions'!$D$99)*(1+'01 Major Assumptions'!$D$98/12)*(1+'01 Major Assumptions'!$D$25)^'02 Oil Price Analysis'!BO$57)</f>
        <v>4019981.6273165839</v>
      </c>
    </row>
    <row r="40" spans="1:67">
      <c r="A40" s="11"/>
      <c r="B40" s="32" t="str">
        <f>'01 Major Assumptions'!B86</f>
        <v>Maintenance engineer</v>
      </c>
      <c r="C40" s="11"/>
      <c r="D40" s="92">
        <f>'01 Major Assumptions'!$C$86</f>
        <v>3</v>
      </c>
      <c r="E40" s="92">
        <f>'01 Major Assumptions'!$D$86</f>
        <v>55000</v>
      </c>
      <c r="F40" s="10" t="s">
        <v>13</v>
      </c>
      <c r="G40" s="90">
        <f>IF('01 Major Assumptions'!G$15=0,0,$D40*$E40*'01 Major Assumptions'!G$14*(1+'01 Major Assumptions'!$D$97+'01 Major Assumptions'!$D$99)*(1+'01 Major Assumptions'!$D$98/12)*(1+'01 Major Assumptions'!$D$25)^'02 Oil Price Analysis'!G$57)</f>
        <v>0</v>
      </c>
      <c r="H40" s="90">
        <f>IF('01 Major Assumptions'!H$15=0,0,$D40*$E40*'01 Major Assumptions'!H$14*(1+'01 Major Assumptions'!$D$97+'01 Major Assumptions'!$D$99)*(1+'01 Major Assumptions'!$D$98/12)*(1+'01 Major Assumptions'!$D$25)^'02 Oil Price Analysis'!H$57)</f>
        <v>0</v>
      </c>
      <c r="I40" s="90">
        <f>IF('01 Major Assumptions'!I$15=0,0,$D40*$E40*'01 Major Assumptions'!I$14*(1+'01 Major Assumptions'!$D$97+'01 Major Assumptions'!$D$99)*(1+'01 Major Assumptions'!$D$98/12)*(1+'01 Major Assumptions'!$D$25)^'02 Oil Price Analysis'!I$57)</f>
        <v>0</v>
      </c>
      <c r="J40" s="90">
        <f>IF('01 Major Assumptions'!J$15=0,0,$D40*$E40*'01 Major Assumptions'!J$14*(1+'01 Major Assumptions'!$D$97+'01 Major Assumptions'!$D$99)*(1+'01 Major Assumptions'!$D$98/12)*(1+'01 Major Assumptions'!$D$25)^'02 Oil Price Analysis'!J$57)</f>
        <v>0</v>
      </c>
      <c r="K40" s="90">
        <f>IF('01 Major Assumptions'!K$15=0,0,$D40*$E40*'01 Major Assumptions'!K$14*(1+'01 Major Assumptions'!$D$97+'01 Major Assumptions'!$D$99)*(1+'01 Major Assumptions'!$D$98/12)*(1+'01 Major Assumptions'!$D$25)^'02 Oil Price Analysis'!K$57)</f>
        <v>0</v>
      </c>
      <c r="L40" s="90">
        <f>IF('01 Major Assumptions'!L$15=0,0,$D40*$E40*'01 Major Assumptions'!L$14*(1+'01 Major Assumptions'!$D$97+'01 Major Assumptions'!$D$99)*(1+'01 Major Assumptions'!$D$98/12)*(1+'01 Major Assumptions'!$D$25)^'02 Oil Price Analysis'!L$57)</f>
        <v>0</v>
      </c>
      <c r="M40" s="90">
        <f>IF('01 Major Assumptions'!M$15=0,0,$D40*$E40*'01 Major Assumptions'!M$14*(1+'01 Major Assumptions'!$D$97+'01 Major Assumptions'!$D$99)*(1+'01 Major Assumptions'!$D$98/12)*(1+'01 Major Assumptions'!$D$25)^'02 Oil Price Analysis'!M$57)</f>
        <v>0</v>
      </c>
      <c r="N40" s="90">
        <f>IF('01 Major Assumptions'!N$15=0,0,$D40*$E40*'01 Major Assumptions'!N$14*(1+'01 Major Assumptions'!$D$97+'01 Major Assumptions'!$D$99)*(1+'01 Major Assumptions'!$D$98/12)*(1+'01 Major Assumptions'!$D$25)^'02 Oil Price Analysis'!N$57)</f>
        <v>0</v>
      </c>
      <c r="O40" s="90">
        <f>IF('01 Major Assumptions'!O$15=0,0,$D40*$E40*'01 Major Assumptions'!O$14*(1+'01 Major Assumptions'!$D$97+'01 Major Assumptions'!$D$99)*(1+'01 Major Assumptions'!$D$98/12)*(1+'01 Major Assumptions'!$D$25)^'02 Oil Price Analysis'!O$57)</f>
        <v>0</v>
      </c>
      <c r="P40" s="90">
        <f>IF('01 Major Assumptions'!P$15=0,0,$D40*$E40*'01 Major Assumptions'!P$14*(1+'01 Major Assumptions'!$D$97+'01 Major Assumptions'!$D$99)*(1+'01 Major Assumptions'!$D$98/12)*(1+'01 Major Assumptions'!$D$25)^'02 Oil Price Analysis'!P$57)</f>
        <v>0</v>
      </c>
      <c r="Q40" s="90">
        <f>IF('01 Major Assumptions'!Q$15=0,0,$D40*$E40*'01 Major Assumptions'!Q$14*(1+'01 Major Assumptions'!$D$97+'01 Major Assumptions'!$D$99)*(1+'01 Major Assumptions'!$D$98/12)*(1+'01 Major Assumptions'!$D$25)^'02 Oil Price Analysis'!Q$57)</f>
        <v>0</v>
      </c>
      <c r="R40" s="90">
        <f>IF('01 Major Assumptions'!R$15=0,0,$D40*$E40*'01 Major Assumptions'!R$14*(1+'01 Major Assumptions'!$D$97+'01 Major Assumptions'!$D$99)*(1+'01 Major Assumptions'!$D$98/12)*(1+'01 Major Assumptions'!$D$25)^'02 Oil Price Analysis'!R$57)</f>
        <v>0</v>
      </c>
      <c r="S40" s="90">
        <f>IF('01 Major Assumptions'!S$15=0,0,$D40*$E40*'01 Major Assumptions'!S$14*(1+'01 Major Assumptions'!$D$97+'01 Major Assumptions'!$D$99)*(1+'01 Major Assumptions'!$D$98/12)*(1+'01 Major Assumptions'!$D$25)^'02 Oil Price Analysis'!S$57)</f>
        <v>0</v>
      </c>
      <c r="T40" s="90">
        <f>IF('01 Major Assumptions'!T$15=0,0,$D40*$E40*'01 Major Assumptions'!T$14*(1+'01 Major Assumptions'!$D$97+'01 Major Assumptions'!$D$99)*(1+'01 Major Assumptions'!$D$98/12)*(1+'01 Major Assumptions'!$D$25)^'02 Oil Price Analysis'!T$57)</f>
        <v>0</v>
      </c>
      <c r="U40" s="90">
        <f>IF('01 Major Assumptions'!U$15=0,0,$D40*$E40*'01 Major Assumptions'!U$14*(1+'01 Major Assumptions'!$D$97+'01 Major Assumptions'!$D$99)*(1+'01 Major Assumptions'!$D$98/12)*(1+'01 Major Assumptions'!$D$25)^'02 Oil Price Analysis'!U$57)</f>
        <v>0</v>
      </c>
      <c r="V40" s="90">
        <f>IF('01 Major Assumptions'!V$15=0,0,$D40*$E40*'01 Major Assumptions'!V$14*(1+'01 Major Assumptions'!$D$97+'01 Major Assumptions'!$D$99)*(1+'01 Major Assumptions'!$D$98/12)*(1+'01 Major Assumptions'!$D$25)^'02 Oil Price Analysis'!V$57)</f>
        <v>0</v>
      </c>
      <c r="W40" s="90">
        <f>IF('01 Major Assumptions'!W$15=0,0,$D40*$E40*'01 Major Assumptions'!W$14*(1+'01 Major Assumptions'!$D$97+'01 Major Assumptions'!$D$99)*(1+'01 Major Assumptions'!$D$98/12)*(1+'01 Major Assumptions'!$D$25)^'02 Oil Price Analysis'!W$57)</f>
        <v>0</v>
      </c>
      <c r="X40" s="90">
        <f>IF('01 Major Assumptions'!X$15=0,0,$D40*$E40*'01 Major Assumptions'!X$14*(1+'01 Major Assumptions'!$D$97+'01 Major Assumptions'!$D$99)*(1+'01 Major Assumptions'!$D$98/12)*(1+'01 Major Assumptions'!$D$25)^'02 Oil Price Analysis'!X$57)</f>
        <v>0</v>
      </c>
      <c r="Y40" s="90">
        <f>IF('01 Major Assumptions'!Y$15=0,0,$D40*$E40*'01 Major Assumptions'!Y$14*(1+'01 Major Assumptions'!$D$97+'01 Major Assumptions'!$D$99)*(1+'01 Major Assumptions'!$D$98/12)*(1+'01 Major Assumptions'!$D$25)^'02 Oil Price Analysis'!Y$57)</f>
        <v>0</v>
      </c>
      <c r="Z40" s="90">
        <f>IF('01 Major Assumptions'!Z$15=0,0,$D40*$E40*'01 Major Assumptions'!Z$14*(1+'01 Major Assumptions'!$D$97+'01 Major Assumptions'!$D$99)*(1+'01 Major Assumptions'!$D$98/12)*(1+'01 Major Assumptions'!$D$25)^'02 Oil Price Analysis'!Z$57)</f>
        <v>0</v>
      </c>
      <c r="AA40" s="90">
        <f>IF('01 Major Assumptions'!AA$15=0,0,$D40*$E40*'01 Major Assumptions'!AA$14*(1+'01 Major Assumptions'!$D$97+'01 Major Assumptions'!$D$99)*(1+'01 Major Assumptions'!$D$98/12)*(1+'01 Major Assumptions'!$D$25)^'02 Oil Price Analysis'!AA$57)</f>
        <v>0</v>
      </c>
      <c r="AB40" s="90">
        <f>IF('01 Major Assumptions'!AB$15=0,0,$D40*$E40*'01 Major Assumptions'!AB$14*(1+'01 Major Assumptions'!$D$97+'01 Major Assumptions'!$D$99)*(1+'01 Major Assumptions'!$D$98/12)*(1+'01 Major Assumptions'!$D$25)^'02 Oil Price Analysis'!AB$57)</f>
        <v>212086.87500000003</v>
      </c>
      <c r="AC40" s="90">
        <f>IF('01 Major Assumptions'!AC$15=0,0,$D40*$E40*'01 Major Assumptions'!AC$14*(1+'01 Major Assumptions'!$D$97+'01 Major Assumptions'!$D$99)*(1+'01 Major Assumptions'!$D$98/12)*(1+'01 Major Assumptions'!$D$25)^'02 Oil Price Analysis'!AC$57)</f>
        <v>212086.87500000003</v>
      </c>
      <c r="AD40" s="90">
        <f>IF('01 Major Assumptions'!AD$15=0,0,$D40*$E40*'01 Major Assumptions'!AD$14*(1+'01 Major Assumptions'!$D$97+'01 Major Assumptions'!$D$99)*(1+'01 Major Assumptions'!$D$98/12)*(1+'01 Major Assumptions'!$D$25)^'02 Oil Price Analysis'!AD$57)</f>
        <v>212086.87500000003</v>
      </c>
      <c r="AE40" s="90">
        <f>IF('01 Major Assumptions'!AE$15=0,0,$D40*$E40*'01 Major Assumptions'!AE$14*(1+'01 Major Assumptions'!$D$97+'01 Major Assumptions'!$D$99)*(1+'01 Major Assumptions'!$D$98/12)*(1+'01 Major Assumptions'!$D$25)^'02 Oil Price Analysis'!AE$57)</f>
        <v>222691.21875000003</v>
      </c>
      <c r="AF40" s="90">
        <f>IF('01 Major Assumptions'!AF$15=0,0,$D40*$E40*'01 Major Assumptions'!AF$14*(1+'01 Major Assumptions'!$D$97+'01 Major Assumptions'!$D$99)*(1+'01 Major Assumptions'!$D$98/12)*(1+'01 Major Assumptions'!$D$25)^'02 Oil Price Analysis'!AF$57)</f>
        <v>222691.21875000003</v>
      </c>
      <c r="AG40" s="90">
        <f>IF('01 Major Assumptions'!AG$15=0,0,$D40*$E40*'01 Major Assumptions'!AG$14*(1+'01 Major Assumptions'!$D$97+'01 Major Assumptions'!$D$99)*(1+'01 Major Assumptions'!$D$98/12)*(1+'01 Major Assumptions'!$D$25)^'02 Oil Price Analysis'!AG$57)</f>
        <v>222691.21875000003</v>
      </c>
      <c r="AH40" s="90">
        <f>IF('01 Major Assumptions'!AH$15=0,0,$D40*$E40*'01 Major Assumptions'!AH$14*(1+'01 Major Assumptions'!$D$97+'01 Major Assumptions'!$D$99)*(1+'01 Major Assumptions'!$D$98/12)*(1+'01 Major Assumptions'!$D$25)^'02 Oil Price Analysis'!AH$57)</f>
        <v>222691.21875000003</v>
      </c>
      <c r="AI40" s="90">
        <f>IF('01 Major Assumptions'!AI$15=0,0,$D40*$E40*'01 Major Assumptions'!AI$14*(1+'01 Major Assumptions'!$D$97+'01 Major Assumptions'!$D$99)*(1+'01 Major Assumptions'!$D$98/12)*(1+'01 Major Assumptions'!$D$25)^'02 Oil Price Analysis'!AI$57)</f>
        <v>222691.21875000003</v>
      </c>
      <c r="AJ40" s="90">
        <f>IF('01 Major Assumptions'!AJ$15=0,0,$D40*$E40*'01 Major Assumptions'!AJ$14*(1+'01 Major Assumptions'!$D$97+'01 Major Assumptions'!$D$99)*(1+'01 Major Assumptions'!$D$98/12)*(1+'01 Major Assumptions'!$D$25)^'02 Oil Price Analysis'!AJ$57)</f>
        <v>222691.21875000003</v>
      </c>
      <c r="AK40" s="90">
        <f>IF('01 Major Assumptions'!AK$15=0,0,$D40*$E40*'01 Major Assumptions'!AK$14*(1+'01 Major Assumptions'!$D$97+'01 Major Assumptions'!$D$99)*(1+'01 Major Assumptions'!$D$98/12)*(1+'01 Major Assumptions'!$D$25)^'02 Oil Price Analysis'!AK$57)</f>
        <v>222691.21875000003</v>
      </c>
      <c r="AL40" s="90">
        <f>IF('01 Major Assumptions'!AL$15=0,0,$D40*$E40*'01 Major Assumptions'!AL$14*(1+'01 Major Assumptions'!$D$97+'01 Major Assumptions'!$D$99)*(1+'01 Major Assumptions'!$D$98/12)*(1+'01 Major Assumptions'!$D$25)^'02 Oil Price Analysis'!AL$57)</f>
        <v>222691.21875000003</v>
      </c>
      <c r="AM40" s="90">
        <f>IF('01 Major Assumptions'!AM$15=0,0,$D40*$E40*'01 Major Assumptions'!AM$14*(1+'01 Major Assumptions'!$D$97+'01 Major Assumptions'!$D$99)*(1+'01 Major Assumptions'!$D$98/12)*(1+'01 Major Assumptions'!$D$25)^'02 Oil Price Analysis'!AM$57)</f>
        <v>222691.21875000003</v>
      </c>
      <c r="AN40" s="90">
        <f>IF('01 Major Assumptions'!AN$15=0,0,$D40*$E40*'01 Major Assumptions'!AN$14*(1+'01 Major Assumptions'!$D$97+'01 Major Assumptions'!$D$99)*(1+'01 Major Assumptions'!$D$98/12)*(1+'01 Major Assumptions'!$D$25)^'02 Oil Price Analysis'!AN$57)</f>
        <v>222691.21875000003</v>
      </c>
      <c r="AO40" s="90">
        <f>IF('01 Major Assumptions'!AO$15=0,0,$D40*$E40*'01 Major Assumptions'!AO$14*(1+'01 Major Assumptions'!$D$97+'01 Major Assumptions'!$D$99)*(1+'01 Major Assumptions'!$D$98/12)*(1+'01 Major Assumptions'!$D$25)^'02 Oil Price Analysis'!AO$57)</f>
        <v>222691.21875000003</v>
      </c>
      <c r="AP40" s="90">
        <f>IF('01 Major Assumptions'!AP$15=0,0,$D40*$E40*'01 Major Assumptions'!AP$14*(1+'01 Major Assumptions'!$D$97+'01 Major Assumptions'!$D$99)*(1+'01 Major Assumptions'!$D$98/12)*(1+'01 Major Assumptions'!$D$25)^'02 Oil Price Analysis'!AP$57)</f>
        <v>222691.21875000003</v>
      </c>
      <c r="AQ40" s="90">
        <f>IF('01 Major Assumptions'!AQ$15=0,0,$D40*$E40*'01 Major Assumptions'!AQ$14*(1+'01 Major Assumptions'!$D$97+'01 Major Assumptions'!$D$99)*(1+'01 Major Assumptions'!$D$98/12)*(1+'01 Major Assumptions'!$D$25)^'02 Oil Price Analysis'!AQ$57)</f>
        <v>233825.77968750006</v>
      </c>
      <c r="AR40" s="90">
        <f>IF('01 Major Assumptions'!AR$15=0,0,$D40*$E40*'01 Major Assumptions'!AR$14*(1+'01 Major Assumptions'!$D$97+'01 Major Assumptions'!$D$99)*(1+'01 Major Assumptions'!$D$98/12)*(1+'01 Major Assumptions'!$D$25)^'02 Oil Price Analysis'!AR$57)</f>
        <v>233825.77968750006</v>
      </c>
      <c r="AS40" s="90">
        <f>IF('01 Major Assumptions'!AS$15=0,0,$D40*$E40*'01 Major Assumptions'!AS$14*(1+'01 Major Assumptions'!$D$97+'01 Major Assumptions'!$D$99)*(1+'01 Major Assumptions'!$D$98/12)*(1+'01 Major Assumptions'!$D$25)^'02 Oil Price Analysis'!AS$57)</f>
        <v>233825.77968750006</v>
      </c>
      <c r="AT40" s="90">
        <f>IF('01 Major Assumptions'!AT$15=0,0,$D40*$E40*'01 Major Assumptions'!AT$14*(1+'01 Major Assumptions'!$D$97+'01 Major Assumptions'!$D$99)*(1+'01 Major Assumptions'!$D$98/12)*(1+'01 Major Assumptions'!$D$25)^'02 Oil Price Analysis'!AT$57)</f>
        <v>233825.77968750006</v>
      </c>
      <c r="AU40" s="90">
        <f>IF('01 Major Assumptions'!AU$15=0,0,$D40*$E40*'01 Major Assumptions'!AU$14*(1+'01 Major Assumptions'!$D$97+'01 Major Assumptions'!$D$99)*(1+'01 Major Assumptions'!$D$98/12)*(1+'01 Major Assumptions'!$D$25)^'02 Oil Price Analysis'!AU$57)</f>
        <v>233825.77968750006</v>
      </c>
      <c r="AV40" s="90">
        <f>IF('01 Major Assumptions'!AV$15=0,0,$D40*$E40*'01 Major Assumptions'!AV$14*(1+'01 Major Assumptions'!$D$97+'01 Major Assumptions'!$D$99)*(1+'01 Major Assumptions'!$D$98/12)*(1+'01 Major Assumptions'!$D$25)^'02 Oil Price Analysis'!AV$57)</f>
        <v>233825.77968750006</v>
      </c>
      <c r="AW40" s="90">
        <f>IF('01 Major Assumptions'!AW$15=0,0,$D40*$E40*'01 Major Assumptions'!AW$14*(1+'01 Major Assumptions'!$D$97+'01 Major Assumptions'!$D$99)*(1+'01 Major Assumptions'!$D$98/12)*(1+'01 Major Assumptions'!$D$25)^'02 Oil Price Analysis'!AW$57)</f>
        <v>233825.77968750006</v>
      </c>
      <c r="AX40" s="90">
        <f>IF('01 Major Assumptions'!AX$15=0,0,$D40*$E40*'01 Major Assumptions'!AX$14*(1+'01 Major Assumptions'!$D$97+'01 Major Assumptions'!$D$99)*(1+'01 Major Assumptions'!$D$98/12)*(1+'01 Major Assumptions'!$D$25)^'02 Oil Price Analysis'!AX$57)</f>
        <v>233825.77968750006</v>
      </c>
      <c r="AY40" s="90">
        <f>IF('01 Major Assumptions'!AY$15=0,0,$D40*$E40*'01 Major Assumptions'!AY$14*(1+'01 Major Assumptions'!$D$97+'01 Major Assumptions'!$D$99)*(1+'01 Major Assumptions'!$D$98/12)*(1+'01 Major Assumptions'!$D$25)^'02 Oil Price Analysis'!AY$57)</f>
        <v>233825.77968750006</v>
      </c>
      <c r="AZ40" s="90">
        <f>IF('01 Major Assumptions'!AZ$15=0,0,$D40*$E40*'01 Major Assumptions'!AZ$14*(1+'01 Major Assumptions'!$D$97+'01 Major Assumptions'!$D$99)*(1+'01 Major Assumptions'!$D$98/12)*(1+'01 Major Assumptions'!$D$25)^'02 Oil Price Analysis'!AZ$57)</f>
        <v>233825.77968750006</v>
      </c>
      <c r="BA40" s="90">
        <f>IF('01 Major Assumptions'!BA$15=0,0,$D40*$E40*'01 Major Assumptions'!BA$14*(1+'01 Major Assumptions'!$D$97+'01 Major Assumptions'!$D$99)*(1+'01 Major Assumptions'!$D$98/12)*(1+'01 Major Assumptions'!$D$25)^'02 Oil Price Analysis'!BA$57)</f>
        <v>233825.77968750006</v>
      </c>
      <c r="BB40" s="90">
        <f>IF('01 Major Assumptions'!BB$15=0,0,$D40*$E40*'01 Major Assumptions'!BB$14*(1+'01 Major Assumptions'!$D$97+'01 Major Assumptions'!$D$99)*(1+'01 Major Assumptions'!$D$98/12)*(1+'01 Major Assumptions'!$D$25)^'02 Oil Price Analysis'!BB$57)</f>
        <v>233825.77968750006</v>
      </c>
      <c r="BC40" s="90">
        <f>IF('01 Major Assumptions'!BC$15=0,0,$D40*$E40*'01 Major Assumptions'!BC$14*(1+'01 Major Assumptions'!$D$97+'01 Major Assumptions'!$D$99)*(1+'01 Major Assumptions'!$D$98/12)*(1+'01 Major Assumptions'!$D$25)^'02 Oil Price Analysis'!BC$57)</f>
        <v>245517.06867187505</v>
      </c>
      <c r="BD40" s="90">
        <f>IF('01 Major Assumptions'!BD$15=0,0,$D40*$E40*'01 Major Assumptions'!BD$14*(1+'01 Major Assumptions'!$D$97+'01 Major Assumptions'!$D$99)*(1+'01 Major Assumptions'!$D$98/12)*(1+'01 Major Assumptions'!$D$25)^'02 Oil Price Analysis'!BD$57)</f>
        <v>245517.06867187505</v>
      </c>
      <c r="BE40" s="90">
        <f>IF('01 Major Assumptions'!BE$15=0,0,$D40*$E40*'01 Major Assumptions'!BE$14*(1+'01 Major Assumptions'!$D$97+'01 Major Assumptions'!$D$99)*(1+'01 Major Assumptions'!$D$98/12)*(1+'01 Major Assumptions'!$D$25)^'02 Oil Price Analysis'!BE$57)</f>
        <v>245517.06867187505</v>
      </c>
      <c r="BF40" s="90">
        <f>IF('01 Major Assumptions'!BF$15=0,0,$D40*$E40*'01 Major Assumptions'!BF$14*(1+'01 Major Assumptions'!$D$97+'01 Major Assumptions'!$D$99)*(1+'01 Major Assumptions'!$D$98/12)*(1+'01 Major Assumptions'!$D$25)^'02 Oil Price Analysis'!BF$57)</f>
        <v>245517.06867187505</v>
      </c>
      <c r="BG40" s="90">
        <f>IF('01 Major Assumptions'!BG$15=0,0,$D40*$E40*'01 Major Assumptions'!BG$14*(1+'01 Major Assumptions'!$D$97+'01 Major Assumptions'!$D$99)*(1+'01 Major Assumptions'!$D$98/12)*(1+'01 Major Assumptions'!$D$25)^'02 Oil Price Analysis'!BG$57)</f>
        <v>245517.06867187505</v>
      </c>
      <c r="BH40" s="90">
        <f>IF('01 Major Assumptions'!BH$15=0,0,$D40*$E40*'01 Major Assumptions'!BH$14*(1+'01 Major Assumptions'!$D$97+'01 Major Assumptions'!$D$99)*(1+'01 Major Assumptions'!$D$98/12)*(1+'01 Major Assumptions'!$D$25)^'02 Oil Price Analysis'!BH$57)</f>
        <v>245517.06867187505</v>
      </c>
      <c r="BI40" s="90">
        <f>IF('01 Major Assumptions'!BI$15=0,0,$D40*$E40*'01 Major Assumptions'!BI$14*(1+'01 Major Assumptions'!$D$97+'01 Major Assumptions'!$D$99)*(1+'01 Major Assumptions'!$D$98/12)*(1+'01 Major Assumptions'!$D$25)^'02 Oil Price Analysis'!BI$57)</f>
        <v>3093515.0652656252</v>
      </c>
      <c r="BJ40" s="90">
        <f>IF('01 Major Assumptions'!BJ$15=0,0,$D40*$E40*'01 Major Assumptions'!BJ$14*(1+'01 Major Assumptions'!$D$97+'01 Major Assumptions'!$D$99)*(1+'01 Major Assumptions'!$D$98/12)*(1+'01 Major Assumptions'!$D$25)^'02 Oil Price Analysis'!BJ$57)</f>
        <v>3248190.818528906</v>
      </c>
      <c r="BK40" s="90">
        <f>IF('01 Major Assumptions'!BK$15=0,0,$D40*$E40*'01 Major Assumptions'!BK$14*(1+'01 Major Assumptions'!$D$97+'01 Major Assumptions'!$D$99)*(1+'01 Major Assumptions'!$D$98/12)*(1+'01 Major Assumptions'!$D$25)^'02 Oil Price Analysis'!BK$57)</f>
        <v>3410600.3594553522</v>
      </c>
      <c r="BL40" s="90">
        <f>IF('01 Major Assumptions'!BL$15=0,0,$D40*$E40*'01 Major Assumptions'!BL$14*(1+'01 Major Assumptions'!$D$97+'01 Major Assumptions'!$D$99)*(1+'01 Major Assumptions'!$D$98/12)*(1+'01 Major Assumptions'!$D$25)^'02 Oil Price Analysis'!BL$57)</f>
        <v>3581130.3774281195</v>
      </c>
      <c r="BM40" s="90">
        <f>IF('01 Major Assumptions'!BM$15=0,0,$D40*$E40*'01 Major Assumptions'!BM$14*(1+'01 Major Assumptions'!$D$97+'01 Major Assumptions'!$D$99)*(1+'01 Major Assumptions'!$D$98/12)*(1+'01 Major Assumptions'!$D$25)^'02 Oil Price Analysis'!BM$57)</f>
        <v>3760186.8962995256</v>
      </c>
      <c r="BN40" s="90">
        <f>IF('01 Major Assumptions'!BN$15=0,0,$D40*$E40*'01 Major Assumptions'!BN$14*(1+'01 Major Assumptions'!$D$97+'01 Major Assumptions'!$D$99)*(1+'01 Major Assumptions'!$D$98/12)*(1+'01 Major Assumptions'!$D$25)^'02 Oil Price Analysis'!BN$57)</f>
        <v>3948196.2411145018</v>
      </c>
      <c r="BO40" s="90">
        <f>IF('01 Major Assumptions'!BO$15=0,0,$D40*$E40*'01 Major Assumptions'!BO$14*(1+'01 Major Assumptions'!$D$97+'01 Major Assumptions'!$D$99)*(1+'01 Major Assumptions'!$D$98/12)*(1+'01 Major Assumptions'!$D$25)^'02 Oil Price Analysis'!BO$57)</f>
        <v>4145606.053170227</v>
      </c>
    </row>
    <row r="41" spans="1:67">
      <c r="A41" s="11"/>
      <c r="B41" s="32" t="str">
        <f>'01 Major Assumptions'!B87</f>
        <v>Maintenance technician</v>
      </c>
      <c r="C41" s="11"/>
      <c r="D41" s="92">
        <f>'01 Major Assumptions'!$C$87</f>
        <v>12</v>
      </c>
      <c r="E41" s="92">
        <f>'01 Major Assumptions'!$D$87</f>
        <v>25000</v>
      </c>
      <c r="F41" s="10" t="s">
        <v>13</v>
      </c>
      <c r="G41" s="90">
        <f>IF('01 Major Assumptions'!G$15=0,0,$D41*$E41*'01 Major Assumptions'!G$14*(1+'01 Major Assumptions'!$D$97+'01 Major Assumptions'!$D$99)*(1+'01 Major Assumptions'!$D$98/12)*(1+'01 Major Assumptions'!$D$25)^'02 Oil Price Analysis'!G$57)</f>
        <v>0</v>
      </c>
      <c r="H41" s="90">
        <f>IF('01 Major Assumptions'!H$15=0,0,$D41*$E41*'01 Major Assumptions'!H$14*(1+'01 Major Assumptions'!$D$97+'01 Major Assumptions'!$D$99)*(1+'01 Major Assumptions'!$D$98/12)*(1+'01 Major Assumptions'!$D$25)^'02 Oil Price Analysis'!H$57)</f>
        <v>0</v>
      </c>
      <c r="I41" s="90">
        <f>IF('01 Major Assumptions'!I$15=0,0,$D41*$E41*'01 Major Assumptions'!I$14*(1+'01 Major Assumptions'!$D$97+'01 Major Assumptions'!$D$99)*(1+'01 Major Assumptions'!$D$98/12)*(1+'01 Major Assumptions'!$D$25)^'02 Oil Price Analysis'!I$57)</f>
        <v>0</v>
      </c>
      <c r="J41" s="90">
        <f>IF('01 Major Assumptions'!J$15=0,0,$D41*$E41*'01 Major Assumptions'!J$14*(1+'01 Major Assumptions'!$D$97+'01 Major Assumptions'!$D$99)*(1+'01 Major Assumptions'!$D$98/12)*(1+'01 Major Assumptions'!$D$25)^'02 Oil Price Analysis'!J$57)</f>
        <v>0</v>
      </c>
      <c r="K41" s="90">
        <f>IF('01 Major Assumptions'!K$15=0,0,$D41*$E41*'01 Major Assumptions'!K$14*(1+'01 Major Assumptions'!$D$97+'01 Major Assumptions'!$D$99)*(1+'01 Major Assumptions'!$D$98/12)*(1+'01 Major Assumptions'!$D$25)^'02 Oil Price Analysis'!K$57)</f>
        <v>0</v>
      </c>
      <c r="L41" s="90">
        <f>IF('01 Major Assumptions'!L$15=0,0,$D41*$E41*'01 Major Assumptions'!L$14*(1+'01 Major Assumptions'!$D$97+'01 Major Assumptions'!$D$99)*(1+'01 Major Assumptions'!$D$98/12)*(1+'01 Major Assumptions'!$D$25)^'02 Oil Price Analysis'!L$57)</f>
        <v>0</v>
      </c>
      <c r="M41" s="90">
        <f>IF('01 Major Assumptions'!M$15=0,0,$D41*$E41*'01 Major Assumptions'!M$14*(1+'01 Major Assumptions'!$D$97+'01 Major Assumptions'!$D$99)*(1+'01 Major Assumptions'!$D$98/12)*(1+'01 Major Assumptions'!$D$25)^'02 Oil Price Analysis'!M$57)</f>
        <v>0</v>
      </c>
      <c r="N41" s="90">
        <f>IF('01 Major Assumptions'!N$15=0,0,$D41*$E41*'01 Major Assumptions'!N$14*(1+'01 Major Assumptions'!$D$97+'01 Major Assumptions'!$D$99)*(1+'01 Major Assumptions'!$D$98/12)*(1+'01 Major Assumptions'!$D$25)^'02 Oil Price Analysis'!N$57)</f>
        <v>0</v>
      </c>
      <c r="O41" s="90">
        <f>IF('01 Major Assumptions'!O$15=0,0,$D41*$E41*'01 Major Assumptions'!O$14*(1+'01 Major Assumptions'!$D$97+'01 Major Assumptions'!$D$99)*(1+'01 Major Assumptions'!$D$98/12)*(1+'01 Major Assumptions'!$D$25)^'02 Oil Price Analysis'!O$57)</f>
        <v>0</v>
      </c>
      <c r="P41" s="90">
        <f>IF('01 Major Assumptions'!P$15=0,0,$D41*$E41*'01 Major Assumptions'!P$14*(1+'01 Major Assumptions'!$D$97+'01 Major Assumptions'!$D$99)*(1+'01 Major Assumptions'!$D$98/12)*(1+'01 Major Assumptions'!$D$25)^'02 Oil Price Analysis'!P$57)</f>
        <v>0</v>
      </c>
      <c r="Q41" s="90">
        <f>IF('01 Major Assumptions'!Q$15=0,0,$D41*$E41*'01 Major Assumptions'!Q$14*(1+'01 Major Assumptions'!$D$97+'01 Major Assumptions'!$D$99)*(1+'01 Major Assumptions'!$D$98/12)*(1+'01 Major Assumptions'!$D$25)^'02 Oil Price Analysis'!Q$57)</f>
        <v>0</v>
      </c>
      <c r="R41" s="90">
        <f>IF('01 Major Assumptions'!R$15=0,0,$D41*$E41*'01 Major Assumptions'!R$14*(1+'01 Major Assumptions'!$D$97+'01 Major Assumptions'!$D$99)*(1+'01 Major Assumptions'!$D$98/12)*(1+'01 Major Assumptions'!$D$25)^'02 Oil Price Analysis'!R$57)</f>
        <v>0</v>
      </c>
      <c r="S41" s="90">
        <f>IF('01 Major Assumptions'!S$15=0,0,$D41*$E41*'01 Major Assumptions'!S$14*(1+'01 Major Assumptions'!$D$97+'01 Major Assumptions'!$D$99)*(1+'01 Major Assumptions'!$D$98/12)*(1+'01 Major Assumptions'!$D$25)^'02 Oil Price Analysis'!S$57)</f>
        <v>0</v>
      </c>
      <c r="T41" s="90">
        <f>IF('01 Major Assumptions'!T$15=0,0,$D41*$E41*'01 Major Assumptions'!T$14*(1+'01 Major Assumptions'!$D$97+'01 Major Assumptions'!$D$99)*(1+'01 Major Assumptions'!$D$98/12)*(1+'01 Major Assumptions'!$D$25)^'02 Oil Price Analysis'!T$57)</f>
        <v>0</v>
      </c>
      <c r="U41" s="90">
        <f>IF('01 Major Assumptions'!U$15=0,0,$D41*$E41*'01 Major Assumptions'!U$14*(1+'01 Major Assumptions'!$D$97+'01 Major Assumptions'!$D$99)*(1+'01 Major Assumptions'!$D$98/12)*(1+'01 Major Assumptions'!$D$25)^'02 Oil Price Analysis'!U$57)</f>
        <v>0</v>
      </c>
      <c r="V41" s="90">
        <f>IF('01 Major Assumptions'!V$15=0,0,$D41*$E41*'01 Major Assumptions'!V$14*(1+'01 Major Assumptions'!$D$97+'01 Major Assumptions'!$D$99)*(1+'01 Major Assumptions'!$D$98/12)*(1+'01 Major Assumptions'!$D$25)^'02 Oil Price Analysis'!V$57)</f>
        <v>0</v>
      </c>
      <c r="W41" s="90">
        <f>IF('01 Major Assumptions'!W$15=0,0,$D41*$E41*'01 Major Assumptions'!W$14*(1+'01 Major Assumptions'!$D$97+'01 Major Assumptions'!$D$99)*(1+'01 Major Assumptions'!$D$98/12)*(1+'01 Major Assumptions'!$D$25)^'02 Oil Price Analysis'!W$57)</f>
        <v>0</v>
      </c>
      <c r="X41" s="90">
        <f>IF('01 Major Assumptions'!X$15=0,0,$D41*$E41*'01 Major Assumptions'!X$14*(1+'01 Major Assumptions'!$D$97+'01 Major Assumptions'!$D$99)*(1+'01 Major Assumptions'!$D$98/12)*(1+'01 Major Assumptions'!$D$25)^'02 Oil Price Analysis'!X$57)</f>
        <v>0</v>
      </c>
      <c r="Y41" s="90">
        <f>IF('01 Major Assumptions'!Y$15=0,0,$D41*$E41*'01 Major Assumptions'!Y$14*(1+'01 Major Assumptions'!$D$97+'01 Major Assumptions'!$D$99)*(1+'01 Major Assumptions'!$D$98/12)*(1+'01 Major Assumptions'!$D$25)^'02 Oil Price Analysis'!Y$57)</f>
        <v>0</v>
      </c>
      <c r="Z41" s="90">
        <f>IF('01 Major Assumptions'!Z$15=0,0,$D41*$E41*'01 Major Assumptions'!Z$14*(1+'01 Major Assumptions'!$D$97+'01 Major Assumptions'!$D$99)*(1+'01 Major Assumptions'!$D$98/12)*(1+'01 Major Assumptions'!$D$25)^'02 Oil Price Analysis'!Z$57)</f>
        <v>0</v>
      </c>
      <c r="AA41" s="90">
        <f>IF('01 Major Assumptions'!AA$15=0,0,$D41*$E41*'01 Major Assumptions'!AA$14*(1+'01 Major Assumptions'!$D$97+'01 Major Assumptions'!$D$99)*(1+'01 Major Assumptions'!$D$98/12)*(1+'01 Major Assumptions'!$D$25)^'02 Oil Price Analysis'!AA$57)</f>
        <v>0</v>
      </c>
      <c r="AB41" s="90">
        <f>IF('01 Major Assumptions'!AB$15=0,0,$D41*$E41*'01 Major Assumptions'!AB$14*(1+'01 Major Assumptions'!$D$97+'01 Major Assumptions'!$D$99)*(1+'01 Major Assumptions'!$D$98/12)*(1+'01 Major Assumptions'!$D$25)^'02 Oil Price Analysis'!AB$57)</f>
        <v>385612.50000000006</v>
      </c>
      <c r="AC41" s="90">
        <f>IF('01 Major Assumptions'!AC$15=0,0,$D41*$E41*'01 Major Assumptions'!AC$14*(1+'01 Major Assumptions'!$D$97+'01 Major Assumptions'!$D$99)*(1+'01 Major Assumptions'!$D$98/12)*(1+'01 Major Assumptions'!$D$25)^'02 Oil Price Analysis'!AC$57)</f>
        <v>385612.50000000006</v>
      </c>
      <c r="AD41" s="90">
        <f>IF('01 Major Assumptions'!AD$15=0,0,$D41*$E41*'01 Major Assumptions'!AD$14*(1+'01 Major Assumptions'!$D$97+'01 Major Assumptions'!$D$99)*(1+'01 Major Assumptions'!$D$98/12)*(1+'01 Major Assumptions'!$D$25)^'02 Oil Price Analysis'!AD$57)</f>
        <v>385612.50000000006</v>
      </c>
      <c r="AE41" s="90">
        <f>IF('01 Major Assumptions'!AE$15=0,0,$D41*$E41*'01 Major Assumptions'!AE$14*(1+'01 Major Assumptions'!$D$97+'01 Major Assumptions'!$D$99)*(1+'01 Major Assumptions'!$D$98/12)*(1+'01 Major Assumptions'!$D$25)^'02 Oil Price Analysis'!AE$57)</f>
        <v>404893.12500000006</v>
      </c>
      <c r="AF41" s="90">
        <f>IF('01 Major Assumptions'!AF$15=0,0,$D41*$E41*'01 Major Assumptions'!AF$14*(1+'01 Major Assumptions'!$D$97+'01 Major Assumptions'!$D$99)*(1+'01 Major Assumptions'!$D$98/12)*(1+'01 Major Assumptions'!$D$25)^'02 Oil Price Analysis'!AF$57)</f>
        <v>404893.12500000006</v>
      </c>
      <c r="AG41" s="90">
        <f>IF('01 Major Assumptions'!AG$15=0,0,$D41*$E41*'01 Major Assumptions'!AG$14*(1+'01 Major Assumptions'!$D$97+'01 Major Assumptions'!$D$99)*(1+'01 Major Assumptions'!$D$98/12)*(1+'01 Major Assumptions'!$D$25)^'02 Oil Price Analysis'!AG$57)</f>
        <v>404893.12500000006</v>
      </c>
      <c r="AH41" s="90">
        <f>IF('01 Major Assumptions'!AH$15=0,0,$D41*$E41*'01 Major Assumptions'!AH$14*(1+'01 Major Assumptions'!$D$97+'01 Major Assumptions'!$D$99)*(1+'01 Major Assumptions'!$D$98/12)*(1+'01 Major Assumptions'!$D$25)^'02 Oil Price Analysis'!AH$57)</f>
        <v>404893.12500000006</v>
      </c>
      <c r="AI41" s="90">
        <f>IF('01 Major Assumptions'!AI$15=0,0,$D41*$E41*'01 Major Assumptions'!AI$14*(1+'01 Major Assumptions'!$D$97+'01 Major Assumptions'!$D$99)*(1+'01 Major Assumptions'!$D$98/12)*(1+'01 Major Assumptions'!$D$25)^'02 Oil Price Analysis'!AI$57)</f>
        <v>404893.12500000006</v>
      </c>
      <c r="AJ41" s="90">
        <f>IF('01 Major Assumptions'!AJ$15=0,0,$D41*$E41*'01 Major Assumptions'!AJ$14*(1+'01 Major Assumptions'!$D$97+'01 Major Assumptions'!$D$99)*(1+'01 Major Assumptions'!$D$98/12)*(1+'01 Major Assumptions'!$D$25)^'02 Oil Price Analysis'!AJ$57)</f>
        <v>404893.12500000006</v>
      </c>
      <c r="AK41" s="90">
        <f>IF('01 Major Assumptions'!AK$15=0,0,$D41*$E41*'01 Major Assumptions'!AK$14*(1+'01 Major Assumptions'!$D$97+'01 Major Assumptions'!$D$99)*(1+'01 Major Assumptions'!$D$98/12)*(1+'01 Major Assumptions'!$D$25)^'02 Oil Price Analysis'!AK$57)</f>
        <v>404893.12500000006</v>
      </c>
      <c r="AL41" s="90">
        <f>IF('01 Major Assumptions'!AL$15=0,0,$D41*$E41*'01 Major Assumptions'!AL$14*(1+'01 Major Assumptions'!$D$97+'01 Major Assumptions'!$D$99)*(1+'01 Major Assumptions'!$D$98/12)*(1+'01 Major Assumptions'!$D$25)^'02 Oil Price Analysis'!AL$57)</f>
        <v>404893.12500000006</v>
      </c>
      <c r="AM41" s="90">
        <f>IF('01 Major Assumptions'!AM$15=0,0,$D41*$E41*'01 Major Assumptions'!AM$14*(1+'01 Major Assumptions'!$D$97+'01 Major Assumptions'!$D$99)*(1+'01 Major Assumptions'!$D$98/12)*(1+'01 Major Assumptions'!$D$25)^'02 Oil Price Analysis'!AM$57)</f>
        <v>404893.12500000006</v>
      </c>
      <c r="AN41" s="90">
        <f>IF('01 Major Assumptions'!AN$15=0,0,$D41*$E41*'01 Major Assumptions'!AN$14*(1+'01 Major Assumptions'!$D$97+'01 Major Assumptions'!$D$99)*(1+'01 Major Assumptions'!$D$98/12)*(1+'01 Major Assumptions'!$D$25)^'02 Oil Price Analysis'!AN$57)</f>
        <v>404893.12500000006</v>
      </c>
      <c r="AO41" s="90">
        <f>IF('01 Major Assumptions'!AO$15=0,0,$D41*$E41*'01 Major Assumptions'!AO$14*(1+'01 Major Assumptions'!$D$97+'01 Major Assumptions'!$D$99)*(1+'01 Major Assumptions'!$D$98/12)*(1+'01 Major Assumptions'!$D$25)^'02 Oil Price Analysis'!AO$57)</f>
        <v>404893.12500000006</v>
      </c>
      <c r="AP41" s="90">
        <f>IF('01 Major Assumptions'!AP$15=0,0,$D41*$E41*'01 Major Assumptions'!AP$14*(1+'01 Major Assumptions'!$D$97+'01 Major Assumptions'!$D$99)*(1+'01 Major Assumptions'!$D$98/12)*(1+'01 Major Assumptions'!$D$25)^'02 Oil Price Analysis'!AP$57)</f>
        <v>404893.12500000006</v>
      </c>
      <c r="AQ41" s="90">
        <f>IF('01 Major Assumptions'!AQ$15=0,0,$D41*$E41*'01 Major Assumptions'!AQ$14*(1+'01 Major Assumptions'!$D$97+'01 Major Assumptions'!$D$99)*(1+'01 Major Assumptions'!$D$98/12)*(1+'01 Major Assumptions'!$D$25)^'02 Oil Price Analysis'!AQ$57)</f>
        <v>425137.78125000012</v>
      </c>
      <c r="AR41" s="90">
        <f>IF('01 Major Assumptions'!AR$15=0,0,$D41*$E41*'01 Major Assumptions'!AR$14*(1+'01 Major Assumptions'!$D$97+'01 Major Assumptions'!$D$99)*(1+'01 Major Assumptions'!$D$98/12)*(1+'01 Major Assumptions'!$D$25)^'02 Oil Price Analysis'!AR$57)</f>
        <v>425137.78125000012</v>
      </c>
      <c r="AS41" s="90">
        <f>IF('01 Major Assumptions'!AS$15=0,0,$D41*$E41*'01 Major Assumptions'!AS$14*(1+'01 Major Assumptions'!$D$97+'01 Major Assumptions'!$D$99)*(1+'01 Major Assumptions'!$D$98/12)*(1+'01 Major Assumptions'!$D$25)^'02 Oil Price Analysis'!AS$57)</f>
        <v>425137.78125000012</v>
      </c>
      <c r="AT41" s="90">
        <f>IF('01 Major Assumptions'!AT$15=0,0,$D41*$E41*'01 Major Assumptions'!AT$14*(1+'01 Major Assumptions'!$D$97+'01 Major Assumptions'!$D$99)*(1+'01 Major Assumptions'!$D$98/12)*(1+'01 Major Assumptions'!$D$25)^'02 Oil Price Analysis'!AT$57)</f>
        <v>425137.78125000012</v>
      </c>
      <c r="AU41" s="90">
        <f>IF('01 Major Assumptions'!AU$15=0,0,$D41*$E41*'01 Major Assumptions'!AU$14*(1+'01 Major Assumptions'!$D$97+'01 Major Assumptions'!$D$99)*(1+'01 Major Assumptions'!$D$98/12)*(1+'01 Major Assumptions'!$D$25)^'02 Oil Price Analysis'!AU$57)</f>
        <v>425137.78125000012</v>
      </c>
      <c r="AV41" s="90">
        <f>IF('01 Major Assumptions'!AV$15=0,0,$D41*$E41*'01 Major Assumptions'!AV$14*(1+'01 Major Assumptions'!$D$97+'01 Major Assumptions'!$D$99)*(1+'01 Major Assumptions'!$D$98/12)*(1+'01 Major Assumptions'!$D$25)^'02 Oil Price Analysis'!AV$57)</f>
        <v>425137.78125000012</v>
      </c>
      <c r="AW41" s="90">
        <f>IF('01 Major Assumptions'!AW$15=0,0,$D41*$E41*'01 Major Assumptions'!AW$14*(1+'01 Major Assumptions'!$D$97+'01 Major Assumptions'!$D$99)*(1+'01 Major Assumptions'!$D$98/12)*(1+'01 Major Assumptions'!$D$25)^'02 Oil Price Analysis'!AW$57)</f>
        <v>425137.78125000012</v>
      </c>
      <c r="AX41" s="90">
        <f>IF('01 Major Assumptions'!AX$15=0,0,$D41*$E41*'01 Major Assumptions'!AX$14*(1+'01 Major Assumptions'!$D$97+'01 Major Assumptions'!$D$99)*(1+'01 Major Assumptions'!$D$98/12)*(1+'01 Major Assumptions'!$D$25)^'02 Oil Price Analysis'!AX$57)</f>
        <v>425137.78125000012</v>
      </c>
      <c r="AY41" s="90">
        <f>IF('01 Major Assumptions'!AY$15=0,0,$D41*$E41*'01 Major Assumptions'!AY$14*(1+'01 Major Assumptions'!$D$97+'01 Major Assumptions'!$D$99)*(1+'01 Major Assumptions'!$D$98/12)*(1+'01 Major Assumptions'!$D$25)^'02 Oil Price Analysis'!AY$57)</f>
        <v>425137.78125000012</v>
      </c>
      <c r="AZ41" s="90">
        <f>IF('01 Major Assumptions'!AZ$15=0,0,$D41*$E41*'01 Major Assumptions'!AZ$14*(1+'01 Major Assumptions'!$D$97+'01 Major Assumptions'!$D$99)*(1+'01 Major Assumptions'!$D$98/12)*(1+'01 Major Assumptions'!$D$25)^'02 Oil Price Analysis'!AZ$57)</f>
        <v>425137.78125000012</v>
      </c>
      <c r="BA41" s="90">
        <f>IF('01 Major Assumptions'!BA$15=0,0,$D41*$E41*'01 Major Assumptions'!BA$14*(1+'01 Major Assumptions'!$D$97+'01 Major Assumptions'!$D$99)*(1+'01 Major Assumptions'!$D$98/12)*(1+'01 Major Assumptions'!$D$25)^'02 Oil Price Analysis'!BA$57)</f>
        <v>425137.78125000012</v>
      </c>
      <c r="BB41" s="90">
        <f>IF('01 Major Assumptions'!BB$15=0,0,$D41*$E41*'01 Major Assumptions'!BB$14*(1+'01 Major Assumptions'!$D$97+'01 Major Assumptions'!$D$99)*(1+'01 Major Assumptions'!$D$98/12)*(1+'01 Major Assumptions'!$D$25)^'02 Oil Price Analysis'!BB$57)</f>
        <v>425137.78125000012</v>
      </c>
      <c r="BC41" s="90">
        <f>IF('01 Major Assumptions'!BC$15=0,0,$D41*$E41*'01 Major Assumptions'!BC$14*(1+'01 Major Assumptions'!$D$97+'01 Major Assumptions'!$D$99)*(1+'01 Major Assumptions'!$D$98/12)*(1+'01 Major Assumptions'!$D$25)^'02 Oil Price Analysis'!BC$57)</f>
        <v>446394.67031250009</v>
      </c>
      <c r="BD41" s="90">
        <f>IF('01 Major Assumptions'!BD$15=0,0,$D41*$E41*'01 Major Assumptions'!BD$14*(1+'01 Major Assumptions'!$D$97+'01 Major Assumptions'!$D$99)*(1+'01 Major Assumptions'!$D$98/12)*(1+'01 Major Assumptions'!$D$25)^'02 Oil Price Analysis'!BD$57)</f>
        <v>446394.67031250009</v>
      </c>
      <c r="BE41" s="90">
        <f>IF('01 Major Assumptions'!BE$15=0,0,$D41*$E41*'01 Major Assumptions'!BE$14*(1+'01 Major Assumptions'!$D$97+'01 Major Assumptions'!$D$99)*(1+'01 Major Assumptions'!$D$98/12)*(1+'01 Major Assumptions'!$D$25)^'02 Oil Price Analysis'!BE$57)</f>
        <v>446394.67031250009</v>
      </c>
      <c r="BF41" s="90">
        <f>IF('01 Major Assumptions'!BF$15=0,0,$D41*$E41*'01 Major Assumptions'!BF$14*(1+'01 Major Assumptions'!$D$97+'01 Major Assumptions'!$D$99)*(1+'01 Major Assumptions'!$D$98/12)*(1+'01 Major Assumptions'!$D$25)^'02 Oil Price Analysis'!BF$57)</f>
        <v>446394.67031250009</v>
      </c>
      <c r="BG41" s="90">
        <f>IF('01 Major Assumptions'!BG$15=0,0,$D41*$E41*'01 Major Assumptions'!BG$14*(1+'01 Major Assumptions'!$D$97+'01 Major Assumptions'!$D$99)*(1+'01 Major Assumptions'!$D$98/12)*(1+'01 Major Assumptions'!$D$25)^'02 Oil Price Analysis'!BG$57)</f>
        <v>446394.67031250009</v>
      </c>
      <c r="BH41" s="90">
        <f>IF('01 Major Assumptions'!BH$15=0,0,$D41*$E41*'01 Major Assumptions'!BH$14*(1+'01 Major Assumptions'!$D$97+'01 Major Assumptions'!$D$99)*(1+'01 Major Assumptions'!$D$98/12)*(1+'01 Major Assumptions'!$D$25)^'02 Oil Price Analysis'!BH$57)</f>
        <v>446394.67031250009</v>
      </c>
      <c r="BI41" s="90">
        <f>IF('01 Major Assumptions'!BI$15=0,0,$D41*$E41*'01 Major Assumptions'!BI$14*(1+'01 Major Assumptions'!$D$97+'01 Major Assumptions'!$D$99)*(1+'01 Major Assumptions'!$D$98/12)*(1+'01 Major Assumptions'!$D$25)^'02 Oil Price Analysis'!BI$57)</f>
        <v>5624572.8459375007</v>
      </c>
      <c r="BJ41" s="90">
        <f>IF('01 Major Assumptions'!BJ$15=0,0,$D41*$E41*'01 Major Assumptions'!BJ$14*(1+'01 Major Assumptions'!$D$97+'01 Major Assumptions'!$D$99)*(1+'01 Major Assumptions'!$D$98/12)*(1+'01 Major Assumptions'!$D$25)^'02 Oil Price Analysis'!BJ$57)</f>
        <v>5905801.4882343747</v>
      </c>
      <c r="BK41" s="90">
        <f>IF('01 Major Assumptions'!BK$15=0,0,$D41*$E41*'01 Major Assumptions'!BK$14*(1+'01 Major Assumptions'!$D$97+'01 Major Assumptions'!$D$99)*(1+'01 Major Assumptions'!$D$98/12)*(1+'01 Major Assumptions'!$D$25)^'02 Oil Price Analysis'!BK$57)</f>
        <v>6201091.5626460947</v>
      </c>
      <c r="BL41" s="90">
        <f>IF('01 Major Assumptions'!BL$15=0,0,$D41*$E41*'01 Major Assumptions'!BL$14*(1+'01 Major Assumptions'!$D$97+'01 Major Assumptions'!$D$99)*(1+'01 Major Assumptions'!$D$98/12)*(1+'01 Major Assumptions'!$D$25)^'02 Oil Price Analysis'!BL$57)</f>
        <v>6511146.1407783991</v>
      </c>
      <c r="BM41" s="90">
        <f>IF('01 Major Assumptions'!BM$15=0,0,$D41*$E41*'01 Major Assumptions'!BM$14*(1+'01 Major Assumptions'!$D$97+'01 Major Assumptions'!$D$99)*(1+'01 Major Assumptions'!$D$98/12)*(1+'01 Major Assumptions'!$D$25)^'02 Oil Price Analysis'!BM$57)</f>
        <v>6836703.4478173191</v>
      </c>
      <c r="BN41" s="90">
        <f>IF('01 Major Assumptions'!BN$15=0,0,$D41*$E41*'01 Major Assumptions'!BN$14*(1+'01 Major Assumptions'!$D$97+'01 Major Assumptions'!$D$99)*(1+'01 Major Assumptions'!$D$98/12)*(1+'01 Major Assumptions'!$D$25)^'02 Oil Price Analysis'!BN$57)</f>
        <v>7178538.6202081852</v>
      </c>
      <c r="BO41" s="90">
        <f>IF('01 Major Assumptions'!BO$15=0,0,$D41*$E41*'01 Major Assumptions'!BO$14*(1+'01 Major Assumptions'!$D$97+'01 Major Assumptions'!$D$99)*(1+'01 Major Assumptions'!$D$98/12)*(1+'01 Major Assumptions'!$D$25)^'02 Oil Price Analysis'!BO$57)</f>
        <v>7537465.5512185944</v>
      </c>
    </row>
    <row r="42" spans="1:67">
      <c r="A42" s="11"/>
      <c r="B42" s="32" t="str">
        <f>'01 Major Assumptions'!B88</f>
        <v>Electrical &amp; instrument technician</v>
      </c>
      <c r="C42" s="11"/>
      <c r="D42" s="92">
        <f>'01 Major Assumptions'!$C$88</f>
        <v>6</v>
      </c>
      <c r="E42" s="92">
        <f>'01 Major Assumptions'!$D$88</f>
        <v>28000</v>
      </c>
      <c r="F42" s="10" t="s">
        <v>13</v>
      </c>
      <c r="G42" s="90">
        <f>IF('01 Major Assumptions'!G$15=0,0,$D42*$E42*'01 Major Assumptions'!G$14*(1+'01 Major Assumptions'!$D$97+'01 Major Assumptions'!$D$99)*(1+'01 Major Assumptions'!$D$98/12)*(1+'01 Major Assumptions'!$D$25)^'02 Oil Price Analysis'!G$57)</f>
        <v>0</v>
      </c>
      <c r="H42" s="90">
        <f>IF('01 Major Assumptions'!H$15=0,0,$D42*$E42*'01 Major Assumptions'!H$14*(1+'01 Major Assumptions'!$D$97+'01 Major Assumptions'!$D$99)*(1+'01 Major Assumptions'!$D$98/12)*(1+'01 Major Assumptions'!$D$25)^'02 Oil Price Analysis'!H$57)</f>
        <v>0</v>
      </c>
      <c r="I42" s="90">
        <f>IF('01 Major Assumptions'!I$15=0,0,$D42*$E42*'01 Major Assumptions'!I$14*(1+'01 Major Assumptions'!$D$97+'01 Major Assumptions'!$D$99)*(1+'01 Major Assumptions'!$D$98/12)*(1+'01 Major Assumptions'!$D$25)^'02 Oil Price Analysis'!I$57)</f>
        <v>0</v>
      </c>
      <c r="J42" s="90">
        <f>IF('01 Major Assumptions'!J$15=0,0,$D42*$E42*'01 Major Assumptions'!J$14*(1+'01 Major Assumptions'!$D$97+'01 Major Assumptions'!$D$99)*(1+'01 Major Assumptions'!$D$98/12)*(1+'01 Major Assumptions'!$D$25)^'02 Oil Price Analysis'!J$57)</f>
        <v>0</v>
      </c>
      <c r="K42" s="90">
        <f>IF('01 Major Assumptions'!K$15=0,0,$D42*$E42*'01 Major Assumptions'!K$14*(1+'01 Major Assumptions'!$D$97+'01 Major Assumptions'!$D$99)*(1+'01 Major Assumptions'!$D$98/12)*(1+'01 Major Assumptions'!$D$25)^'02 Oil Price Analysis'!K$57)</f>
        <v>0</v>
      </c>
      <c r="L42" s="90">
        <f>IF('01 Major Assumptions'!L$15=0,0,$D42*$E42*'01 Major Assumptions'!L$14*(1+'01 Major Assumptions'!$D$97+'01 Major Assumptions'!$D$99)*(1+'01 Major Assumptions'!$D$98/12)*(1+'01 Major Assumptions'!$D$25)^'02 Oil Price Analysis'!L$57)</f>
        <v>0</v>
      </c>
      <c r="M42" s="90">
        <f>IF('01 Major Assumptions'!M$15=0,0,$D42*$E42*'01 Major Assumptions'!M$14*(1+'01 Major Assumptions'!$D$97+'01 Major Assumptions'!$D$99)*(1+'01 Major Assumptions'!$D$98/12)*(1+'01 Major Assumptions'!$D$25)^'02 Oil Price Analysis'!M$57)</f>
        <v>0</v>
      </c>
      <c r="N42" s="90">
        <f>IF('01 Major Assumptions'!N$15=0,0,$D42*$E42*'01 Major Assumptions'!N$14*(1+'01 Major Assumptions'!$D$97+'01 Major Assumptions'!$D$99)*(1+'01 Major Assumptions'!$D$98/12)*(1+'01 Major Assumptions'!$D$25)^'02 Oil Price Analysis'!N$57)</f>
        <v>0</v>
      </c>
      <c r="O42" s="90">
        <f>IF('01 Major Assumptions'!O$15=0,0,$D42*$E42*'01 Major Assumptions'!O$14*(1+'01 Major Assumptions'!$D$97+'01 Major Assumptions'!$D$99)*(1+'01 Major Assumptions'!$D$98/12)*(1+'01 Major Assumptions'!$D$25)^'02 Oil Price Analysis'!O$57)</f>
        <v>0</v>
      </c>
      <c r="P42" s="90">
        <f>IF('01 Major Assumptions'!P$15=0,0,$D42*$E42*'01 Major Assumptions'!P$14*(1+'01 Major Assumptions'!$D$97+'01 Major Assumptions'!$D$99)*(1+'01 Major Assumptions'!$D$98/12)*(1+'01 Major Assumptions'!$D$25)^'02 Oil Price Analysis'!P$57)</f>
        <v>0</v>
      </c>
      <c r="Q42" s="90">
        <f>IF('01 Major Assumptions'!Q$15=0,0,$D42*$E42*'01 Major Assumptions'!Q$14*(1+'01 Major Assumptions'!$D$97+'01 Major Assumptions'!$D$99)*(1+'01 Major Assumptions'!$D$98/12)*(1+'01 Major Assumptions'!$D$25)^'02 Oil Price Analysis'!Q$57)</f>
        <v>0</v>
      </c>
      <c r="R42" s="90">
        <f>IF('01 Major Assumptions'!R$15=0,0,$D42*$E42*'01 Major Assumptions'!R$14*(1+'01 Major Assumptions'!$D$97+'01 Major Assumptions'!$D$99)*(1+'01 Major Assumptions'!$D$98/12)*(1+'01 Major Assumptions'!$D$25)^'02 Oil Price Analysis'!R$57)</f>
        <v>0</v>
      </c>
      <c r="S42" s="90">
        <f>IF('01 Major Assumptions'!S$15=0,0,$D42*$E42*'01 Major Assumptions'!S$14*(1+'01 Major Assumptions'!$D$97+'01 Major Assumptions'!$D$99)*(1+'01 Major Assumptions'!$D$98/12)*(1+'01 Major Assumptions'!$D$25)^'02 Oil Price Analysis'!S$57)</f>
        <v>0</v>
      </c>
      <c r="T42" s="90">
        <f>IF('01 Major Assumptions'!T$15=0,0,$D42*$E42*'01 Major Assumptions'!T$14*(1+'01 Major Assumptions'!$D$97+'01 Major Assumptions'!$D$99)*(1+'01 Major Assumptions'!$D$98/12)*(1+'01 Major Assumptions'!$D$25)^'02 Oil Price Analysis'!T$57)</f>
        <v>0</v>
      </c>
      <c r="U42" s="90">
        <f>IF('01 Major Assumptions'!U$15=0,0,$D42*$E42*'01 Major Assumptions'!U$14*(1+'01 Major Assumptions'!$D$97+'01 Major Assumptions'!$D$99)*(1+'01 Major Assumptions'!$D$98/12)*(1+'01 Major Assumptions'!$D$25)^'02 Oil Price Analysis'!U$57)</f>
        <v>0</v>
      </c>
      <c r="V42" s="90">
        <f>IF('01 Major Assumptions'!V$15=0,0,$D42*$E42*'01 Major Assumptions'!V$14*(1+'01 Major Assumptions'!$D$97+'01 Major Assumptions'!$D$99)*(1+'01 Major Assumptions'!$D$98/12)*(1+'01 Major Assumptions'!$D$25)^'02 Oil Price Analysis'!V$57)</f>
        <v>0</v>
      </c>
      <c r="W42" s="90">
        <f>IF('01 Major Assumptions'!W$15=0,0,$D42*$E42*'01 Major Assumptions'!W$14*(1+'01 Major Assumptions'!$D$97+'01 Major Assumptions'!$D$99)*(1+'01 Major Assumptions'!$D$98/12)*(1+'01 Major Assumptions'!$D$25)^'02 Oil Price Analysis'!W$57)</f>
        <v>0</v>
      </c>
      <c r="X42" s="90">
        <f>IF('01 Major Assumptions'!X$15=0,0,$D42*$E42*'01 Major Assumptions'!X$14*(1+'01 Major Assumptions'!$D$97+'01 Major Assumptions'!$D$99)*(1+'01 Major Assumptions'!$D$98/12)*(1+'01 Major Assumptions'!$D$25)^'02 Oil Price Analysis'!X$57)</f>
        <v>0</v>
      </c>
      <c r="Y42" s="90">
        <f>IF('01 Major Assumptions'!Y$15=0,0,$D42*$E42*'01 Major Assumptions'!Y$14*(1+'01 Major Assumptions'!$D$97+'01 Major Assumptions'!$D$99)*(1+'01 Major Assumptions'!$D$98/12)*(1+'01 Major Assumptions'!$D$25)^'02 Oil Price Analysis'!Y$57)</f>
        <v>0</v>
      </c>
      <c r="Z42" s="90">
        <f>IF('01 Major Assumptions'!Z$15=0,0,$D42*$E42*'01 Major Assumptions'!Z$14*(1+'01 Major Assumptions'!$D$97+'01 Major Assumptions'!$D$99)*(1+'01 Major Assumptions'!$D$98/12)*(1+'01 Major Assumptions'!$D$25)^'02 Oil Price Analysis'!Z$57)</f>
        <v>0</v>
      </c>
      <c r="AA42" s="90">
        <f>IF('01 Major Assumptions'!AA$15=0,0,$D42*$E42*'01 Major Assumptions'!AA$14*(1+'01 Major Assumptions'!$D$97+'01 Major Assumptions'!$D$99)*(1+'01 Major Assumptions'!$D$98/12)*(1+'01 Major Assumptions'!$D$25)^'02 Oil Price Analysis'!AA$57)</f>
        <v>0</v>
      </c>
      <c r="AB42" s="90">
        <f>IF('01 Major Assumptions'!AB$15=0,0,$D42*$E42*'01 Major Assumptions'!AB$14*(1+'01 Major Assumptions'!$D$97+'01 Major Assumptions'!$D$99)*(1+'01 Major Assumptions'!$D$98/12)*(1+'01 Major Assumptions'!$D$25)^'02 Oil Price Analysis'!AB$57)</f>
        <v>215943.00000000003</v>
      </c>
      <c r="AC42" s="90">
        <f>IF('01 Major Assumptions'!AC$15=0,0,$D42*$E42*'01 Major Assumptions'!AC$14*(1+'01 Major Assumptions'!$D$97+'01 Major Assumptions'!$D$99)*(1+'01 Major Assumptions'!$D$98/12)*(1+'01 Major Assumptions'!$D$25)^'02 Oil Price Analysis'!AC$57)</f>
        <v>215943.00000000003</v>
      </c>
      <c r="AD42" s="90">
        <f>IF('01 Major Assumptions'!AD$15=0,0,$D42*$E42*'01 Major Assumptions'!AD$14*(1+'01 Major Assumptions'!$D$97+'01 Major Assumptions'!$D$99)*(1+'01 Major Assumptions'!$D$98/12)*(1+'01 Major Assumptions'!$D$25)^'02 Oil Price Analysis'!AD$57)</f>
        <v>215943.00000000003</v>
      </c>
      <c r="AE42" s="90">
        <f>IF('01 Major Assumptions'!AE$15=0,0,$D42*$E42*'01 Major Assumptions'!AE$14*(1+'01 Major Assumptions'!$D$97+'01 Major Assumptions'!$D$99)*(1+'01 Major Assumptions'!$D$98/12)*(1+'01 Major Assumptions'!$D$25)^'02 Oil Price Analysis'!AE$57)</f>
        <v>226740.15000000005</v>
      </c>
      <c r="AF42" s="90">
        <f>IF('01 Major Assumptions'!AF$15=0,0,$D42*$E42*'01 Major Assumptions'!AF$14*(1+'01 Major Assumptions'!$D$97+'01 Major Assumptions'!$D$99)*(1+'01 Major Assumptions'!$D$98/12)*(1+'01 Major Assumptions'!$D$25)^'02 Oil Price Analysis'!AF$57)</f>
        <v>226740.15000000005</v>
      </c>
      <c r="AG42" s="90">
        <f>IF('01 Major Assumptions'!AG$15=0,0,$D42*$E42*'01 Major Assumptions'!AG$14*(1+'01 Major Assumptions'!$D$97+'01 Major Assumptions'!$D$99)*(1+'01 Major Assumptions'!$D$98/12)*(1+'01 Major Assumptions'!$D$25)^'02 Oil Price Analysis'!AG$57)</f>
        <v>226740.15000000005</v>
      </c>
      <c r="AH42" s="90">
        <f>IF('01 Major Assumptions'!AH$15=0,0,$D42*$E42*'01 Major Assumptions'!AH$14*(1+'01 Major Assumptions'!$D$97+'01 Major Assumptions'!$D$99)*(1+'01 Major Assumptions'!$D$98/12)*(1+'01 Major Assumptions'!$D$25)^'02 Oil Price Analysis'!AH$57)</f>
        <v>226740.15000000005</v>
      </c>
      <c r="AI42" s="90">
        <f>IF('01 Major Assumptions'!AI$15=0,0,$D42*$E42*'01 Major Assumptions'!AI$14*(1+'01 Major Assumptions'!$D$97+'01 Major Assumptions'!$D$99)*(1+'01 Major Assumptions'!$D$98/12)*(1+'01 Major Assumptions'!$D$25)^'02 Oil Price Analysis'!AI$57)</f>
        <v>226740.15000000005</v>
      </c>
      <c r="AJ42" s="90">
        <f>IF('01 Major Assumptions'!AJ$15=0,0,$D42*$E42*'01 Major Assumptions'!AJ$14*(1+'01 Major Assumptions'!$D$97+'01 Major Assumptions'!$D$99)*(1+'01 Major Assumptions'!$D$98/12)*(1+'01 Major Assumptions'!$D$25)^'02 Oil Price Analysis'!AJ$57)</f>
        <v>226740.15000000005</v>
      </c>
      <c r="AK42" s="90">
        <f>IF('01 Major Assumptions'!AK$15=0,0,$D42*$E42*'01 Major Assumptions'!AK$14*(1+'01 Major Assumptions'!$D$97+'01 Major Assumptions'!$D$99)*(1+'01 Major Assumptions'!$D$98/12)*(1+'01 Major Assumptions'!$D$25)^'02 Oil Price Analysis'!AK$57)</f>
        <v>226740.15000000005</v>
      </c>
      <c r="AL42" s="90">
        <f>IF('01 Major Assumptions'!AL$15=0,0,$D42*$E42*'01 Major Assumptions'!AL$14*(1+'01 Major Assumptions'!$D$97+'01 Major Assumptions'!$D$99)*(1+'01 Major Assumptions'!$D$98/12)*(1+'01 Major Assumptions'!$D$25)^'02 Oil Price Analysis'!AL$57)</f>
        <v>226740.15000000005</v>
      </c>
      <c r="AM42" s="90">
        <f>IF('01 Major Assumptions'!AM$15=0,0,$D42*$E42*'01 Major Assumptions'!AM$14*(1+'01 Major Assumptions'!$D$97+'01 Major Assumptions'!$D$99)*(1+'01 Major Assumptions'!$D$98/12)*(1+'01 Major Assumptions'!$D$25)^'02 Oil Price Analysis'!AM$57)</f>
        <v>226740.15000000005</v>
      </c>
      <c r="AN42" s="90">
        <f>IF('01 Major Assumptions'!AN$15=0,0,$D42*$E42*'01 Major Assumptions'!AN$14*(1+'01 Major Assumptions'!$D$97+'01 Major Assumptions'!$D$99)*(1+'01 Major Assumptions'!$D$98/12)*(1+'01 Major Assumptions'!$D$25)^'02 Oil Price Analysis'!AN$57)</f>
        <v>226740.15000000005</v>
      </c>
      <c r="AO42" s="90">
        <f>IF('01 Major Assumptions'!AO$15=0,0,$D42*$E42*'01 Major Assumptions'!AO$14*(1+'01 Major Assumptions'!$D$97+'01 Major Assumptions'!$D$99)*(1+'01 Major Assumptions'!$D$98/12)*(1+'01 Major Assumptions'!$D$25)^'02 Oil Price Analysis'!AO$57)</f>
        <v>226740.15000000005</v>
      </c>
      <c r="AP42" s="90">
        <f>IF('01 Major Assumptions'!AP$15=0,0,$D42*$E42*'01 Major Assumptions'!AP$14*(1+'01 Major Assumptions'!$D$97+'01 Major Assumptions'!$D$99)*(1+'01 Major Assumptions'!$D$98/12)*(1+'01 Major Assumptions'!$D$25)^'02 Oil Price Analysis'!AP$57)</f>
        <v>226740.15000000005</v>
      </c>
      <c r="AQ42" s="90">
        <f>IF('01 Major Assumptions'!AQ$15=0,0,$D42*$E42*'01 Major Assumptions'!AQ$14*(1+'01 Major Assumptions'!$D$97+'01 Major Assumptions'!$D$99)*(1+'01 Major Assumptions'!$D$98/12)*(1+'01 Major Assumptions'!$D$25)^'02 Oil Price Analysis'!AQ$57)</f>
        <v>238077.15750000006</v>
      </c>
      <c r="AR42" s="90">
        <f>IF('01 Major Assumptions'!AR$15=0,0,$D42*$E42*'01 Major Assumptions'!AR$14*(1+'01 Major Assumptions'!$D$97+'01 Major Assumptions'!$D$99)*(1+'01 Major Assumptions'!$D$98/12)*(1+'01 Major Assumptions'!$D$25)^'02 Oil Price Analysis'!AR$57)</f>
        <v>238077.15750000006</v>
      </c>
      <c r="AS42" s="90">
        <f>IF('01 Major Assumptions'!AS$15=0,0,$D42*$E42*'01 Major Assumptions'!AS$14*(1+'01 Major Assumptions'!$D$97+'01 Major Assumptions'!$D$99)*(1+'01 Major Assumptions'!$D$98/12)*(1+'01 Major Assumptions'!$D$25)^'02 Oil Price Analysis'!AS$57)</f>
        <v>238077.15750000006</v>
      </c>
      <c r="AT42" s="90">
        <f>IF('01 Major Assumptions'!AT$15=0,0,$D42*$E42*'01 Major Assumptions'!AT$14*(1+'01 Major Assumptions'!$D$97+'01 Major Assumptions'!$D$99)*(1+'01 Major Assumptions'!$D$98/12)*(1+'01 Major Assumptions'!$D$25)^'02 Oil Price Analysis'!AT$57)</f>
        <v>238077.15750000006</v>
      </c>
      <c r="AU42" s="90">
        <f>IF('01 Major Assumptions'!AU$15=0,0,$D42*$E42*'01 Major Assumptions'!AU$14*(1+'01 Major Assumptions'!$D$97+'01 Major Assumptions'!$D$99)*(1+'01 Major Assumptions'!$D$98/12)*(1+'01 Major Assumptions'!$D$25)^'02 Oil Price Analysis'!AU$57)</f>
        <v>238077.15750000006</v>
      </c>
      <c r="AV42" s="90">
        <f>IF('01 Major Assumptions'!AV$15=0,0,$D42*$E42*'01 Major Assumptions'!AV$14*(1+'01 Major Assumptions'!$D$97+'01 Major Assumptions'!$D$99)*(1+'01 Major Assumptions'!$D$98/12)*(1+'01 Major Assumptions'!$D$25)^'02 Oil Price Analysis'!AV$57)</f>
        <v>238077.15750000006</v>
      </c>
      <c r="AW42" s="90">
        <f>IF('01 Major Assumptions'!AW$15=0,0,$D42*$E42*'01 Major Assumptions'!AW$14*(1+'01 Major Assumptions'!$D$97+'01 Major Assumptions'!$D$99)*(1+'01 Major Assumptions'!$D$98/12)*(1+'01 Major Assumptions'!$D$25)^'02 Oil Price Analysis'!AW$57)</f>
        <v>238077.15750000006</v>
      </c>
      <c r="AX42" s="90">
        <f>IF('01 Major Assumptions'!AX$15=0,0,$D42*$E42*'01 Major Assumptions'!AX$14*(1+'01 Major Assumptions'!$D$97+'01 Major Assumptions'!$D$99)*(1+'01 Major Assumptions'!$D$98/12)*(1+'01 Major Assumptions'!$D$25)^'02 Oil Price Analysis'!AX$57)</f>
        <v>238077.15750000006</v>
      </c>
      <c r="AY42" s="90">
        <f>IF('01 Major Assumptions'!AY$15=0,0,$D42*$E42*'01 Major Assumptions'!AY$14*(1+'01 Major Assumptions'!$D$97+'01 Major Assumptions'!$D$99)*(1+'01 Major Assumptions'!$D$98/12)*(1+'01 Major Assumptions'!$D$25)^'02 Oil Price Analysis'!AY$57)</f>
        <v>238077.15750000006</v>
      </c>
      <c r="AZ42" s="90">
        <f>IF('01 Major Assumptions'!AZ$15=0,0,$D42*$E42*'01 Major Assumptions'!AZ$14*(1+'01 Major Assumptions'!$D$97+'01 Major Assumptions'!$D$99)*(1+'01 Major Assumptions'!$D$98/12)*(1+'01 Major Assumptions'!$D$25)^'02 Oil Price Analysis'!AZ$57)</f>
        <v>238077.15750000006</v>
      </c>
      <c r="BA42" s="90">
        <f>IF('01 Major Assumptions'!BA$15=0,0,$D42*$E42*'01 Major Assumptions'!BA$14*(1+'01 Major Assumptions'!$D$97+'01 Major Assumptions'!$D$99)*(1+'01 Major Assumptions'!$D$98/12)*(1+'01 Major Assumptions'!$D$25)^'02 Oil Price Analysis'!BA$57)</f>
        <v>238077.15750000006</v>
      </c>
      <c r="BB42" s="90">
        <f>IF('01 Major Assumptions'!BB$15=0,0,$D42*$E42*'01 Major Assumptions'!BB$14*(1+'01 Major Assumptions'!$D$97+'01 Major Assumptions'!$D$99)*(1+'01 Major Assumptions'!$D$98/12)*(1+'01 Major Assumptions'!$D$25)^'02 Oil Price Analysis'!BB$57)</f>
        <v>238077.15750000006</v>
      </c>
      <c r="BC42" s="90">
        <f>IF('01 Major Assumptions'!BC$15=0,0,$D42*$E42*'01 Major Assumptions'!BC$14*(1+'01 Major Assumptions'!$D$97+'01 Major Assumptions'!$D$99)*(1+'01 Major Assumptions'!$D$98/12)*(1+'01 Major Assumptions'!$D$25)^'02 Oil Price Analysis'!BC$57)</f>
        <v>249981.01537500005</v>
      </c>
      <c r="BD42" s="90">
        <f>IF('01 Major Assumptions'!BD$15=0,0,$D42*$E42*'01 Major Assumptions'!BD$14*(1+'01 Major Assumptions'!$D$97+'01 Major Assumptions'!$D$99)*(1+'01 Major Assumptions'!$D$98/12)*(1+'01 Major Assumptions'!$D$25)^'02 Oil Price Analysis'!BD$57)</f>
        <v>249981.01537500005</v>
      </c>
      <c r="BE42" s="90">
        <f>IF('01 Major Assumptions'!BE$15=0,0,$D42*$E42*'01 Major Assumptions'!BE$14*(1+'01 Major Assumptions'!$D$97+'01 Major Assumptions'!$D$99)*(1+'01 Major Assumptions'!$D$98/12)*(1+'01 Major Assumptions'!$D$25)^'02 Oil Price Analysis'!BE$57)</f>
        <v>249981.01537500005</v>
      </c>
      <c r="BF42" s="90">
        <f>IF('01 Major Assumptions'!BF$15=0,0,$D42*$E42*'01 Major Assumptions'!BF$14*(1+'01 Major Assumptions'!$D$97+'01 Major Assumptions'!$D$99)*(1+'01 Major Assumptions'!$D$98/12)*(1+'01 Major Assumptions'!$D$25)^'02 Oil Price Analysis'!BF$57)</f>
        <v>249981.01537500005</v>
      </c>
      <c r="BG42" s="90">
        <f>IF('01 Major Assumptions'!BG$15=0,0,$D42*$E42*'01 Major Assumptions'!BG$14*(1+'01 Major Assumptions'!$D$97+'01 Major Assumptions'!$D$99)*(1+'01 Major Assumptions'!$D$98/12)*(1+'01 Major Assumptions'!$D$25)^'02 Oil Price Analysis'!BG$57)</f>
        <v>249981.01537500005</v>
      </c>
      <c r="BH42" s="90">
        <f>IF('01 Major Assumptions'!BH$15=0,0,$D42*$E42*'01 Major Assumptions'!BH$14*(1+'01 Major Assumptions'!$D$97+'01 Major Assumptions'!$D$99)*(1+'01 Major Assumptions'!$D$98/12)*(1+'01 Major Assumptions'!$D$25)^'02 Oil Price Analysis'!BH$57)</f>
        <v>249981.01537500005</v>
      </c>
      <c r="BI42" s="90">
        <f>IF('01 Major Assumptions'!BI$15=0,0,$D42*$E42*'01 Major Assumptions'!BI$14*(1+'01 Major Assumptions'!$D$97+'01 Major Assumptions'!$D$99)*(1+'01 Major Assumptions'!$D$98/12)*(1+'01 Major Assumptions'!$D$25)^'02 Oil Price Analysis'!BI$57)</f>
        <v>3149760.7937250002</v>
      </c>
      <c r="BJ42" s="90">
        <f>IF('01 Major Assumptions'!BJ$15=0,0,$D42*$E42*'01 Major Assumptions'!BJ$14*(1+'01 Major Assumptions'!$D$97+'01 Major Assumptions'!$D$99)*(1+'01 Major Assumptions'!$D$98/12)*(1+'01 Major Assumptions'!$D$25)^'02 Oil Price Analysis'!BJ$57)</f>
        <v>3307248.8334112498</v>
      </c>
      <c r="BK42" s="90">
        <f>IF('01 Major Assumptions'!BK$15=0,0,$D42*$E42*'01 Major Assumptions'!BK$14*(1+'01 Major Assumptions'!$D$97+'01 Major Assumptions'!$D$99)*(1+'01 Major Assumptions'!$D$98/12)*(1+'01 Major Assumptions'!$D$25)^'02 Oil Price Analysis'!BK$57)</f>
        <v>3472611.2750818129</v>
      </c>
      <c r="BL42" s="90">
        <f>IF('01 Major Assumptions'!BL$15=0,0,$D42*$E42*'01 Major Assumptions'!BL$14*(1+'01 Major Assumptions'!$D$97+'01 Major Assumptions'!$D$99)*(1+'01 Major Assumptions'!$D$98/12)*(1+'01 Major Assumptions'!$D$25)^'02 Oil Price Analysis'!BL$57)</f>
        <v>3646241.8388359034</v>
      </c>
      <c r="BM42" s="90">
        <f>IF('01 Major Assumptions'!BM$15=0,0,$D42*$E42*'01 Major Assumptions'!BM$14*(1+'01 Major Assumptions'!$D$97+'01 Major Assumptions'!$D$99)*(1+'01 Major Assumptions'!$D$98/12)*(1+'01 Major Assumptions'!$D$25)^'02 Oil Price Analysis'!BM$57)</f>
        <v>3828553.9307776988</v>
      </c>
      <c r="BN42" s="90">
        <f>IF('01 Major Assumptions'!BN$15=0,0,$D42*$E42*'01 Major Assumptions'!BN$14*(1+'01 Major Assumptions'!$D$97+'01 Major Assumptions'!$D$99)*(1+'01 Major Assumptions'!$D$98/12)*(1+'01 Major Assumptions'!$D$25)^'02 Oil Price Analysis'!BN$57)</f>
        <v>4019981.6273165834</v>
      </c>
      <c r="BO42" s="90">
        <f>IF('01 Major Assumptions'!BO$15=0,0,$D42*$E42*'01 Major Assumptions'!BO$14*(1+'01 Major Assumptions'!$D$97+'01 Major Assumptions'!$D$99)*(1+'01 Major Assumptions'!$D$98/12)*(1+'01 Major Assumptions'!$D$25)^'02 Oil Price Analysis'!BO$57)</f>
        <v>4220980.7086824132</v>
      </c>
    </row>
    <row r="43" spans="1:67">
      <c r="A43" s="11"/>
      <c r="B43" s="32" t="str">
        <f>'01 Major Assumptions'!B89</f>
        <v>QC / laboratory</v>
      </c>
      <c r="C43" s="11"/>
      <c r="D43" s="92">
        <f>'01 Major Assumptions'!$C$89</f>
        <v>4</v>
      </c>
      <c r="E43" s="92">
        <f>'01 Major Assumptions'!$D$89</f>
        <v>30000</v>
      </c>
      <c r="F43" s="10" t="s">
        <v>13</v>
      </c>
      <c r="G43" s="90">
        <f>IF('01 Major Assumptions'!G$15=0,0,$D43*$E43*'01 Major Assumptions'!G$14*(1+'01 Major Assumptions'!$D$97+'01 Major Assumptions'!$D$99)*(1+'01 Major Assumptions'!$D$98/12)*(1+'01 Major Assumptions'!$D$25)^'02 Oil Price Analysis'!G$57)</f>
        <v>0</v>
      </c>
      <c r="H43" s="90">
        <f>IF('01 Major Assumptions'!H$15=0,0,$D43*$E43*'01 Major Assumptions'!H$14*(1+'01 Major Assumptions'!$D$97+'01 Major Assumptions'!$D$99)*(1+'01 Major Assumptions'!$D$98/12)*(1+'01 Major Assumptions'!$D$25)^'02 Oil Price Analysis'!H$57)</f>
        <v>0</v>
      </c>
      <c r="I43" s="90">
        <f>IF('01 Major Assumptions'!I$15=0,0,$D43*$E43*'01 Major Assumptions'!I$14*(1+'01 Major Assumptions'!$D$97+'01 Major Assumptions'!$D$99)*(1+'01 Major Assumptions'!$D$98/12)*(1+'01 Major Assumptions'!$D$25)^'02 Oil Price Analysis'!I$57)</f>
        <v>0</v>
      </c>
      <c r="J43" s="90">
        <f>IF('01 Major Assumptions'!J$15=0,0,$D43*$E43*'01 Major Assumptions'!J$14*(1+'01 Major Assumptions'!$D$97+'01 Major Assumptions'!$D$99)*(1+'01 Major Assumptions'!$D$98/12)*(1+'01 Major Assumptions'!$D$25)^'02 Oil Price Analysis'!J$57)</f>
        <v>0</v>
      </c>
      <c r="K43" s="90">
        <f>IF('01 Major Assumptions'!K$15=0,0,$D43*$E43*'01 Major Assumptions'!K$14*(1+'01 Major Assumptions'!$D$97+'01 Major Assumptions'!$D$99)*(1+'01 Major Assumptions'!$D$98/12)*(1+'01 Major Assumptions'!$D$25)^'02 Oil Price Analysis'!K$57)</f>
        <v>0</v>
      </c>
      <c r="L43" s="90">
        <f>IF('01 Major Assumptions'!L$15=0,0,$D43*$E43*'01 Major Assumptions'!L$14*(1+'01 Major Assumptions'!$D$97+'01 Major Assumptions'!$D$99)*(1+'01 Major Assumptions'!$D$98/12)*(1+'01 Major Assumptions'!$D$25)^'02 Oil Price Analysis'!L$57)</f>
        <v>0</v>
      </c>
      <c r="M43" s="90">
        <f>IF('01 Major Assumptions'!M$15=0,0,$D43*$E43*'01 Major Assumptions'!M$14*(1+'01 Major Assumptions'!$D$97+'01 Major Assumptions'!$D$99)*(1+'01 Major Assumptions'!$D$98/12)*(1+'01 Major Assumptions'!$D$25)^'02 Oil Price Analysis'!M$57)</f>
        <v>0</v>
      </c>
      <c r="N43" s="90">
        <f>IF('01 Major Assumptions'!N$15=0,0,$D43*$E43*'01 Major Assumptions'!N$14*(1+'01 Major Assumptions'!$D$97+'01 Major Assumptions'!$D$99)*(1+'01 Major Assumptions'!$D$98/12)*(1+'01 Major Assumptions'!$D$25)^'02 Oil Price Analysis'!N$57)</f>
        <v>0</v>
      </c>
      <c r="O43" s="90">
        <f>IF('01 Major Assumptions'!O$15=0,0,$D43*$E43*'01 Major Assumptions'!O$14*(1+'01 Major Assumptions'!$D$97+'01 Major Assumptions'!$D$99)*(1+'01 Major Assumptions'!$D$98/12)*(1+'01 Major Assumptions'!$D$25)^'02 Oil Price Analysis'!O$57)</f>
        <v>0</v>
      </c>
      <c r="P43" s="90">
        <f>IF('01 Major Assumptions'!P$15=0,0,$D43*$E43*'01 Major Assumptions'!P$14*(1+'01 Major Assumptions'!$D$97+'01 Major Assumptions'!$D$99)*(1+'01 Major Assumptions'!$D$98/12)*(1+'01 Major Assumptions'!$D$25)^'02 Oil Price Analysis'!P$57)</f>
        <v>0</v>
      </c>
      <c r="Q43" s="90">
        <f>IF('01 Major Assumptions'!Q$15=0,0,$D43*$E43*'01 Major Assumptions'!Q$14*(1+'01 Major Assumptions'!$D$97+'01 Major Assumptions'!$D$99)*(1+'01 Major Assumptions'!$D$98/12)*(1+'01 Major Assumptions'!$D$25)^'02 Oil Price Analysis'!Q$57)</f>
        <v>0</v>
      </c>
      <c r="R43" s="90">
        <f>IF('01 Major Assumptions'!R$15=0,0,$D43*$E43*'01 Major Assumptions'!R$14*(1+'01 Major Assumptions'!$D$97+'01 Major Assumptions'!$D$99)*(1+'01 Major Assumptions'!$D$98/12)*(1+'01 Major Assumptions'!$D$25)^'02 Oil Price Analysis'!R$57)</f>
        <v>0</v>
      </c>
      <c r="S43" s="90">
        <f>IF('01 Major Assumptions'!S$15=0,0,$D43*$E43*'01 Major Assumptions'!S$14*(1+'01 Major Assumptions'!$D$97+'01 Major Assumptions'!$D$99)*(1+'01 Major Assumptions'!$D$98/12)*(1+'01 Major Assumptions'!$D$25)^'02 Oil Price Analysis'!S$57)</f>
        <v>0</v>
      </c>
      <c r="T43" s="90">
        <f>IF('01 Major Assumptions'!T$15=0,0,$D43*$E43*'01 Major Assumptions'!T$14*(1+'01 Major Assumptions'!$D$97+'01 Major Assumptions'!$D$99)*(1+'01 Major Assumptions'!$D$98/12)*(1+'01 Major Assumptions'!$D$25)^'02 Oil Price Analysis'!T$57)</f>
        <v>0</v>
      </c>
      <c r="U43" s="90">
        <f>IF('01 Major Assumptions'!U$15=0,0,$D43*$E43*'01 Major Assumptions'!U$14*(1+'01 Major Assumptions'!$D$97+'01 Major Assumptions'!$D$99)*(1+'01 Major Assumptions'!$D$98/12)*(1+'01 Major Assumptions'!$D$25)^'02 Oil Price Analysis'!U$57)</f>
        <v>0</v>
      </c>
      <c r="V43" s="90">
        <f>IF('01 Major Assumptions'!V$15=0,0,$D43*$E43*'01 Major Assumptions'!V$14*(1+'01 Major Assumptions'!$D$97+'01 Major Assumptions'!$D$99)*(1+'01 Major Assumptions'!$D$98/12)*(1+'01 Major Assumptions'!$D$25)^'02 Oil Price Analysis'!V$57)</f>
        <v>0</v>
      </c>
      <c r="W43" s="90">
        <f>IF('01 Major Assumptions'!W$15=0,0,$D43*$E43*'01 Major Assumptions'!W$14*(1+'01 Major Assumptions'!$D$97+'01 Major Assumptions'!$D$99)*(1+'01 Major Assumptions'!$D$98/12)*(1+'01 Major Assumptions'!$D$25)^'02 Oil Price Analysis'!W$57)</f>
        <v>0</v>
      </c>
      <c r="X43" s="90">
        <f>IF('01 Major Assumptions'!X$15=0,0,$D43*$E43*'01 Major Assumptions'!X$14*(1+'01 Major Assumptions'!$D$97+'01 Major Assumptions'!$D$99)*(1+'01 Major Assumptions'!$D$98/12)*(1+'01 Major Assumptions'!$D$25)^'02 Oil Price Analysis'!X$57)</f>
        <v>0</v>
      </c>
      <c r="Y43" s="90">
        <f>IF('01 Major Assumptions'!Y$15=0,0,$D43*$E43*'01 Major Assumptions'!Y$14*(1+'01 Major Assumptions'!$D$97+'01 Major Assumptions'!$D$99)*(1+'01 Major Assumptions'!$D$98/12)*(1+'01 Major Assumptions'!$D$25)^'02 Oil Price Analysis'!Y$57)</f>
        <v>0</v>
      </c>
      <c r="Z43" s="90">
        <f>IF('01 Major Assumptions'!Z$15=0,0,$D43*$E43*'01 Major Assumptions'!Z$14*(1+'01 Major Assumptions'!$D$97+'01 Major Assumptions'!$D$99)*(1+'01 Major Assumptions'!$D$98/12)*(1+'01 Major Assumptions'!$D$25)^'02 Oil Price Analysis'!Z$57)</f>
        <v>0</v>
      </c>
      <c r="AA43" s="90">
        <f>IF('01 Major Assumptions'!AA$15=0,0,$D43*$E43*'01 Major Assumptions'!AA$14*(1+'01 Major Assumptions'!$D$97+'01 Major Assumptions'!$D$99)*(1+'01 Major Assumptions'!$D$98/12)*(1+'01 Major Assumptions'!$D$25)^'02 Oil Price Analysis'!AA$57)</f>
        <v>0</v>
      </c>
      <c r="AB43" s="90">
        <f>IF('01 Major Assumptions'!AB$15=0,0,$D43*$E43*'01 Major Assumptions'!AB$14*(1+'01 Major Assumptions'!$D$97+'01 Major Assumptions'!$D$99)*(1+'01 Major Assumptions'!$D$98/12)*(1+'01 Major Assumptions'!$D$25)^'02 Oil Price Analysis'!AB$57)</f>
        <v>154245</v>
      </c>
      <c r="AC43" s="90">
        <f>IF('01 Major Assumptions'!AC$15=0,0,$D43*$E43*'01 Major Assumptions'!AC$14*(1+'01 Major Assumptions'!$D$97+'01 Major Assumptions'!$D$99)*(1+'01 Major Assumptions'!$D$98/12)*(1+'01 Major Assumptions'!$D$25)^'02 Oil Price Analysis'!AC$57)</f>
        <v>154245</v>
      </c>
      <c r="AD43" s="90">
        <f>IF('01 Major Assumptions'!AD$15=0,0,$D43*$E43*'01 Major Assumptions'!AD$14*(1+'01 Major Assumptions'!$D$97+'01 Major Assumptions'!$D$99)*(1+'01 Major Assumptions'!$D$98/12)*(1+'01 Major Assumptions'!$D$25)^'02 Oil Price Analysis'!AD$57)</f>
        <v>154245</v>
      </c>
      <c r="AE43" s="90">
        <f>IF('01 Major Assumptions'!AE$15=0,0,$D43*$E43*'01 Major Assumptions'!AE$14*(1+'01 Major Assumptions'!$D$97+'01 Major Assumptions'!$D$99)*(1+'01 Major Assumptions'!$D$98/12)*(1+'01 Major Assumptions'!$D$25)^'02 Oil Price Analysis'!AE$57)</f>
        <v>161957.25</v>
      </c>
      <c r="AF43" s="90">
        <f>IF('01 Major Assumptions'!AF$15=0,0,$D43*$E43*'01 Major Assumptions'!AF$14*(1+'01 Major Assumptions'!$D$97+'01 Major Assumptions'!$D$99)*(1+'01 Major Assumptions'!$D$98/12)*(1+'01 Major Assumptions'!$D$25)^'02 Oil Price Analysis'!AF$57)</f>
        <v>161957.25</v>
      </c>
      <c r="AG43" s="90">
        <f>IF('01 Major Assumptions'!AG$15=0,0,$D43*$E43*'01 Major Assumptions'!AG$14*(1+'01 Major Assumptions'!$D$97+'01 Major Assumptions'!$D$99)*(1+'01 Major Assumptions'!$D$98/12)*(1+'01 Major Assumptions'!$D$25)^'02 Oil Price Analysis'!AG$57)</f>
        <v>161957.25</v>
      </c>
      <c r="AH43" s="90">
        <f>IF('01 Major Assumptions'!AH$15=0,0,$D43*$E43*'01 Major Assumptions'!AH$14*(1+'01 Major Assumptions'!$D$97+'01 Major Assumptions'!$D$99)*(1+'01 Major Assumptions'!$D$98/12)*(1+'01 Major Assumptions'!$D$25)^'02 Oil Price Analysis'!AH$57)</f>
        <v>161957.25</v>
      </c>
      <c r="AI43" s="90">
        <f>IF('01 Major Assumptions'!AI$15=0,0,$D43*$E43*'01 Major Assumptions'!AI$14*(1+'01 Major Assumptions'!$D$97+'01 Major Assumptions'!$D$99)*(1+'01 Major Assumptions'!$D$98/12)*(1+'01 Major Assumptions'!$D$25)^'02 Oil Price Analysis'!AI$57)</f>
        <v>161957.25</v>
      </c>
      <c r="AJ43" s="90">
        <f>IF('01 Major Assumptions'!AJ$15=0,0,$D43*$E43*'01 Major Assumptions'!AJ$14*(1+'01 Major Assumptions'!$D$97+'01 Major Assumptions'!$D$99)*(1+'01 Major Assumptions'!$D$98/12)*(1+'01 Major Assumptions'!$D$25)^'02 Oil Price Analysis'!AJ$57)</f>
        <v>161957.25</v>
      </c>
      <c r="AK43" s="90">
        <f>IF('01 Major Assumptions'!AK$15=0,0,$D43*$E43*'01 Major Assumptions'!AK$14*(1+'01 Major Assumptions'!$D$97+'01 Major Assumptions'!$D$99)*(1+'01 Major Assumptions'!$D$98/12)*(1+'01 Major Assumptions'!$D$25)^'02 Oil Price Analysis'!AK$57)</f>
        <v>161957.25</v>
      </c>
      <c r="AL43" s="90">
        <f>IF('01 Major Assumptions'!AL$15=0,0,$D43*$E43*'01 Major Assumptions'!AL$14*(1+'01 Major Assumptions'!$D$97+'01 Major Assumptions'!$D$99)*(1+'01 Major Assumptions'!$D$98/12)*(1+'01 Major Assumptions'!$D$25)^'02 Oil Price Analysis'!AL$57)</f>
        <v>161957.25</v>
      </c>
      <c r="AM43" s="90">
        <f>IF('01 Major Assumptions'!AM$15=0,0,$D43*$E43*'01 Major Assumptions'!AM$14*(1+'01 Major Assumptions'!$D$97+'01 Major Assumptions'!$D$99)*(1+'01 Major Assumptions'!$D$98/12)*(1+'01 Major Assumptions'!$D$25)^'02 Oil Price Analysis'!AM$57)</f>
        <v>161957.25</v>
      </c>
      <c r="AN43" s="90">
        <f>IF('01 Major Assumptions'!AN$15=0,0,$D43*$E43*'01 Major Assumptions'!AN$14*(1+'01 Major Assumptions'!$D$97+'01 Major Assumptions'!$D$99)*(1+'01 Major Assumptions'!$D$98/12)*(1+'01 Major Assumptions'!$D$25)^'02 Oil Price Analysis'!AN$57)</f>
        <v>161957.25</v>
      </c>
      <c r="AO43" s="90">
        <f>IF('01 Major Assumptions'!AO$15=0,0,$D43*$E43*'01 Major Assumptions'!AO$14*(1+'01 Major Assumptions'!$D$97+'01 Major Assumptions'!$D$99)*(1+'01 Major Assumptions'!$D$98/12)*(1+'01 Major Assumptions'!$D$25)^'02 Oil Price Analysis'!AO$57)</f>
        <v>161957.25</v>
      </c>
      <c r="AP43" s="90">
        <f>IF('01 Major Assumptions'!AP$15=0,0,$D43*$E43*'01 Major Assumptions'!AP$14*(1+'01 Major Assumptions'!$D$97+'01 Major Assumptions'!$D$99)*(1+'01 Major Assumptions'!$D$98/12)*(1+'01 Major Assumptions'!$D$25)^'02 Oil Price Analysis'!AP$57)</f>
        <v>161957.25</v>
      </c>
      <c r="AQ43" s="90">
        <f>IF('01 Major Assumptions'!AQ$15=0,0,$D43*$E43*'01 Major Assumptions'!AQ$14*(1+'01 Major Assumptions'!$D$97+'01 Major Assumptions'!$D$99)*(1+'01 Major Assumptions'!$D$98/12)*(1+'01 Major Assumptions'!$D$25)^'02 Oil Price Analysis'!AQ$57)</f>
        <v>170055.11250000002</v>
      </c>
      <c r="AR43" s="90">
        <f>IF('01 Major Assumptions'!AR$15=0,0,$D43*$E43*'01 Major Assumptions'!AR$14*(1+'01 Major Assumptions'!$D$97+'01 Major Assumptions'!$D$99)*(1+'01 Major Assumptions'!$D$98/12)*(1+'01 Major Assumptions'!$D$25)^'02 Oil Price Analysis'!AR$57)</f>
        <v>170055.11250000002</v>
      </c>
      <c r="AS43" s="90">
        <f>IF('01 Major Assumptions'!AS$15=0,0,$D43*$E43*'01 Major Assumptions'!AS$14*(1+'01 Major Assumptions'!$D$97+'01 Major Assumptions'!$D$99)*(1+'01 Major Assumptions'!$D$98/12)*(1+'01 Major Assumptions'!$D$25)^'02 Oil Price Analysis'!AS$57)</f>
        <v>170055.11250000002</v>
      </c>
      <c r="AT43" s="90">
        <f>IF('01 Major Assumptions'!AT$15=0,0,$D43*$E43*'01 Major Assumptions'!AT$14*(1+'01 Major Assumptions'!$D$97+'01 Major Assumptions'!$D$99)*(1+'01 Major Assumptions'!$D$98/12)*(1+'01 Major Assumptions'!$D$25)^'02 Oil Price Analysis'!AT$57)</f>
        <v>170055.11250000002</v>
      </c>
      <c r="AU43" s="90">
        <f>IF('01 Major Assumptions'!AU$15=0,0,$D43*$E43*'01 Major Assumptions'!AU$14*(1+'01 Major Assumptions'!$D$97+'01 Major Assumptions'!$D$99)*(1+'01 Major Assumptions'!$D$98/12)*(1+'01 Major Assumptions'!$D$25)^'02 Oil Price Analysis'!AU$57)</f>
        <v>170055.11250000002</v>
      </c>
      <c r="AV43" s="90">
        <f>IF('01 Major Assumptions'!AV$15=0,0,$D43*$E43*'01 Major Assumptions'!AV$14*(1+'01 Major Assumptions'!$D$97+'01 Major Assumptions'!$D$99)*(1+'01 Major Assumptions'!$D$98/12)*(1+'01 Major Assumptions'!$D$25)^'02 Oil Price Analysis'!AV$57)</f>
        <v>170055.11250000002</v>
      </c>
      <c r="AW43" s="90">
        <f>IF('01 Major Assumptions'!AW$15=0,0,$D43*$E43*'01 Major Assumptions'!AW$14*(1+'01 Major Assumptions'!$D$97+'01 Major Assumptions'!$D$99)*(1+'01 Major Assumptions'!$D$98/12)*(1+'01 Major Assumptions'!$D$25)^'02 Oil Price Analysis'!AW$57)</f>
        <v>170055.11250000002</v>
      </c>
      <c r="AX43" s="90">
        <f>IF('01 Major Assumptions'!AX$15=0,0,$D43*$E43*'01 Major Assumptions'!AX$14*(1+'01 Major Assumptions'!$D$97+'01 Major Assumptions'!$D$99)*(1+'01 Major Assumptions'!$D$98/12)*(1+'01 Major Assumptions'!$D$25)^'02 Oil Price Analysis'!AX$57)</f>
        <v>170055.11250000002</v>
      </c>
      <c r="AY43" s="90">
        <f>IF('01 Major Assumptions'!AY$15=0,0,$D43*$E43*'01 Major Assumptions'!AY$14*(1+'01 Major Assumptions'!$D$97+'01 Major Assumptions'!$D$99)*(1+'01 Major Assumptions'!$D$98/12)*(1+'01 Major Assumptions'!$D$25)^'02 Oil Price Analysis'!AY$57)</f>
        <v>170055.11250000002</v>
      </c>
      <c r="AZ43" s="90">
        <f>IF('01 Major Assumptions'!AZ$15=0,0,$D43*$E43*'01 Major Assumptions'!AZ$14*(1+'01 Major Assumptions'!$D$97+'01 Major Assumptions'!$D$99)*(1+'01 Major Assumptions'!$D$98/12)*(1+'01 Major Assumptions'!$D$25)^'02 Oil Price Analysis'!AZ$57)</f>
        <v>170055.11250000002</v>
      </c>
      <c r="BA43" s="90">
        <f>IF('01 Major Assumptions'!BA$15=0,0,$D43*$E43*'01 Major Assumptions'!BA$14*(1+'01 Major Assumptions'!$D$97+'01 Major Assumptions'!$D$99)*(1+'01 Major Assumptions'!$D$98/12)*(1+'01 Major Assumptions'!$D$25)^'02 Oil Price Analysis'!BA$57)</f>
        <v>170055.11250000002</v>
      </c>
      <c r="BB43" s="90">
        <f>IF('01 Major Assumptions'!BB$15=0,0,$D43*$E43*'01 Major Assumptions'!BB$14*(1+'01 Major Assumptions'!$D$97+'01 Major Assumptions'!$D$99)*(1+'01 Major Assumptions'!$D$98/12)*(1+'01 Major Assumptions'!$D$25)^'02 Oil Price Analysis'!BB$57)</f>
        <v>170055.11250000002</v>
      </c>
      <c r="BC43" s="90">
        <f>IF('01 Major Assumptions'!BC$15=0,0,$D43*$E43*'01 Major Assumptions'!BC$14*(1+'01 Major Assumptions'!$D$97+'01 Major Assumptions'!$D$99)*(1+'01 Major Assumptions'!$D$98/12)*(1+'01 Major Assumptions'!$D$25)^'02 Oil Price Analysis'!BC$57)</f>
        <v>178557.86812500001</v>
      </c>
      <c r="BD43" s="90">
        <f>IF('01 Major Assumptions'!BD$15=0,0,$D43*$E43*'01 Major Assumptions'!BD$14*(1+'01 Major Assumptions'!$D$97+'01 Major Assumptions'!$D$99)*(1+'01 Major Assumptions'!$D$98/12)*(1+'01 Major Assumptions'!$D$25)^'02 Oil Price Analysis'!BD$57)</f>
        <v>178557.86812500001</v>
      </c>
      <c r="BE43" s="90">
        <f>IF('01 Major Assumptions'!BE$15=0,0,$D43*$E43*'01 Major Assumptions'!BE$14*(1+'01 Major Assumptions'!$D$97+'01 Major Assumptions'!$D$99)*(1+'01 Major Assumptions'!$D$98/12)*(1+'01 Major Assumptions'!$D$25)^'02 Oil Price Analysis'!BE$57)</f>
        <v>178557.86812500001</v>
      </c>
      <c r="BF43" s="90">
        <f>IF('01 Major Assumptions'!BF$15=0,0,$D43*$E43*'01 Major Assumptions'!BF$14*(1+'01 Major Assumptions'!$D$97+'01 Major Assumptions'!$D$99)*(1+'01 Major Assumptions'!$D$98/12)*(1+'01 Major Assumptions'!$D$25)^'02 Oil Price Analysis'!BF$57)</f>
        <v>178557.86812500001</v>
      </c>
      <c r="BG43" s="90">
        <f>IF('01 Major Assumptions'!BG$15=0,0,$D43*$E43*'01 Major Assumptions'!BG$14*(1+'01 Major Assumptions'!$D$97+'01 Major Assumptions'!$D$99)*(1+'01 Major Assumptions'!$D$98/12)*(1+'01 Major Assumptions'!$D$25)^'02 Oil Price Analysis'!BG$57)</f>
        <v>178557.86812500001</v>
      </c>
      <c r="BH43" s="90">
        <f>IF('01 Major Assumptions'!BH$15=0,0,$D43*$E43*'01 Major Assumptions'!BH$14*(1+'01 Major Assumptions'!$D$97+'01 Major Assumptions'!$D$99)*(1+'01 Major Assumptions'!$D$98/12)*(1+'01 Major Assumptions'!$D$25)^'02 Oil Price Analysis'!BH$57)</f>
        <v>178557.86812500001</v>
      </c>
      <c r="BI43" s="90">
        <f>IF('01 Major Assumptions'!BI$15=0,0,$D43*$E43*'01 Major Assumptions'!BI$14*(1+'01 Major Assumptions'!$D$97+'01 Major Assumptions'!$D$99)*(1+'01 Major Assumptions'!$D$98/12)*(1+'01 Major Assumptions'!$D$25)^'02 Oil Price Analysis'!BI$57)</f>
        <v>2249829.1383750006</v>
      </c>
      <c r="BJ43" s="90">
        <f>IF('01 Major Assumptions'!BJ$15=0,0,$D43*$E43*'01 Major Assumptions'!BJ$14*(1+'01 Major Assumptions'!$D$97+'01 Major Assumptions'!$D$99)*(1+'01 Major Assumptions'!$D$98/12)*(1+'01 Major Assumptions'!$D$25)^'02 Oil Price Analysis'!BJ$57)</f>
        <v>2362320.5952937501</v>
      </c>
      <c r="BK43" s="90">
        <f>IF('01 Major Assumptions'!BK$15=0,0,$D43*$E43*'01 Major Assumptions'!BK$14*(1+'01 Major Assumptions'!$D$97+'01 Major Assumptions'!$D$99)*(1+'01 Major Assumptions'!$D$98/12)*(1+'01 Major Assumptions'!$D$25)^'02 Oil Price Analysis'!BK$57)</f>
        <v>2480436.6250584382</v>
      </c>
      <c r="BL43" s="90">
        <f>IF('01 Major Assumptions'!BL$15=0,0,$D43*$E43*'01 Major Assumptions'!BL$14*(1+'01 Major Assumptions'!$D$97+'01 Major Assumptions'!$D$99)*(1+'01 Major Assumptions'!$D$98/12)*(1+'01 Major Assumptions'!$D$25)^'02 Oil Price Analysis'!BL$57)</f>
        <v>2604458.45631136</v>
      </c>
      <c r="BM43" s="90">
        <f>IF('01 Major Assumptions'!BM$15=0,0,$D43*$E43*'01 Major Assumptions'!BM$14*(1+'01 Major Assumptions'!$D$97+'01 Major Assumptions'!$D$99)*(1+'01 Major Assumptions'!$D$98/12)*(1+'01 Major Assumptions'!$D$25)^'02 Oil Price Analysis'!BM$57)</f>
        <v>2734681.3791269278</v>
      </c>
      <c r="BN43" s="90">
        <f>IF('01 Major Assumptions'!BN$15=0,0,$D43*$E43*'01 Major Assumptions'!BN$14*(1+'01 Major Assumptions'!$D$97+'01 Major Assumptions'!$D$99)*(1+'01 Major Assumptions'!$D$98/12)*(1+'01 Major Assumptions'!$D$25)^'02 Oil Price Analysis'!BN$57)</f>
        <v>2871415.4480832745</v>
      </c>
      <c r="BO43" s="90">
        <f>IF('01 Major Assumptions'!BO$15=0,0,$D43*$E43*'01 Major Assumptions'!BO$14*(1+'01 Major Assumptions'!$D$97+'01 Major Assumptions'!$D$99)*(1+'01 Major Assumptions'!$D$98/12)*(1+'01 Major Assumptions'!$D$25)^'02 Oil Price Analysis'!BO$57)</f>
        <v>3014986.2204874381</v>
      </c>
    </row>
    <row r="44" spans="1:67">
      <c r="A44" s="11"/>
      <c r="B44" s="32" t="str">
        <f>'01 Major Assumptions'!B90</f>
        <v>EHS officer</v>
      </c>
      <c r="C44" s="11"/>
      <c r="D44" s="92">
        <f>'01 Major Assumptions'!$C$90</f>
        <v>2</v>
      </c>
      <c r="E44" s="92">
        <f>'01 Major Assumptions'!$D$90</f>
        <v>35000</v>
      </c>
      <c r="F44" s="10" t="s">
        <v>13</v>
      </c>
      <c r="G44" s="90">
        <f>IF('01 Major Assumptions'!G$15=0,0,$D44*$E44*'01 Major Assumptions'!G$14*(1+'01 Major Assumptions'!$D$97+'01 Major Assumptions'!$D$99)*(1+'01 Major Assumptions'!$D$98/12)*(1+'01 Major Assumptions'!$D$25)^'02 Oil Price Analysis'!G$57)</f>
        <v>0</v>
      </c>
      <c r="H44" s="90">
        <f>IF('01 Major Assumptions'!H$15=0,0,$D44*$E44*'01 Major Assumptions'!H$14*(1+'01 Major Assumptions'!$D$97+'01 Major Assumptions'!$D$99)*(1+'01 Major Assumptions'!$D$98/12)*(1+'01 Major Assumptions'!$D$25)^'02 Oil Price Analysis'!H$57)</f>
        <v>0</v>
      </c>
      <c r="I44" s="90">
        <f>IF('01 Major Assumptions'!I$15=0,0,$D44*$E44*'01 Major Assumptions'!I$14*(1+'01 Major Assumptions'!$D$97+'01 Major Assumptions'!$D$99)*(1+'01 Major Assumptions'!$D$98/12)*(1+'01 Major Assumptions'!$D$25)^'02 Oil Price Analysis'!I$57)</f>
        <v>0</v>
      </c>
      <c r="J44" s="90">
        <f>IF('01 Major Assumptions'!J$15=0,0,$D44*$E44*'01 Major Assumptions'!J$14*(1+'01 Major Assumptions'!$D$97+'01 Major Assumptions'!$D$99)*(1+'01 Major Assumptions'!$D$98/12)*(1+'01 Major Assumptions'!$D$25)^'02 Oil Price Analysis'!J$57)</f>
        <v>0</v>
      </c>
      <c r="K44" s="90">
        <f>IF('01 Major Assumptions'!K$15=0,0,$D44*$E44*'01 Major Assumptions'!K$14*(1+'01 Major Assumptions'!$D$97+'01 Major Assumptions'!$D$99)*(1+'01 Major Assumptions'!$D$98/12)*(1+'01 Major Assumptions'!$D$25)^'02 Oil Price Analysis'!K$57)</f>
        <v>0</v>
      </c>
      <c r="L44" s="90">
        <f>IF('01 Major Assumptions'!L$15=0,0,$D44*$E44*'01 Major Assumptions'!L$14*(1+'01 Major Assumptions'!$D$97+'01 Major Assumptions'!$D$99)*(1+'01 Major Assumptions'!$D$98/12)*(1+'01 Major Assumptions'!$D$25)^'02 Oil Price Analysis'!L$57)</f>
        <v>0</v>
      </c>
      <c r="M44" s="90">
        <f>IF('01 Major Assumptions'!M$15=0,0,$D44*$E44*'01 Major Assumptions'!M$14*(1+'01 Major Assumptions'!$D$97+'01 Major Assumptions'!$D$99)*(1+'01 Major Assumptions'!$D$98/12)*(1+'01 Major Assumptions'!$D$25)^'02 Oil Price Analysis'!M$57)</f>
        <v>0</v>
      </c>
      <c r="N44" s="90">
        <f>IF('01 Major Assumptions'!N$15=0,0,$D44*$E44*'01 Major Assumptions'!N$14*(1+'01 Major Assumptions'!$D$97+'01 Major Assumptions'!$D$99)*(1+'01 Major Assumptions'!$D$98/12)*(1+'01 Major Assumptions'!$D$25)^'02 Oil Price Analysis'!N$57)</f>
        <v>0</v>
      </c>
      <c r="O44" s="90">
        <f>IF('01 Major Assumptions'!O$15=0,0,$D44*$E44*'01 Major Assumptions'!O$14*(1+'01 Major Assumptions'!$D$97+'01 Major Assumptions'!$D$99)*(1+'01 Major Assumptions'!$D$98/12)*(1+'01 Major Assumptions'!$D$25)^'02 Oil Price Analysis'!O$57)</f>
        <v>0</v>
      </c>
      <c r="P44" s="90">
        <f>IF('01 Major Assumptions'!P$15=0,0,$D44*$E44*'01 Major Assumptions'!P$14*(1+'01 Major Assumptions'!$D$97+'01 Major Assumptions'!$D$99)*(1+'01 Major Assumptions'!$D$98/12)*(1+'01 Major Assumptions'!$D$25)^'02 Oil Price Analysis'!P$57)</f>
        <v>0</v>
      </c>
      <c r="Q44" s="90">
        <f>IF('01 Major Assumptions'!Q$15=0,0,$D44*$E44*'01 Major Assumptions'!Q$14*(1+'01 Major Assumptions'!$D$97+'01 Major Assumptions'!$D$99)*(1+'01 Major Assumptions'!$D$98/12)*(1+'01 Major Assumptions'!$D$25)^'02 Oil Price Analysis'!Q$57)</f>
        <v>0</v>
      </c>
      <c r="R44" s="90">
        <f>IF('01 Major Assumptions'!R$15=0,0,$D44*$E44*'01 Major Assumptions'!R$14*(1+'01 Major Assumptions'!$D$97+'01 Major Assumptions'!$D$99)*(1+'01 Major Assumptions'!$D$98/12)*(1+'01 Major Assumptions'!$D$25)^'02 Oil Price Analysis'!R$57)</f>
        <v>0</v>
      </c>
      <c r="S44" s="90">
        <f>IF('01 Major Assumptions'!S$15=0,0,$D44*$E44*'01 Major Assumptions'!S$14*(1+'01 Major Assumptions'!$D$97+'01 Major Assumptions'!$D$99)*(1+'01 Major Assumptions'!$D$98/12)*(1+'01 Major Assumptions'!$D$25)^'02 Oil Price Analysis'!S$57)</f>
        <v>0</v>
      </c>
      <c r="T44" s="90">
        <f>IF('01 Major Assumptions'!T$15=0,0,$D44*$E44*'01 Major Assumptions'!T$14*(1+'01 Major Assumptions'!$D$97+'01 Major Assumptions'!$D$99)*(1+'01 Major Assumptions'!$D$98/12)*(1+'01 Major Assumptions'!$D$25)^'02 Oil Price Analysis'!T$57)</f>
        <v>0</v>
      </c>
      <c r="U44" s="90">
        <f>IF('01 Major Assumptions'!U$15=0,0,$D44*$E44*'01 Major Assumptions'!U$14*(1+'01 Major Assumptions'!$D$97+'01 Major Assumptions'!$D$99)*(1+'01 Major Assumptions'!$D$98/12)*(1+'01 Major Assumptions'!$D$25)^'02 Oil Price Analysis'!U$57)</f>
        <v>0</v>
      </c>
      <c r="V44" s="90">
        <f>IF('01 Major Assumptions'!V$15=0,0,$D44*$E44*'01 Major Assumptions'!V$14*(1+'01 Major Assumptions'!$D$97+'01 Major Assumptions'!$D$99)*(1+'01 Major Assumptions'!$D$98/12)*(1+'01 Major Assumptions'!$D$25)^'02 Oil Price Analysis'!V$57)</f>
        <v>0</v>
      </c>
      <c r="W44" s="90">
        <f>IF('01 Major Assumptions'!W$15=0,0,$D44*$E44*'01 Major Assumptions'!W$14*(1+'01 Major Assumptions'!$D$97+'01 Major Assumptions'!$D$99)*(1+'01 Major Assumptions'!$D$98/12)*(1+'01 Major Assumptions'!$D$25)^'02 Oil Price Analysis'!W$57)</f>
        <v>0</v>
      </c>
      <c r="X44" s="90">
        <f>IF('01 Major Assumptions'!X$15=0,0,$D44*$E44*'01 Major Assumptions'!X$14*(1+'01 Major Assumptions'!$D$97+'01 Major Assumptions'!$D$99)*(1+'01 Major Assumptions'!$D$98/12)*(1+'01 Major Assumptions'!$D$25)^'02 Oil Price Analysis'!X$57)</f>
        <v>0</v>
      </c>
      <c r="Y44" s="90">
        <f>IF('01 Major Assumptions'!Y$15=0,0,$D44*$E44*'01 Major Assumptions'!Y$14*(1+'01 Major Assumptions'!$D$97+'01 Major Assumptions'!$D$99)*(1+'01 Major Assumptions'!$D$98/12)*(1+'01 Major Assumptions'!$D$25)^'02 Oil Price Analysis'!Y$57)</f>
        <v>0</v>
      </c>
      <c r="Z44" s="90">
        <f>IF('01 Major Assumptions'!Z$15=0,0,$D44*$E44*'01 Major Assumptions'!Z$14*(1+'01 Major Assumptions'!$D$97+'01 Major Assumptions'!$D$99)*(1+'01 Major Assumptions'!$D$98/12)*(1+'01 Major Assumptions'!$D$25)^'02 Oil Price Analysis'!Z$57)</f>
        <v>0</v>
      </c>
      <c r="AA44" s="90">
        <f>IF('01 Major Assumptions'!AA$15=0,0,$D44*$E44*'01 Major Assumptions'!AA$14*(1+'01 Major Assumptions'!$D$97+'01 Major Assumptions'!$D$99)*(1+'01 Major Assumptions'!$D$98/12)*(1+'01 Major Assumptions'!$D$25)^'02 Oil Price Analysis'!AA$57)</f>
        <v>0</v>
      </c>
      <c r="AB44" s="90">
        <f>IF('01 Major Assumptions'!AB$15=0,0,$D44*$E44*'01 Major Assumptions'!AB$14*(1+'01 Major Assumptions'!$D$97+'01 Major Assumptions'!$D$99)*(1+'01 Major Assumptions'!$D$98/12)*(1+'01 Major Assumptions'!$D$25)^'02 Oil Price Analysis'!AB$57)</f>
        <v>89976.250000000015</v>
      </c>
      <c r="AC44" s="90">
        <f>IF('01 Major Assumptions'!AC$15=0,0,$D44*$E44*'01 Major Assumptions'!AC$14*(1+'01 Major Assumptions'!$D$97+'01 Major Assumptions'!$D$99)*(1+'01 Major Assumptions'!$D$98/12)*(1+'01 Major Assumptions'!$D$25)^'02 Oil Price Analysis'!AC$57)</f>
        <v>89976.250000000015</v>
      </c>
      <c r="AD44" s="90">
        <f>IF('01 Major Assumptions'!AD$15=0,0,$D44*$E44*'01 Major Assumptions'!AD$14*(1+'01 Major Assumptions'!$D$97+'01 Major Assumptions'!$D$99)*(1+'01 Major Assumptions'!$D$98/12)*(1+'01 Major Assumptions'!$D$25)^'02 Oil Price Analysis'!AD$57)</f>
        <v>89976.250000000015</v>
      </c>
      <c r="AE44" s="90">
        <f>IF('01 Major Assumptions'!AE$15=0,0,$D44*$E44*'01 Major Assumptions'!AE$14*(1+'01 Major Assumptions'!$D$97+'01 Major Assumptions'!$D$99)*(1+'01 Major Assumptions'!$D$98/12)*(1+'01 Major Assumptions'!$D$25)^'02 Oil Price Analysis'!AE$57)</f>
        <v>94475.062500000015</v>
      </c>
      <c r="AF44" s="90">
        <f>IF('01 Major Assumptions'!AF$15=0,0,$D44*$E44*'01 Major Assumptions'!AF$14*(1+'01 Major Assumptions'!$D$97+'01 Major Assumptions'!$D$99)*(1+'01 Major Assumptions'!$D$98/12)*(1+'01 Major Assumptions'!$D$25)^'02 Oil Price Analysis'!AF$57)</f>
        <v>94475.062500000015</v>
      </c>
      <c r="AG44" s="90">
        <f>IF('01 Major Assumptions'!AG$15=0,0,$D44*$E44*'01 Major Assumptions'!AG$14*(1+'01 Major Assumptions'!$D$97+'01 Major Assumptions'!$D$99)*(1+'01 Major Assumptions'!$D$98/12)*(1+'01 Major Assumptions'!$D$25)^'02 Oil Price Analysis'!AG$57)</f>
        <v>94475.062500000015</v>
      </c>
      <c r="AH44" s="90">
        <f>IF('01 Major Assumptions'!AH$15=0,0,$D44*$E44*'01 Major Assumptions'!AH$14*(1+'01 Major Assumptions'!$D$97+'01 Major Assumptions'!$D$99)*(1+'01 Major Assumptions'!$D$98/12)*(1+'01 Major Assumptions'!$D$25)^'02 Oil Price Analysis'!AH$57)</f>
        <v>94475.062500000015</v>
      </c>
      <c r="AI44" s="90">
        <f>IF('01 Major Assumptions'!AI$15=0,0,$D44*$E44*'01 Major Assumptions'!AI$14*(1+'01 Major Assumptions'!$D$97+'01 Major Assumptions'!$D$99)*(1+'01 Major Assumptions'!$D$98/12)*(1+'01 Major Assumptions'!$D$25)^'02 Oil Price Analysis'!AI$57)</f>
        <v>94475.062500000015</v>
      </c>
      <c r="AJ44" s="90">
        <f>IF('01 Major Assumptions'!AJ$15=0,0,$D44*$E44*'01 Major Assumptions'!AJ$14*(1+'01 Major Assumptions'!$D$97+'01 Major Assumptions'!$D$99)*(1+'01 Major Assumptions'!$D$98/12)*(1+'01 Major Assumptions'!$D$25)^'02 Oil Price Analysis'!AJ$57)</f>
        <v>94475.062500000015</v>
      </c>
      <c r="AK44" s="90">
        <f>IF('01 Major Assumptions'!AK$15=0,0,$D44*$E44*'01 Major Assumptions'!AK$14*(1+'01 Major Assumptions'!$D$97+'01 Major Assumptions'!$D$99)*(1+'01 Major Assumptions'!$D$98/12)*(1+'01 Major Assumptions'!$D$25)^'02 Oil Price Analysis'!AK$57)</f>
        <v>94475.062500000015</v>
      </c>
      <c r="AL44" s="90">
        <f>IF('01 Major Assumptions'!AL$15=0,0,$D44*$E44*'01 Major Assumptions'!AL$14*(1+'01 Major Assumptions'!$D$97+'01 Major Assumptions'!$D$99)*(1+'01 Major Assumptions'!$D$98/12)*(1+'01 Major Assumptions'!$D$25)^'02 Oil Price Analysis'!AL$57)</f>
        <v>94475.062500000015</v>
      </c>
      <c r="AM44" s="90">
        <f>IF('01 Major Assumptions'!AM$15=0,0,$D44*$E44*'01 Major Assumptions'!AM$14*(1+'01 Major Assumptions'!$D$97+'01 Major Assumptions'!$D$99)*(1+'01 Major Assumptions'!$D$98/12)*(1+'01 Major Assumptions'!$D$25)^'02 Oil Price Analysis'!AM$57)</f>
        <v>94475.062500000015</v>
      </c>
      <c r="AN44" s="90">
        <f>IF('01 Major Assumptions'!AN$15=0,0,$D44*$E44*'01 Major Assumptions'!AN$14*(1+'01 Major Assumptions'!$D$97+'01 Major Assumptions'!$D$99)*(1+'01 Major Assumptions'!$D$98/12)*(1+'01 Major Assumptions'!$D$25)^'02 Oil Price Analysis'!AN$57)</f>
        <v>94475.062500000015</v>
      </c>
      <c r="AO44" s="90">
        <f>IF('01 Major Assumptions'!AO$15=0,0,$D44*$E44*'01 Major Assumptions'!AO$14*(1+'01 Major Assumptions'!$D$97+'01 Major Assumptions'!$D$99)*(1+'01 Major Assumptions'!$D$98/12)*(1+'01 Major Assumptions'!$D$25)^'02 Oil Price Analysis'!AO$57)</f>
        <v>94475.062500000015</v>
      </c>
      <c r="AP44" s="90">
        <f>IF('01 Major Assumptions'!AP$15=0,0,$D44*$E44*'01 Major Assumptions'!AP$14*(1+'01 Major Assumptions'!$D$97+'01 Major Assumptions'!$D$99)*(1+'01 Major Assumptions'!$D$98/12)*(1+'01 Major Assumptions'!$D$25)^'02 Oil Price Analysis'!AP$57)</f>
        <v>94475.062500000015</v>
      </c>
      <c r="AQ44" s="90">
        <f>IF('01 Major Assumptions'!AQ$15=0,0,$D44*$E44*'01 Major Assumptions'!AQ$14*(1+'01 Major Assumptions'!$D$97+'01 Major Assumptions'!$D$99)*(1+'01 Major Assumptions'!$D$98/12)*(1+'01 Major Assumptions'!$D$25)^'02 Oil Price Analysis'!AQ$57)</f>
        <v>99198.815625000017</v>
      </c>
      <c r="AR44" s="90">
        <f>IF('01 Major Assumptions'!AR$15=0,0,$D44*$E44*'01 Major Assumptions'!AR$14*(1+'01 Major Assumptions'!$D$97+'01 Major Assumptions'!$D$99)*(1+'01 Major Assumptions'!$D$98/12)*(1+'01 Major Assumptions'!$D$25)^'02 Oil Price Analysis'!AR$57)</f>
        <v>99198.815625000017</v>
      </c>
      <c r="AS44" s="90">
        <f>IF('01 Major Assumptions'!AS$15=0,0,$D44*$E44*'01 Major Assumptions'!AS$14*(1+'01 Major Assumptions'!$D$97+'01 Major Assumptions'!$D$99)*(1+'01 Major Assumptions'!$D$98/12)*(1+'01 Major Assumptions'!$D$25)^'02 Oil Price Analysis'!AS$57)</f>
        <v>99198.815625000017</v>
      </c>
      <c r="AT44" s="90">
        <f>IF('01 Major Assumptions'!AT$15=0,0,$D44*$E44*'01 Major Assumptions'!AT$14*(1+'01 Major Assumptions'!$D$97+'01 Major Assumptions'!$D$99)*(1+'01 Major Assumptions'!$D$98/12)*(1+'01 Major Assumptions'!$D$25)^'02 Oil Price Analysis'!AT$57)</f>
        <v>99198.815625000017</v>
      </c>
      <c r="AU44" s="90">
        <f>IF('01 Major Assumptions'!AU$15=0,0,$D44*$E44*'01 Major Assumptions'!AU$14*(1+'01 Major Assumptions'!$D$97+'01 Major Assumptions'!$D$99)*(1+'01 Major Assumptions'!$D$98/12)*(1+'01 Major Assumptions'!$D$25)^'02 Oil Price Analysis'!AU$57)</f>
        <v>99198.815625000017</v>
      </c>
      <c r="AV44" s="90">
        <f>IF('01 Major Assumptions'!AV$15=0,0,$D44*$E44*'01 Major Assumptions'!AV$14*(1+'01 Major Assumptions'!$D$97+'01 Major Assumptions'!$D$99)*(1+'01 Major Assumptions'!$D$98/12)*(1+'01 Major Assumptions'!$D$25)^'02 Oil Price Analysis'!AV$57)</f>
        <v>99198.815625000017</v>
      </c>
      <c r="AW44" s="90">
        <f>IF('01 Major Assumptions'!AW$15=0,0,$D44*$E44*'01 Major Assumptions'!AW$14*(1+'01 Major Assumptions'!$D$97+'01 Major Assumptions'!$D$99)*(1+'01 Major Assumptions'!$D$98/12)*(1+'01 Major Assumptions'!$D$25)^'02 Oil Price Analysis'!AW$57)</f>
        <v>99198.815625000017</v>
      </c>
      <c r="AX44" s="90">
        <f>IF('01 Major Assumptions'!AX$15=0,0,$D44*$E44*'01 Major Assumptions'!AX$14*(1+'01 Major Assumptions'!$D$97+'01 Major Assumptions'!$D$99)*(1+'01 Major Assumptions'!$D$98/12)*(1+'01 Major Assumptions'!$D$25)^'02 Oil Price Analysis'!AX$57)</f>
        <v>99198.815625000017</v>
      </c>
      <c r="AY44" s="90">
        <f>IF('01 Major Assumptions'!AY$15=0,0,$D44*$E44*'01 Major Assumptions'!AY$14*(1+'01 Major Assumptions'!$D$97+'01 Major Assumptions'!$D$99)*(1+'01 Major Assumptions'!$D$98/12)*(1+'01 Major Assumptions'!$D$25)^'02 Oil Price Analysis'!AY$57)</f>
        <v>99198.815625000017</v>
      </c>
      <c r="AZ44" s="90">
        <f>IF('01 Major Assumptions'!AZ$15=0,0,$D44*$E44*'01 Major Assumptions'!AZ$14*(1+'01 Major Assumptions'!$D$97+'01 Major Assumptions'!$D$99)*(1+'01 Major Assumptions'!$D$98/12)*(1+'01 Major Assumptions'!$D$25)^'02 Oil Price Analysis'!AZ$57)</f>
        <v>99198.815625000017</v>
      </c>
      <c r="BA44" s="90">
        <f>IF('01 Major Assumptions'!BA$15=0,0,$D44*$E44*'01 Major Assumptions'!BA$14*(1+'01 Major Assumptions'!$D$97+'01 Major Assumptions'!$D$99)*(1+'01 Major Assumptions'!$D$98/12)*(1+'01 Major Assumptions'!$D$25)^'02 Oil Price Analysis'!BA$57)</f>
        <v>99198.815625000017</v>
      </c>
      <c r="BB44" s="90">
        <f>IF('01 Major Assumptions'!BB$15=0,0,$D44*$E44*'01 Major Assumptions'!BB$14*(1+'01 Major Assumptions'!$D$97+'01 Major Assumptions'!$D$99)*(1+'01 Major Assumptions'!$D$98/12)*(1+'01 Major Assumptions'!$D$25)^'02 Oil Price Analysis'!BB$57)</f>
        <v>99198.815625000017</v>
      </c>
      <c r="BC44" s="90">
        <f>IF('01 Major Assumptions'!BC$15=0,0,$D44*$E44*'01 Major Assumptions'!BC$14*(1+'01 Major Assumptions'!$D$97+'01 Major Assumptions'!$D$99)*(1+'01 Major Assumptions'!$D$98/12)*(1+'01 Major Assumptions'!$D$25)^'02 Oil Price Analysis'!BC$57)</f>
        <v>104158.75640625</v>
      </c>
      <c r="BD44" s="90">
        <f>IF('01 Major Assumptions'!BD$15=0,0,$D44*$E44*'01 Major Assumptions'!BD$14*(1+'01 Major Assumptions'!$D$97+'01 Major Assumptions'!$D$99)*(1+'01 Major Assumptions'!$D$98/12)*(1+'01 Major Assumptions'!$D$25)^'02 Oil Price Analysis'!BD$57)</f>
        <v>104158.75640625</v>
      </c>
      <c r="BE44" s="90">
        <f>IF('01 Major Assumptions'!BE$15=0,0,$D44*$E44*'01 Major Assumptions'!BE$14*(1+'01 Major Assumptions'!$D$97+'01 Major Assumptions'!$D$99)*(1+'01 Major Assumptions'!$D$98/12)*(1+'01 Major Assumptions'!$D$25)^'02 Oil Price Analysis'!BE$57)</f>
        <v>104158.75640625</v>
      </c>
      <c r="BF44" s="90">
        <f>IF('01 Major Assumptions'!BF$15=0,0,$D44*$E44*'01 Major Assumptions'!BF$14*(1+'01 Major Assumptions'!$D$97+'01 Major Assumptions'!$D$99)*(1+'01 Major Assumptions'!$D$98/12)*(1+'01 Major Assumptions'!$D$25)^'02 Oil Price Analysis'!BF$57)</f>
        <v>104158.75640625</v>
      </c>
      <c r="BG44" s="90">
        <f>IF('01 Major Assumptions'!BG$15=0,0,$D44*$E44*'01 Major Assumptions'!BG$14*(1+'01 Major Assumptions'!$D$97+'01 Major Assumptions'!$D$99)*(1+'01 Major Assumptions'!$D$98/12)*(1+'01 Major Assumptions'!$D$25)^'02 Oil Price Analysis'!BG$57)</f>
        <v>104158.75640625</v>
      </c>
      <c r="BH44" s="90">
        <f>IF('01 Major Assumptions'!BH$15=0,0,$D44*$E44*'01 Major Assumptions'!BH$14*(1+'01 Major Assumptions'!$D$97+'01 Major Assumptions'!$D$99)*(1+'01 Major Assumptions'!$D$98/12)*(1+'01 Major Assumptions'!$D$25)^'02 Oil Price Analysis'!BH$57)</f>
        <v>104158.75640625</v>
      </c>
      <c r="BI44" s="90">
        <f>IF('01 Major Assumptions'!BI$15=0,0,$D44*$E44*'01 Major Assumptions'!BI$14*(1+'01 Major Assumptions'!$D$97+'01 Major Assumptions'!$D$99)*(1+'01 Major Assumptions'!$D$98/12)*(1+'01 Major Assumptions'!$D$25)^'02 Oil Price Analysis'!BI$57)</f>
        <v>1312400.3307187501</v>
      </c>
      <c r="BJ44" s="90">
        <f>IF('01 Major Assumptions'!BJ$15=0,0,$D44*$E44*'01 Major Assumptions'!BJ$14*(1+'01 Major Assumptions'!$D$97+'01 Major Assumptions'!$D$99)*(1+'01 Major Assumptions'!$D$98/12)*(1+'01 Major Assumptions'!$D$25)^'02 Oil Price Analysis'!BJ$57)</f>
        <v>1378020.3472546875</v>
      </c>
      <c r="BK44" s="90">
        <f>IF('01 Major Assumptions'!BK$15=0,0,$D44*$E44*'01 Major Assumptions'!BK$14*(1+'01 Major Assumptions'!$D$97+'01 Major Assumptions'!$D$99)*(1+'01 Major Assumptions'!$D$98/12)*(1+'01 Major Assumptions'!$D$25)^'02 Oil Price Analysis'!BK$57)</f>
        <v>1446921.3646174222</v>
      </c>
      <c r="BL44" s="90">
        <f>IF('01 Major Assumptions'!BL$15=0,0,$D44*$E44*'01 Major Assumptions'!BL$14*(1+'01 Major Assumptions'!$D$97+'01 Major Assumptions'!$D$99)*(1+'01 Major Assumptions'!$D$98/12)*(1+'01 Major Assumptions'!$D$25)^'02 Oil Price Analysis'!BL$57)</f>
        <v>1519267.4328482931</v>
      </c>
      <c r="BM44" s="90">
        <f>IF('01 Major Assumptions'!BM$15=0,0,$D44*$E44*'01 Major Assumptions'!BM$14*(1+'01 Major Assumptions'!$D$97+'01 Major Assumptions'!$D$99)*(1+'01 Major Assumptions'!$D$98/12)*(1+'01 Major Assumptions'!$D$25)^'02 Oil Price Analysis'!BM$57)</f>
        <v>1595230.8044907078</v>
      </c>
      <c r="BN44" s="90">
        <f>IF('01 Major Assumptions'!BN$15=0,0,$D44*$E44*'01 Major Assumptions'!BN$14*(1+'01 Major Assumptions'!$D$97+'01 Major Assumptions'!$D$99)*(1+'01 Major Assumptions'!$D$98/12)*(1+'01 Major Assumptions'!$D$25)^'02 Oil Price Analysis'!BN$57)</f>
        <v>1674992.3447152432</v>
      </c>
      <c r="BO44" s="90">
        <f>IF('01 Major Assumptions'!BO$15=0,0,$D44*$E44*'01 Major Assumptions'!BO$14*(1+'01 Major Assumptions'!$D$97+'01 Major Assumptions'!$D$99)*(1+'01 Major Assumptions'!$D$98/12)*(1+'01 Major Assumptions'!$D$25)^'02 Oil Price Analysis'!BO$57)</f>
        <v>1758741.9619510055</v>
      </c>
    </row>
    <row r="45" spans="1:67">
      <c r="A45" s="11"/>
      <c r="B45" s="32" t="str">
        <f>'01 Major Assumptions'!B91</f>
        <v>Warehouse &amp; logistics</v>
      </c>
      <c r="C45" s="11"/>
      <c r="D45" s="92">
        <f>'01 Major Assumptions'!$C$91</f>
        <v>6</v>
      </c>
      <c r="E45" s="92">
        <f>'01 Major Assumptions'!$D$91</f>
        <v>20000</v>
      </c>
      <c r="F45" s="10" t="s">
        <v>13</v>
      </c>
      <c r="G45" s="90">
        <f>IF('01 Major Assumptions'!G$15=0,0,$D45*$E45*'01 Major Assumptions'!G$14*(1+'01 Major Assumptions'!$D$97+'01 Major Assumptions'!$D$99)*(1+'01 Major Assumptions'!$D$98/12)*(1+'01 Major Assumptions'!$D$25)^'02 Oil Price Analysis'!G$57)</f>
        <v>0</v>
      </c>
      <c r="H45" s="90">
        <f>IF('01 Major Assumptions'!H$15=0,0,$D45*$E45*'01 Major Assumptions'!H$14*(1+'01 Major Assumptions'!$D$97+'01 Major Assumptions'!$D$99)*(1+'01 Major Assumptions'!$D$98/12)*(1+'01 Major Assumptions'!$D$25)^'02 Oil Price Analysis'!H$57)</f>
        <v>0</v>
      </c>
      <c r="I45" s="90">
        <f>IF('01 Major Assumptions'!I$15=0,0,$D45*$E45*'01 Major Assumptions'!I$14*(1+'01 Major Assumptions'!$D$97+'01 Major Assumptions'!$D$99)*(1+'01 Major Assumptions'!$D$98/12)*(1+'01 Major Assumptions'!$D$25)^'02 Oil Price Analysis'!I$57)</f>
        <v>0</v>
      </c>
      <c r="J45" s="90">
        <f>IF('01 Major Assumptions'!J$15=0,0,$D45*$E45*'01 Major Assumptions'!J$14*(1+'01 Major Assumptions'!$D$97+'01 Major Assumptions'!$D$99)*(1+'01 Major Assumptions'!$D$98/12)*(1+'01 Major Assumptions'!$D$25)^'02 Oil Price Analysis'!J$57)</f>
        <v>0</v>
      </c>
      <c r="K45" s="90">
        <f>IF('01 Major Assumptions'!K$15=0,0,$D45*$E45*'01 Major Assumptions'!K$14*(1+'01 Major Assumptions'!$D$97+'01 Major Assumptions'!$D$99)*(1+'01 Major Assumptions'!$D$98/12)*(1+'01 Major Assumptions'!$D$25)^'02 Oil Price Analysis'!K$57)</f>
        <v>0</v>
      </c>
      <c r="L45" s="90">
        <f>IF('01 Major Assumptions'!L$15=0,0,$D45*$E45*'01 Major Assumptions'!L$14*(1+'01 Major Assumptions'!$D$97+'01 Major Assumptions'!$D$99)*(1+'01 Major Assumptions'!$D$98/12)*(1+'01 Major Assumptions'!$D$25)^'02 Oil Price Analysis'!L$57)</f>
        <v>0</v>
      </c>
      <c r="M45" s="90">
        <f>IF('01 Major Assumptions'!M$15=0,0,$D45*$E45*'01 Major Assumptions'!M$14*(1+'01 Major Assumptions'!$D$97+'01 Major Assumptions'!$D$99)*(1+'01 Major Assumptions'!$D$98/12)*(1+'01 Major Assumptions'!$D$25)^'02 Oil Price Analysis'!M$57)</f>
        <v>0</v>
      </c>
      <c r="N45" s="90">
        <f>IF('01 Major Assumptions'!N$15=0,0,$D45*$E45*'01 Major Assumptions'!N$14*(1+'01 Major Assumptions'!$D$97+'01 Major Assumptions'!$D$99)*(1+'01 Major Assumptions'!$D$98/12)*(1+'01 Major Assumptions'!$D$25)^'02 Oil Price Analysis'!N$57)</f>
        <v>0</v>
      </c>
      <c r="O45" s="90">
        <f>IF('01 Major Assumptions'!O$15=0,0,$D45*$E45*'01 Major Assumptions'!O$14*(1+'01 Major Assumptions'!$D$97+'01 Major Assumptions'!$D$99)*(1+'01 Major Assumptions'!$D$98/12)*(1+'01 Major Assumptions'!$D$25)^'02 Oil Price Analysis'!O$57)</f>
        <v>0</v>
      </c>
      <c r="P45" s="90">
        <f>IF('01 Major Assumptions'!P$15=0,0,$D45*$E45*'01 Major Assumptions'!P$14*(1+'01 Major Assumptions'!$D$97+'01 Major Assumptions'!$D$99)*(1+'01 Major Assumptions'!$D$98/12)*(1+'01 Major Assumptions'!$D$25)^'02 Oil Price Analysis'!P$57)</f>
        <v>0</v>
      </c>
      <c r="Q45" s="90">
        <f>IF('01 Major Assumptions'!Q$15=0,0,$D45*$E45*'01 Major Assumptions'!Q$14*(1+'01 Major Assumptions'!$D$97+'01 Major Assumptions'!$D$99)*(1+'01 Major Assumptions'!$D$98/12)*(1+'01 Major Assumptions'!$D$25)^'02 Oil Price Analysis'!Q$57)</f>
        <v>0</v>
      </c>
      <c r="R45" s="90">
        <f>IF('01 Major Assumptions'!R$15=0,0,$D45*$E45*'01 Major Assumptions'!R$14*(1+'01 Major Assumptions'!$D$97+'01 Major Assumptions'!$D$99)*(1+'01 Major Assumptions'!$D$98/12)*(1+'01 Major Assumptions'!$D$25)^'02 Oil Price Analysis'!R$57)</f>
        <v>0</v>
      </c>
      <c r="S45" s="90">
        <f>IF('01 Major Assumptions'!S$15=0,0,$D45*$E45*'01 Major Assumptions'!S$14*(1+'01 Major Assumptions'!$D$97+'01 Major Assumptions'!$D$99)*(1+'01 Major Assumptions'!$D$98/12)*(1+'01 Major Assumptions'!$D$25)^'02 Oil Price Analysis'!S$57)</f>
        <v>0</v>
      </c>
      <c r="T45" s="90">
        <f>IF('01 Major Assumptions'!T$15=0,0,$D45*$E45*'01 Major Assumptions'!T$14*(1+'01 Major Assumptions'!$D$97+'01 Major Assumptions'!$D$99)*(1+'01 Major Assumptions'!$D$98/12)*(1+'01 Major Assumptions'!$D$25)^'02 Oil Price Analysis'!T$57)</f>
        <v>0</v>
      </c>
      <c r="U45" s="90">
        <f>IF('01 Major Assumptions'!U$15=0,0,$D45*$E45*'01 Major Assumptions'!U$14*(1+'01 Major Assumptions'!$D$97+'01 Major Assumptions'!$D$99)*(1+'01 Major Assumptions'!$D$98/12)*(1+'01 Major Assumptions'!$D$25)^'02 Oil Price Analysis'!U$57)</f>
        <v>0</v>
      </c>
      <c r="V45" s="90">
        <f>IF('01 Major Assumptions'!V$15=0,0,$D45*$E45*'01 Major Assumptions'!V$14*(1+'01 Major Assumptions'!$D$97+'01 Major Assumptions'!$D$99)*(1+'01 Major Assumptions'!$D$98/12)*(1+'01 Major Assumptions'!$D$25)^'02 Oil Price Analysis'!V$57)</f>
        <v>0</v>
      </c>
      <c r="W45" s="90">
        <f>IF('01 Major Assumptions'!W$15=0,0,$D45*$E45*'01 Major Assumptions'!W$14*(1+'01 Major Assumptions'!$D$97+'01 Major Assumptions'!$D$99)*(1+'01 Major Assumptions'!$D$98/12)*(1+'01 Major Assumptions'!$D$25)^'02 Oil Price Analysis'!W$57)</f>
        <v>0</v>
      </c>
      <c r="X45" s="90">
        <f>IF('01 Major Assumptions'!X$15=0,0,$D45*$E45*'01 Major Assumptions'!X$14*(1+'01 Major Assumptions'!$D$97+'01 Major Assumptions'!$D$99)*(1+'01 Major Assumptions'!$D$98/12)*(1+'01 Major Assumptions'!$D$25)^'02 Oil Price Analysis'!X$57)</f>
        <v>0</v>
      </c>
      <c r="Y45" s="90">
        <f>IF('01 Major Assumptions'!Y$15=0,0,$D45*$E45*'01 Major Assumptions'!Y$14*(1+'01 Major Assumptions'!$D$97+'01 Major Assumptions'!$D$99)*(1+'01 Major Assumptions'!$D$98/12)*(1+'01 Major Assumptions'!$D$25)^'02 Oil Price Analysis'!Y$57)</f>
        <v>0</v>
      </c>
      <c r="Z45" s="90">
        <f>IF('01 Major Assumptions'!Z$15=0,0,$D45*$E45*'01 Major Assumptions'!Z$14*(1+'01 Major Assumptions'!$D$97+'01 Major Assumptions'!$D$99)*(1+'01 Major Assumptions'!$D$98/12)*(1+'01 Major Assumptions'!$D$25)^'02 Oil Price Analysis'!Z$57)</f>
        <v>0</v>
      </c>
      <c r="AA45" s="90">
        <f>IF('01 Major Assumptions'!AA$15=0,0,$D45*$E45*'01 Major Assumptions'!AA$14*(1+'01 Major Assumptions'!$D$97+'01 Major Assumptions'!$D$99)*(1+'01 Major Assumptions'!$D$98/12)*(1+'01 Major Assumptions'!$D$25)^'02 Oil Price Analysis'!AA$57)</f>
        <v>0</v>
      </c>
      <c r="AB45" s="90">
        <f>IF('01 Major Assumptions'!AB$15=0,0,$D45*$E45*'01 Major Assumptions'!AB$14*(1+'01 Major Assumptions'!$D$97+'01 Major Assumptions'!$D$99)*(1+'01 Major Assumptions'!$D$98/12)*(1+'01 Major Assumptions'!$D$25)^'02 Oil Price Analysis'!AB$57)</f>
        <v>154245</v>
      </c>
      <c r="AC45" s="90">
        <f>IF('01 Major Assumptions'!AC$15=0,0,$D45*$E45*'01 Major Assumptions'!AC$14*(1+'01 Major Assumptions'!$D$97+'01 Major Assumptions'!$D$99)*(1+'01 Major Assumptions'!$D$98/12)*(1+'01 Major Assumptions'!$D$25)^'02 Oil Price Analysis'!AC$57)</f>
        <v>154245</v>
      </c>
      <c r="AD45" s="90">
        <f>IF('01 Major Assumptions'!AD$15=0,0,$D45*$E45*'01 Major Assumptions'!AD$14*(1+'01 Major Assumptions'!$D$97+'01 Major Assumptions'!$D$99)*(1+'01 Major Assumptions'!$D$98/12)*(1+'01 Major Assumptions'!$D$25)^'02 Oil Price Analysis'!AD$57)</f>
        <v>154245</v>
      </c>
      <c r="AE45" s="90">
        <f>IF('01 Major Assumptions'!AE$15=0,0,$D45*$E45*'01 Major Assumptions'!AE$14*(1+'01 Major Assumptions'!$D$97+'01 Major Assumptions'!$D$99)*(1+'01 Major Assumptions'!$D$98/12)*(1+'01 Major Assumptions'!$D$25)^'02 Oil Price Analysis'!AE$57)</f>
        <v>161957.25</v>
      </c>
      <c r="AF45" s="90">
        <f>IF('01 Major Assumptions'!AF$15=0,0,$D45*$E45*'01 Major Assumptions'!AF$14*(1+'01 Major Assumptions'!$D$97+'01 Major Assumptions'!$D$99)*(1+'01 Major Assumptions'!$D$98/12)*(1+'01 Major Assumptions'!$D$25)^'02 Oil Price Analysis'!AF$57)</f>
        <v>161957.25</v>
      </c>
      <c r="AG45" s="90">
        <f>IF('01 Major Assumptions'!AG$15=0,0,$D45*$E45*'01 Major Assumptions'!AG$14*(1+'01 Major Assumptions'!$D$97+'01 Major Assumptions'!$D$99)*(1+'01 Major Assumptions'!$D$98/12)*(1+'01 Major Assumptions'!$D$25)^'02 Oil Price Analysis'!AG$57)</f>
        <v>161957.25</v>
      </c>
      <c r="AH45" s="90">
        <f>IF('01 Major Assumptions'!AH$15=0,0,$D45*$E45*'01 Major Assumptions'!AH$14*(1+'01 Major Assumptions'!$D$97+'01 Major Assumptions'!$D$99)*(1+'01 Major Assumptions'!$D$98/12)*(1+'01 Major Assumptions'!$D$25)^'02 Oil Price Analysis'!AH$57)</f>
        <v>161957.25</v>
      </c>
      <c r="AI45" s="90">
        <f>IF('01 Major Assumptions'!AI$15=0,0,$D45*$E45*'01 Major Assumptions'!AI$14*(1+'01 Major Assumptions'!$D$97+'01 Major Assumptions'!$D$99)*(1+'01 Major Assumptions'!$D$98/12)*(1+'01 Major Assumptions'!$D$25)^'02 Oil Price Analysis'!AI$57)</f>
        <v>161957.25</v>
      </c>
      <c r="AJ45" s="90">
        <f>IF('01 Major Assumptions'!AJ$15=0,0,$D45*$E45*'01 Major Assumptions'!AJ$14*(1+'01 Major Assumptions'!$D$97+'01 Major Assumptions'!$D$99)*(1+'01 Major Assumptions'!$D$98/12)*(1+'01 Major Assumptions'!$D$25)^'02 Oil Price Analysis'!AJ$57)</f>
        <v>161957.25</v>
      </c>
      <c r="AK45" s="90">
        <f>IF('01 Major Assumptions'!AK$15=0,0,$D45*$E45*'01 Major Assumptions'!AK$14*(1+'01 Major Assumptions'!$D$97+'01 Major Assumptions'!$D$99)*(1+'01 Major Assumptions'!$D$98/12)*(1+'01 Major Assumptions'!$D$25)^'02 Oil Price Analysis'!AK$57)</f>
        <v>161957.25</v>
      </c>
      <c r="AL45" s="90">
        <f>IF('01 Major Assumptions'!AL$15=0,0,$D45*$E45*'01 Major Assumptions'!AL$14*(1+'01 Major Assumptions'!$D$97+'01 Major Assumptions'!$D$99)*(1+'01 Major Assumptions'!$D$98/12)*(1+'01 Major Assumptions'!$D$25)^'02 Oil Price Analysis'!AL$57)</f>
        <v>161957.25</v>
      </c>
      <c r="AM45" s="90">
        <f>IF('01 Major Assumptions'!AM$15=0,0,$D45*$E45*'01 Major Assumptions'!AM$14*(1+'01 Major Assumptions'!$D$97+'01 Major Assumptions'!$D$99)*(1+'01 Major Assumptions'!$D$98/12)*(1+'01 Major Assumptions'!$D$25)^'02 Oil Price Analysis'!AM$57)</f>
        <v>161957.25</v>
      </c>
      <c r="AN45" s="90">
        <f>IF('01 Major Assumptions'!AN$15=0,0,$D45*$E45*'01 Major Assumptions'!AN$14*(1+'01 Major Assumptions'!$D$97+'01 Major Assumptions'!$D$99)*(1+'01 Major Assumptions'!$D$98/12)*(1+'01 Major Assumptions'!$D$25)^'02 Oil Price Analysis'!AN$57)</f>
        <v>161957.25</v>
      </c>
      <c r="AO45" s="90">
        <f>IF('01 Major Assumptions'!AO$15=0,0,$D45*$E45*'01 Major Assumptions'!AO$14*(1+'01 Major Assumptions'!$D$97+'01 Major Assumptions'!$D$99)*(1+'01 Major Assumptions'!$D$98/12)*(1+'01 Major Assumptions'!$D$25)^'02 Oil Price Analysis'!AO$57)</f>
        <v>161957.25</v>
      </c>
      <c r="AP45" s="90">
        <f>IF('01 Major Assumptions'!AP$15=0,0,$D45*$E45*'01 Major Assumptions'!AP$14*(1+'01 Major Assumptions'!$D$97+'01 Major Assumptions'!$D$99)*(1+'01 Major Assumptions'!$D$98/12)*(1+'01 Major Assumptions'!$D$25)^'02 Oil Price Analysis'!AP$57)</f>
        <v>161957.25</v>
      </c>
      <c r="AQ45" s="90">
        <f>IF('01 Major Assumptions'!AQ$15=0,0,$D45*$E45*'01 Major Assumptions'!AQ$14*(1+'01 Major Assumptions'!$D$97+'01 Major Assumptions'!$D$99)*(1+'01 Major Assumptions'!$D$98/12)*(1+'01 Major Assumptions'!$D$25)^'02 Oil Price Analysis'!AQ$57)</f>
        <v>170055.11250000002</v>
      </c>
      <c r="AR45" s="90">
        <f>IF('01 Major Assumptions'!AR$15=0,0,$D45*$E45*'01 Major Assumptions'!AR$14*(1+'01 Major Assumptions'!$D$97+'01 Major Assumptions'!$D$99)*(1+'01 Major Assumptions'!$D$98/12)*(1+'01 Major Assumptions'!$D$25)^'02 Oil Price Analysis'!AR$57)</f>
        <v>170055.11250000002</v>
      </c>
      <c r="AS45" s="90">
        <f>IF('01 Major Assumptions'!AS$15=0,0,$D45*$E45*'01 Major Assumptions'!AS$14*(1+'01 Major Assumptions'!$D$97+'01 Major Assumptions'!$D$99)*(1+'01 Major Assumptions'!$D$98/12)*(1+'01 Major Assumptions'!$D$25)^'02 Oil Price Analysis'!AS$57)</f>
        <v>170055.11250000002</v>
      </c>
      <c r="AT45" s="90">
        <f>IF('01 Major Assumptions'!AT$15=0,0,$D45*$E45*'01 Major Assumptions'!AT$14*(1+'01 Major Assumptions'!$D$97+'01 Major Assumptions'!$D$99)*(1+'01 Major Assumptions'!$D$98/12)*(1+'01 Major Assumptions'!$D$25)^'02 Oil Price Analysis'!AT$57)</f>
        <v>170055.11250000002</v>
      </c>
      <c r="AU45" s="90">
        <f>IF('01 Major Assumptions'!AU$15=0,0,$D45*$E45*'01 Major Assumptions'!AU$14*(1+'01 Major Assumptions'!$D$97+'01 Major Assumptions'!$D$99)*(1+'01 Major Assumptions'!$D$98/12)*(1+'01 Major Assumptions'!$D$25)^'02 Oil Price Analysis'!AU$57)</f>
        <v>170055.11250000002</v>
      </c>
      <c r="AV45" s="90">
        <f>IF('01 Major Assumptions'!AV$15=0,0,$D45*$E45*'01 Major Assumptions'!AV$14*(1+'01 Major Assumptions'!$D$97+'01 Major Assumptions'!$D$99)*(1+'01 Major Assumptions'!$D$98/12)*(1+'01 Major Assumptions'!$D$25)^'02 Oil Price Analysis'!AV$57)</f>
        <v>170055.11250000002</v>
      </c>
      <c r="AW45" s="90">
        <f>IF('01 Major Assumptions'!AW$15=0,0,$D45*$E45*'01 Major Assumptions'!AW$14*(1+'01 Major Assumptions'!$D$97+'01 Major Assumptions'!$D$99)*(1+'01 Major Assumptions'!$D$98/12)*(1+'01 Major Assumptions'!$D$25)^'02 Oil Price Analysis'!AW$57)</f>
        <v>170055.11250000002</v>
      </c>
      <c r="AX45" s="90">
        <f>IF('01 Major Assumptions'!AX$15=0,0,$D45*$E45*'01 Major Assumptions'!AX$14*(1+'01 Major Assumptions'!$D$97+'01 Major Assumptions'!$D$99)*(1+'01 Major Assumptions'!$D$98/12)*(1+'01 Major Assumptions'!$D$25)^'02 Oil Price Analysis'!AX$57)</f>
        <v>170055.11250000002</v>
      </c>
      <c r="AY45" s="90">
        <f>IF('01 Major Assumptions'!AY$15=0,0,$D45*$E45*'01 Major Assumptions'!AY$14*(1+'01 Major Assumptions'!$D$97+'01 Major Assumptions'!$D$99)*(1+'01 Major Assumptions'!$D$98/12)*(1+'01 Major Assumptions'!$D$25)^'02 Oil Price Analysis'!AY$57)</f>
        <v>170055.11250000002</v>
      </c>
      <c r="AZ45" s="90">
        <f>IF('01 Major Assumptions'!AZ$15=0,0,$D45*$E45*'01 Major Assumptions'!AZ$14*(1+'01 Major Assumptions'!$D$97+'01 Major Assumptions'!$D$99)*(1+'01 Major Assumptions'!$D$98/12)*(1+'01 Major Assumptions'!$D$25)^'02 Oil Price Analysis'!AZ$57)</f>
        <v>170055.11250000002</v>
      </c>
      <c r="BA45" s="90">
        <f>IF('01 Major Assumptions'!BA$15=0,0,$D45*$E45*'01 Major Assumptions'!BA$14*(1+'01 Major Assumptions'!$D$97+'01 Major Assumptions'!$D$99)*(1+'01 Major Assumptions'!$D$98/12)*(1+'01 Major Assumptions'!$D$25)^'02 Oil Price Analysis'!BA$57)</f>
        <v>170055.11250000002</v>
      </c>
      <c r="BB45" s="90">
        <f>IF('01 Major Assumptions'!BB$15=0,0,$D45*$E45*'01 Major Assumptions'!BB$14*(1+'01 Major Assumptions'!$D$97+'01 Major Assumptions'!$D$99)*(1+'01 Major Assumptions'!$D$98/12)*(1+'01 Major Assumptions'!$D$25)^'02 Oil Price Analysis'!BB$57)</f>
        <v>170055.11250000002</v>
      </c>
      <c r="BC45" s="90">
        <f>IF('01 Major Assumptions'!BC$15=0,0,$D45*$E45*'01 Major Assumptions'!BC$14*(1+'01 Major Assumptions'!$D$97+'01 Major Assumptions'!$D$99)*(1+'01 Major Assumptions'!$D$98/12)*(1+'01 Major Assumptions'!$D$25)^'02 Oil Price Analysis'!BC$57)</f>
        <v>178557.86812500001</v>
      </c>
      <c r="BD45" s="90">
        <f>IF('01 Major Assumptions'!BD$15=0,0,$D45*$E45*'01 Major Assumptions'!BD$14*(1+'01 Major Assumptions'!$D$97+'01 Major Assumptions'!$D$99)*(1+'01 Major Assumptions'!$D$98/12)*(1+'01 Major Assumptions'!$D$25)^'02 Oil Price Analysis'!BD$57)</f>
        <v>178557.86812500001</v>
      </c>
      <c r="BE45" s="90">
        <f>IF('01 Major Assumptions'!BE$15=0,0,$D45*$E45*'01 Major Assumptions'!BE$14*(1+'01 Major Assumptions'!$D$97+'01 Major Assumptions'!$D$99)*(1+'01 Major Assumptions'!$D$98/12)*(1+'01 Major Assumptions'!$D$25)^'02 Oil Price Analysis'!BE$57)</f>
        <v>178557.86812500001</v>
      </c>
      <c r="BF45" s="90">
        <f>IF('01 Major Assumptions'!BF$15=0,0,$D45*$E45*'01 Major Assumptions'!BF$14*(1+'01 Major Assumptions'!$D$97+'01 Major Assumptions'!$D$99)*(1+'01 Major Assumptions'!$D$98/12)*(1+'01 Major Assumptions'!$D$25)^'02 Oil Price Analysis'!BF$57)</f>
        <v>178557.86812500001</v>
      </c>
      <c r="BG45" s="90">
        <f>IF('01 Major Assumptions'!BG$15=0,0,$D45*$E45*'01 Major Assumptions'!BG$14*(1+'01 Major Assumptions'!$D$97+'01 Major Assumptions'!$D$99)*(1+'01 Major Assumptions'!$D$98/12)*(1+'01 Major Assumptions'!$D$25)^'02 Oil Price Analysis'!BG$57)</f>
        <v>178557.86812500001</v>
      </c>
      <c r="BH45" s="90">
        <f>IF('01 Major Assumptions'!BH$15=0,0,$D45*$E45*'01 Major Assumptions'!BH$14*(1+'01 Major Assumptions'!$D$97+'01 Major Assumptions'!$D$99)*(1+'01 Major Assumptions'!$D$98/12)*(1+'01 Major Assumptions'!$D$25)^'02 Oil Price Analysis'!BH$57)</f>
        <v>178557.86812500001</v>
      </c>
      <c r="BI45" s="90">
        <f>IF('01 Major Assumptions'!BI$15=0,0,$D45*$E45*'01 Major Assumptions'!BI$14*(1+'01 Major Assumptions'!$D$97+'01 Major Assumptions'!$D$99)*(1+'01 Major Assumptions'!$D$98/12)*(1+'01 Major Assumptions'!$D$25)^'02 Oil Price Analysis'!BI$57)</f>
        <v>2249829.1383750006</v>
      </c>
      <c r="BJ45" s="90">
        <f>IF('01 Major Assumptions'!BJ$15=0,0,$D45*$E45*'01 Major Assumptions'!BJ$14*(1+'01 Major Assumptions'!$D$97+'01 Major Assumptions'!$D$99)*(1+'01 Major Assumptions'!$D$98/12)*(1+'01 Major Assumptions'!$D$25)^'02 Oil Price Analysis'!BJ$57)</f>
        <v>2362320.5952937501</v>
      </c>
      <c r="BK45" s="90">
        <f>IF('01 Major Assumptions'!BK$15=0,0,$D45*$E45*'01 Major Assumptions'!BK$14*(1+'01 Major Assumptions'!$D$97+'01 Major Assumptions'!$D$99)*(1+'01 Major Assumptions'!$D$98/12)*(1+'01 Major Assumptions'!$D$25)^'02 Oil Price Analysis'!BK$57)</f>
        <v>2480436.6250584382</v>
      </c>
      <c r="BL45" s="90">
        <f>IF('01 Major Assumptions'!BL$15=0,0,$D45*$E45*'01 Major Assumptions'!BL$14*(1+'01 Major Assumptions'!$D$97+'01 Major Assumptions'!$D$99)*(1+'01 Major Assumptions'!$D$98/12)*(1+'01 Major Assumptions'!$D$25)^'02 Oil Price Analysis'!BL$57)</f>
        <v>2604458.45631136</v>
      </c>
      <c r="BM45" s="90">
        <f>IF('01 Major Assumptions'!BM$15=0,0,$D45*$E45*'01 Major Assumptions'!BM$14*(1+'01 Major Assumptions'!$D$97+'01 Major Assumptions'!$D$99)*(1+'01 Major Assumptions'!$D$98/12)*(1+'01 Major Assumptions'!$D$25)^'02 Oil Price Analysis'!BM$57)</f>
        <v>2734681.3791269278</v>
      </c>
      <c r="BN45" s="90">
        <f>IF('01 Major Assumptions'!BN$15=0,0,$D45*$E45*'01 Major Assumptions'!BN$14*(1+'01 Major Assumptions'!$D$97+'01 Major Assumptions'!$D$99)*(1+'01 Major Assumptions'!$D$98/12)*(1+'01 Major Assumptions'!$D$25)^'02 Oil Price Analysis'!BN$57)</f>
        <v>2871415.4480832745</v>
      </c>
      <c r="BO45" s="90">
        <f>IF('01 Major Assumptions'!BO$15=0,0,$D45*$E45*'01 Major Assumptions'!BO$14*(1+'01 Major Assumptions'!$D$97+'01 Major Assumptions'!$D$99)*(1+'01 Major Assumptions'!$D$98/12)*(1+'01 Major Assumptions'!$D$25)^'02 Oil Price Analysis'!BO$57)</f>
        <v>3014986.2204874381</v>
      </c>
    </row>
    <row r="46" spans="1:67">
      <c r="A46" s="11"/>
      <c r="B46" s="32" t="str">
        <f>'01 Major Assumptions'!B92</f>
        <v>Weighbridge &amp; security</v>
      </c>
      <c r="C46" s="11"/>
      <c r="D46" s="92">
        <f>'01 Major Assumptions'!$C$92</f>
        <v>8</v>
      </c>
      <c r="E46" s="92">
        <f>'01 Major Assumptions'!$D$92</f>
        <v>15000</v>
      </c>
      <c r="F46" s="10" t="s">
        <v>13</v>
      </c>
      <c r="G46" s="90">
        <f>IF('01 Major Assumptions'!G$15=0,0,$D46*$E46*'01 Major Assumptions'!G$14*(1+'01 Major Assumptions'!$D$97+'01 Major Assumptions'!$D$99)*(1+'01 Major Assumptions'!$D$98/12)*(1+'01 Major Assumptions'!$D$25)^'02 Oil Price Analysis'!G$57)</f>
        <v>0</v>
      </c>
      <c r="H46" s="90">
        <f>IF('01 Major Assumptions'!H$15=0,0,$D46*$E46*'01 Major Assumptions'!H$14*(1+'01 Major Assumptions'!$D$97+'01 Major Assumptions'!$D$99)*(1+'01 Major Assumptions'!$D$98/12)*(1+'01 Major Assumptions'!$D$25)^'02 Oil Price Analysis'!H$57)</f>
        <v>0</v>
      </c>
      <c r="I46" s="90">
        <f>IF('01 Major Assumptions'!I$15=0,0,$D46*$E46*'01 Major Assumptions'!I$14*(1+'01 Major Assumptions'!$D$97+'01 Major Assumptions'!$D$99)*(1+'01 Major Assumptions'!$D$98/12)*(1+'01 Major Assumptions'!$D$25)^'02 Oil Price Analysis'!I$57)</f>
        <v>0</v>
      </c>
      <c r="J46" s="90">
        <f>IF('01 Major Assumptions'!J$15=0,0,$D46*$E46*'01 Major Assumptions'!J$14*(1+'01 Major Assumptions'!$D$97+'01 Major Assumptions'!$D$99)*(1+'01 Major Assumptions'!$D$98/12)*(1+'01 Major Assumptions'!$D$25)^'02 Oil Price Analysis'!J$57)</f>
        <v>0</v>
      </c>
      <c r="K46" s="90">
        <f>IF('01 Major Assumptions'!K$15=0,0,$D46*$E46*'01 Major Assumptions'!K$14*(1+'01 Major Assumptions'!$D$97+'01 Major Assumptions'!$D$99)*(1+'01 Major Assumptions'!$D$98/12)*(1+'01 Major Assumptions'!$D$25)^'02 Oil Price Analysis'!K$57)</f>
        <v>0</v>
      </c>
      <c r="L46" s="90">
        <f>IF('01 Major Assumptions'!L$15=0,0,$D46*$E46*'01 Major Assumptions'!L$14*(1+'01 Major Assumptions'!$D$97+'01 Major Assumptions'!$D$99)*(1+'01 Major Assumptions'!$D$98/12)*(1+'01 Major Assumptions'!$D$25)^'02 Oil Price Analysis'!L$57)</f>
        <v>0</v>
      </c>
      <c r="M46" s="90">
        <f>IF('01 Major Assumptions'!M$15=0,0,$D46*$E46*'01 Major Assumptions'!M$14*(1+'01 Major Assumptions'!$D$97+'01 Major Assumptions'!$D$99)*(1+'01 Major Assumptions'!$D$98/12)*(1+'01 Major Assumptions'!$D$25)^'02 Oil Price Analysis'!M$57)</f>
        <v>0</v>
      </c>
      <c r="N46" s="90">
        <f>IF('01 Major Assumptions'!N$15=0,0,$D46*$E46*'01 Major Assumptions'!N$14*(1+'01 Major Assumptions'!$D$97+'01 Major Assumptions'!$D$99)*(1+'01 Major Assumptions'!$D$98/12)*(1+'01 Major Assumptions'!$D$25)^'02 Oil Price Analysis'!N$57)</f>
        <v>0</v>
      </c>
      <c r="O46" s="90">
        <f>IF('01 Major Assumptions'!O$15=0,0,$D46*$E46*'01 Major Assumptions'!O$14*(1+'01 Major Assumptions'!$D$97+'01 Major Assumptions'!$D$99)*(1+'01 Major Assumptions'!$D$98/12)*(1+'01 Major Assumptions'!$D$25)^'02 Oil Price Analysis'!O$57)</f>
        <v>0</v>
      </c>
      <c r="P46" s="90">
        <f>IF('01 Major Assumptions'!P$15=0,0,$D46*$E46*'01 Major Assumptions'!P$14*(1+'01 Major Assumptions'!$D$97+'01 Major Assumptions'!$D$99)*(1+'01 Major Assumptions'!$D$98/12)*(1+'01 Major Assumptions'!$D$25)^'02 Oil Price Analysis'!P$57)</f>
        <v>0</v>
      </c>
      <c r="Q46" s="90">
        <f>IF('01 Major Assumptions'!Q$15=0,0,$D46*$E46*'01 Major Assumptions'!Q$14*(1+'01 Major Assumptions'!$D$97+'01 Major Assumptions'!$D$99)*(1+'01 Major Assumptions'!$D$98/12)*(1+'01 Major Assumptions'!$D$25)^'02 Oil Price Analysis'!Q$57)</f>
        <v>0</v>
      </c>
      <c r="R46" s="90">
        <f>IF('01 Major Assumptions'!R$15=0,0,$D46*$E46*'01 Major Assumptions'!R$14*(1+'01 Major Assumptions'!$D$97+'01 Major Assumptions'!$D$99)*(1+'01 Major Assumptions'!$D$98/12)*(1+'01 Major Assumptions'!$D$25)^'02 Oil Price Analysis'!R$57)</f>
        <v>0</v>
      </c>
      <c r="S46" s="90">
        <f>IF('01 Major Assumptions'!S$15=0,0,$D46*$E46*'01 Major Assumptions'!S$14*(1+'01 Major Assumptions'!$D$97+'01 Major Assumptions'!$D$99)*(1+'01 Major Assumptions'!$D$98/12)*(1+'01 Major Assumptions'!$D$25)^'02 Oil Price Analysis'!S$57)</f>
        <v>0</v>
      </c>
      <c r="T46" s="90">
        <f>IF('01 Major Assumptions'!T$15=0,0,$D46*$E46*'01 Major Assumptions'!T$14*(1+'01 Major Assumptions'!$D$97+'01 Major Assumptions'!$D$99)*(1+'01 Major Assumptions'!$D$98/12)*(1+'01 Major Assumptions'!$D$25)^'02 Oil Price Analysis'!T$57)</f>
        <v>0</v>
      </c>
      <c r="U46" s="90">
        <f>IF('01 Major Assumptions'!U$15=0,0,$D46*$E46*'01 Major Assumptions'!U$14*(1+'01 Major Assumptions'!$D$97+'01 Major Assumptions'!$D$99)*(1+'01 Major Assumptions'!$D$98/12)*(1+'01 Major Assumptions'!$D$25)^'02 Oil Price Analysis'!U$57)</f>
        <v>0</v>
      </c>
      <c r="V46" s="90">
        <f>IF('01 Major Assumptions'!V$15=0,0,$D46*$E46*'01 Major Assumptions'!V$14*(1+'01 Major Assumptions'!$D$97+'01 Major Assumptions'!$D$99)*(1+'01 Major Assumptions'!$D$98/12)*(1+'01 Major Assumptions'!$D$25)^'02 Oil Price Analysis'!V$57)</f>
        <v>0</v>
      </c>
      <c r="W46" s="90">
        <f>IF('01 Major Assumptions'!W$15=0,0,$D46*$E46*'01 Major Assumptions'!W$14*(1+'01 Major Assumptions'!$D$97+'01 Major Assumptions'!$D$99)*(1+'01 Major Assumptions'!$D$98/12)*(1+'01 Major Assumptions'!$D$25)^'02 Oil Price Analysis'!W$57)</f>
        <v>0</v>
      </c>
      <c r="X46" s="90">
        <f>IF('01 Major Assumptions'!X$15=0,0,$D46*$E46*'01 Major Assumptions'!X$14*(1+'01 Major Assumptions'!$D$97+'01 Major Assumptions'!$D$99)*(1+'01 Major Assumptions'!$D$98/12)*(1+'01 Major Assumptions'!$D$25)^'02 Oil Price Analysis'!X$57)</f>
        <v>0</v>
      </c>
      <c r="Y46" s="90">
        <f>IF('01 Major Assumptions'!Y$15=0,0,$D46*$E46*'01 Major Assumptions'!Y$14*(1+'01 Major Assumptions'!$D$97+'01 Major Assumptions'!$D$99)*(1+'01 Major Assumptions'!$D$98/12)*(1+'01 Major Assumptions'!$D$25)^'02 Oil Price Analysis'!Y$57)</f>
        <v>0</v>
      </c>
      <c r="Z46" s="90">
        <f>IF('01 Major Assumptions'!Z$15=0,0,$D46*$E46*'01 Major Assumptions'!Z$14*(1+'01 Major Assumptions'!$D$97+'01 Major Assumptions'!$D$99)*(1+'01 Major Assumptions'!$D$98/12)*(1+'01 Major Assumptions'!$D$25)^'02 Oil Price Analysis'!Z$57)</f>
        <v>0</v>
      </c>
      <c r="AA46" s="90">
        <f>IF('01 Major Assumptions'!AA$15=0,0,$D46*$E46*'01 Major Assumptions'!AA$14*(1+'01 Major Assumptions'!$D$97+'01 Major Assumptions'!$D$99)*(1+'01 Major Assumptions'!$D$98/12)*(1+'01 Major Assumptions'!$D$25)^'02 Oil Price Analysis'!AA$57)</f>
        <v>0</v>
      </c>
      <c r="AB46" s="90">
        <f>IF('01 Major Assumptions'!AB$15=0,0,$D46*$E46*'01 Major Assumptions'!AB$14*(1+'01 Major Assumptions'!$D$97+'01 Major Assumptions'!$D$99)*(1+'01 Major Assumptions'!$D$98/12)*(1+'01 Major Assumptions'!$D$25)^'02 Oil Price Analysis'!AB$57)</f>
        <v>154245</v>
      </c>
      <c r="AC46" s="90">
        <f>IF('01 Major Assumptions'!AC$15=0,0,$D46*$E46*'01 Major Assumptions'!AC$14*(1+'01 Major Assumptions'!$D$97+'01 Major Assumptions'!$D$99)*(1+'01 Major Assumptions'!$D$98/12)*(1+'01 Major Assumptions'!$D$25)^'02 Oil Price Analysis'!AC$57)</f>
        <v>154245</v>
      </c>
      <c r="AD46" s="90">
        <f>IF('01 Major Assumptions'!AD$15=0,0,$D46*$E46*'01 Major Assumptions'!AD$14*(1+'01 Major Assumptions'!$D$97+'01 Major Assumptions'!$D$99)*(1+'01 Major Assumptions'!$D$98/12)*(1+'01 Major Assumptions'!$D$25)^'02 Oil Price Analysis'!AD$57)</f>
        <v>154245</v>
      </c>
      <c r="AE46" s="90">
        <f>IF('01 Major Assumptions'!AE$15=0,0,$D46*$E46*'01 Major Assumptions'!AE$14*(1+'01 Major Assumptions'!$D$97+'01 Major Assumptions'!$D$99)*(1+'01 Major Assumptions'!$D$98/12)*(1+'01 Major Assumptions'!$D$25)^'02 Oil Price Analysis'!AE$57)</f>
        <v>161957.25</v>
      </c>
      <c r="AF46" s="90">
        <f>IF('01 Major Assumptions'!AF$15=0,0,$D46*$E46*'01 Major Assumptions'!AF$14*(1+'01 Major Assumptions'!$D$97+'01 Major Assumptions'!$D$99)*(1+'01 Major Assumptions'!$D$98/12)*(1+'01 Major Assumptions'!$D$25)^'02 Oil Price Analysis'!AF$57)</f>
        <v>161957.25</v>
      </c>
      <c r="AG46" s="90">
        <f>IF('01 Major Assumptions'!AG$15=0,0,$D46*$E46*'01 Major Assumptions'!AG$14*(1+'01 Major Assumptions'!$D$97+'01 Major Assumptions'!$D$99)*(1+'01 Major Assumptions'!$D$98/12)*(1+'01 Major Assumptions'!$D$25)^'02 Oil Price Analysis'!AG$57)</f>
        <v>161957.25</v>
      </c>
      <c r="AH46" s="90">
        <f>IF('01 Major Assumptions'!AH$15=0,0,$D46*$E46*'01 Major Assumptions'!AH$14*(1+'01 Major Assumptions'!$D$97+'01 Major Assumptions'!$D$99)*(1+'01 Major Assumptions'!$D$98/12)*(1+'01 Major Assumptions'!$D$25)^'02 Oil Price Analysis'!AH$57)</f>
        <v>161957.25</v>
      </c>
      <c r="AI46" s="90">
        <f>IF('01 Major Assumptions'!AI$15=0,0,$D46*$E46*'01 Major Assumptions'!AI$14*(1+'01 Major Assumptions'!$D$97+'01 Major Assumptions'!$D$99)*(1+'01 Major Assumptions'!$D$98/12)*(1+'01 Major Assumptions'!$D$25)^'02 Oil Price Analysis'!AI$57)</f>
        <v>161957.25</v>
      </c>
      <c r="AJ46" s="90">
        <f>IF('01 Major Assumptions'!AJ$15=0,0,$D46*$E46*'01 Major Assumptions'!AJ$14*(1+'01 Major Assumptions'!$D$97+'01 Major Assumptions'!$D$99)*(1+'01 Major Assumptions'!$D$98/12)*(1+'01 Major Assumptions'!$D$25)^'02 Oil Price Analysis'!AJ$57)</f>
        <v>161957.25</v>
      </c>
      <c r="AK46" s="90">
        <f>IF('01 Major Assumptions'!AK$15=0,0,$D46*$E46*'01 Major Assumptions'!AK$14*(1+'01 Major Assumptions'!$D$97+'01 Major Assumptions'!$D$99)*(1+'01 Major Assumptions'!$D$98/12)*(1+'01 Major Assumptions'!$D$25)^'02 Oil Price Analysis'!AK$57)</f>
        <v>161957.25</v>
      </c>
      <c r="AL46" s="90">
        <f>IF('01 Major Assumptions'!AL$15=0,0,$D46*$E46*'01 Major Assumptions'!AL$14*(1+'01 Major Assumptions'!$D$97+'01 Major Assumptions'!$D$99)*(1+'01 Major Assumptions'!$D$98/12)*(1+'01 Major Assumptions'!$D$25)^'02 Oil Price Analysis'!AL$57)</f>
        <v>161957.25</v>
      </c>
      <c r="AM46" s="90">
        <f>IF('01 Major Assumptions'!AM$15=0,0,$D46*$E46*'01 Major Assumptions'!AM$14*(1+'01 Major Assumptions'!$D$97+'01 Major Assumptions'!$D$99)*(1+'01 Major Assumptions'!$D$98/12)*(1+'01 Major Assumptions'!$D$25)^'02 Oil Price Analysis'!AM$57)</f>
        <v>161957.25</v>
      </c>
      <c r="AN46" s="90">
        <f>IF('01 Major Assumptions'!AN$15=0,0,$D46*$E46*'01 Major Assumptions'!AN$14*(1+'01 Major Assumptions'!$D$97+'01 Major Assumptions'!$D$99)*(1+'01 Major Assumptions'!$D$98/12)*(1+'01 Major Assumptions'!$D$25)^'02 Oil Price Analysis'!AN$57)</f>
        <v>161957.25</v>
      </c>
      <c r="AO46" s="90">
        <f>IF('01 Major Assumptions'!AO$15=0,0,$D46*$E46*'01 Major Assumptions'!AO$14*(1+'01 Major Assumptions'!$D$97+'01 Major Assumptions'!$D$99)*(1+'01 Major Assumptions'!$D$98/12)*(1+'01 Major Assumptions'!$D$25)^'02 Oil Price Analysis'!AO$57)</f>
        <v>161957.25</v>
      </c>
      <c r="AP46" s="90">
        <f>IF('01 Major Assumptions'!AP$15=0,0,$D46*$E46*'01 Major Assumptions'!AP$14*(1+'01 Major Assumptions'!$D$97+'01 Major Assumptions'!$D$99)*(1+'01 Major Assumptions'!$D$98/12)*(1+'01 Major Assumptions'!$D$25)^'02 Oil Price Analysis'!AP$57)</f>
        <v>161957.25</v>
      </c>
      <c r="AQ46" s="90">
        <f>IF('01 Major Assumptions'!AQ$15=0,0,$D46*$E46*'01 Major Assumptions'!AQ$14*(1+'01 Major Assumptions'!$D$97+'01 Major Assumptions'!$D$99)*(1+'01 Major Assumptions'!$D$98/12)*(1+'01 Major Assumptions'!$D$25)^'02 Oil Price Analysis'!AQ$57)</f>
        <v>170055.11250000002</v>
      </c>
      <c r="AR46" s="90">
        <f>IF('01 Major Assumptions'!AR$15=0,0,$D46*$E46*'01 Major Assumptions'!AR$14*(1+'01 Major Assumptions'!$D$97+'01 Major Assumptions'!$D$99)*(1+'01 Major Assumptions'!$D$98/12)*(1+'01 Major Assumptions'!$D$25)^'02 Oil Price Analysis'!AR$57)</f>
        <v>170055.11250000002</v>
      </c>
      <c r="AS46" s="90">
        <f>IF('01 Major Assumptions'!AS$15=0,0,$D46*$E46*'01 Major Assumptions'!AS$14*(1+'01 Major Assumptions'!$D$97+'01 Major Assumptions'!$D$99)*(1+'01 Major Assumptions'!$D$98/12)*(1+'01 Major Assumptions'!$D$25)^'02 Oil Price Analysis'!AS$57)</f>
        <v>170055.11250000002</v>
      </c>
      <c r="AT46" s="90">
        <f>IF('01 Major Assumptions'!AT$15=0,0,$D46*$E46*'01 Major Assumptions'!AT$14*(1+'01 Major Assumptions'!$D$97+'01 Major Assumptions'!$D$99)*(1+'01 Major Assumptions'!$D$98/12)*(1+'01 Major Assumptions'!$D$25)^'02 Oil Price Analysis'!AT$57)</f>
        <v>170055.11250000002</v>
      </c>
      <c r="AU46" s="90">
        <f>IF('01 Major Assumptions'!AU$15=0,0,$D46*$E46*'01 Major Assumptions'!AU$14*(1+'01 Major Assumptions'!$D$97+'01 Major Assumptions'!$D$99)*(1+'01 Major Assumptions'!$D$98/12)*(1+'01 Major Assumptions'!$D$25)^'02 Oil Price Analysis'!AU$57)</f>
        <v>170055.11250000002</v>
      </c>
      <c r="AV46" s="90">
        <f>IF('01 Major Assumptions'!AV$15=0,0,$D46*$E46*'01 Major Assumptions'!AV$14*(1+'01 Major Assumptions'!$D$97+'01 Major Assumptions'!$D$99)*(1+'01 Major Assumptions'!$D$98/12)*(1+'01 Major Assumptions'!$D$25)^'02 Oil Price Analysis'!AV$57)</f>
        <v>170055.11250000002</v>
      </c>
      <c r="AW46" s="90">
        <f>IF('01 Major Assumptions'!AW$15=0,0,$D46*$E46*'01 Major Assumptions'!AW$14*(1+'01 Major Assumptions'!$D$97+'01 Major Assumptions'!$D$99)*(1+'01 Major Assumptions'!$D$98/12)*(1+'01 Major Assumptions'!$D$25)^'02 Oil Price Analysis'!AW$57)</f>
        <v>170055.11250000002</v>
      </c>
      <c r="AX46" s="90">
        <f>IF('01 Major Assumptions'!AX$15=0,0,$D46*$E46*'01 Major Assumptions'!AX$14*(1+'01 Major Assumptions'!$D$97+'01 Major Assumptions'!$D$99)*(1+'01 Major Assumptions'!$D$98/12)*(1+'01 Major Assumptions'!$D$25)^'02 Oil Price Analysis'!AX$57)</f>
        <v>170055.11250000002</v>
      </c>
      <c r="AY46" s="90">
        <f>IF('01 Major Assumptions'!AY$15=0,0,$D46*$E46*'01 Major Assumptions'!AY$14*(1+'01 Major Assumptions'!$D$97+'01 Major Assumptions'!$D$99)*(1+'01 Major Assumptions'!$D$98/12)*(1+'01 Major Assumptions'!$D$25)^'02 Oil Price Analysis'!AY$57)</f>
        <v>170055.11250000002</v>
      </c>
      <c r="AZ46" s="90">
        <f>IF('01 Major Assumptions'!AZ$15=0,0,$D46*$E46*'01 Major Assumptions'!AZ$14*(1+'01 Major Assumptions'!$D$97+'01 Major Assumptions'!$D$99)*(1+'01 Major Assumptions'!$D$98/12)*(1+'01 Major Assumptions'!$D$25)^'02 Oil Price Analysis'!AZ$57)</f>
        <v>170055.11250000002</v>
      </c>
      <c r="BA46" s="90">
        <f>IF('01 Major Assumptions'!BA$15=0,0,$D46*$E46*'01 Major Assumptions'!BA$14*(1+'01 Major Assumptions'!$D$97+'01 Major Assumptions'!$D$99)*(1+'01 Major Assumptions'!$D$98/12)*(1+'01 Major Assumptions'!$D$25)^'02 Oil Price Analysis'!BA$57)</f>
        <v>170055.11250000002</v>
      </c>
      <c r="BB46" s="90">
        <f>IF('01 Major Assumptions'!BB$15=0,0,$D46*$E46*'01 Major Assumptions'!BB$14*(1+'01 Major Assumptions'!$D$97+'01 Major Assumptions'!$D$99)*(1+'01 Major Assumptions'!$D$98/12)*(1+'01 Major Assumptions'!$D$25)^'02 Oil Price Analysis'!BB$57)</f>
        <v>170055.11250000002</v>
      </c>
      <c r="BC46" s="90">
        <f>IF('01 Major Assumptions'!BC$15=0,0,$D46*$E46*'01 Major Assumptions'!BC$14*(1+'01 Major Assumptions'!$D$97+'01 Major Assumptions'!$D$99)*(1+'01 Major Assumptions'!$D$98/12)*(1+'01 Major Assumptions'!$D$25)^'02 Oil Price Analysis'!BC$57)</f>
        <v>178557.86812500001</v>
      </c>
      <c r="BD46" s="90">
        <f>IF('01 Major Assumptions'!BD$15=0,0,$D46*$E46*'01 Major Assumptions'!BD$14*(1+'01 Major Assumptions'!$D$97+'01 Major Assumptions'!$D$99)*(1+'01 Major Assumptions'!$D$98/12)*(1+'01 Major Assumptions'!$D$25)^'02 Oil Price Analysis'!BD$57)</f>
        <v>178557.86812500001</v>
      </c>
      <c r="BE46" s="90">
        <f>IF('01 Major Assumptions'!BE$15=0,0,$D46*$E46*'01 Major Assumptions'!BE$14*(1+'01 Major Assumptions'!$D$97+'01 Major Assumptions'!$D$99)*(1+'01 Major Assumptions'!$D$98/12)*(1+'01 Major Assumptions'!$D$25)^'02 Oil Price Analysis'!BE$57)</f>
        <v>178557.86812500001</v>
      </c>
      <c r="BF46" s="90">
        <f>IF('01 Major Assumptions'!BF$15=0,0,$D46*$E46*'01 Major Assumptions'!BF$14*(1+'01 Major Assumptions'!$D$97+'01 Major Assumptions'!$D$99)*(1+'01 Major Assumptions'!$D$98/12)*(1+'01 Major Assumptions'!$D$25)^'02 Oil Price Analysis'!BF$57)</f>
        <v>178557.86812500001</v>
      </c>
      <c r="BG46" s="90">
        <f>IF('01 Major Assumptions'!BG$15=0,0,$D46*$E46*'01 Major Assumptions'!BG$14*(1+'01 Major Assumptions'!$D$97+'01 Major Assumptions'!$D$99)*(1+'01 Major Assumptions'!$D$98/12)*(1+'01 Major Assumptions'!$D$25)^'02 Oil Price Analysis'!BG$57)</f>
        <v>178557.86812500001</v>
      </c>
      <c r="BH46" s="90">
        <f>IF('01 Major Assumptions'!BH$15=0,0,$D46*$E46*'01 Major Assumptions'!BH$14*(1+'01 Major Assumptions'!$D$97+'01 Major Assumptions'!$D$99)*(1+'01 Major Assumptions'!$D$98/12)*(1+'01 Major Assumptions'!$D$25)^'02 Oil Price Analysis'!BH$57)</f>
        <v>178557.86812500001</v>
      </c>
      <c r="BI46" s="90">
        <f>IF('01 Major Assumptions'!BI$15=0,0,$D46*$E46*'01 Major Assumptions'!BI$14*(1+'01 Major Assumptions'!$D$97+'01 Major Assumptions'!$D$99)*(1+'01 Major Assumptions'!$D$98/12)*(1+'01 Major Assumptions'!$D$25)^'02 Oil Price Analysis'!BI$57)</f>
        <v>2249829.1383750006</v>
      </c>
      <c r="BJ46" s="90">
        <f>IF('01 Major Assumptions'!BJ$15=0,0,$D46*$E46*'01 Major Assumptions'!BJ$14*(1+'01 Major Assumptions'!$D$97+'01 Major Assumptions'!$D$99)*(1+'01 Major Assumptions'!$D$98/12)*(1+'01 Major Assumptions'!$D$25)^'02 Oil Price Analysis'!BJ$57)</f>
        <v>2362320.5952937501</v>
      </c>
      <c r="BK46" s="90">
        <f>IF('01 Major Assumptions'!BK$15=0,0,$D46*$E46*'01 Major Assumptions'!BK$14*(1+'01 Major Assumptions'!$D$97+'01 Major Assumptions'!$D$99)*(1+'01 Major Assumptions'!$D$98/12)*(1+'01 Major Assumptions'!$D$25)^'02 Oil Price Analysis'!BK$57)</f>
        <v>2480436.6250584382</v>
      </c>
      <c r="BL46" s="90">
        <f>IF('01 Major Assumptions'!BL$15=0,0,$D46*$E46*'01 Major Assumptions'!BL$14*(1+'01 Major Assumptions'!$D$97+'01 Major Assumptions'!$D$99)*(1+'01 Major Assumptions'!$D$98/12)*(1+'01 Major Assumptions'!$D$25)^'02 Oil Price Analysis'!BL$57)</f>
        <v>2604458.45631136</v>
      </c>
      <c r="BM46" s="90">
        <f>IF('01 Major Assumptions'!BM$15=0,0,$D46*$E46*'01 Major Assumptions'!BM$14*(1+'01 Major Assumptions'!$D$97+'01 Major Assumptions'!$D$99)*(1+'01 Major Assumptions'!$D$98/12)*(1+'01 Major Assumptions'!$D$25)^'02 Oil Price Analysis'!BM$57)</f>
        <v>2734681.3791269278</v>
      </c>
      <c r="BN46" s="90">
        <f>IF('01 Major Assumptions'!BN$15=0,0,$D46*$E46*'01 Major Assumptions'!BN$14*(1+'01 Major Assumptions'!$D$97+'01 Major Assumptions'!$D$99)*(1+'01 Major Assumptions'!$D$98/12)*(1+'01 Major Assumptions'!$D$25)^'02 Oil Price Analysis'!BN$57)</f>
        <v>2871415.4480832745</v>
      </c>
      <c r="BO46" s="90">
        <f>IF('01 Major Assumptions'!BO$15=0,0,$D46*$E46*'01 Major Assumptions'!BO$14*(1+'01 Major Assumptions'!$D$97+'01 Major Assumptions'!$D$99)*(1+'01 Major Assumptions'!$D$98/12)*(1+'01 Major Assumptions'!$D$25)^'02 Oil Price Analysis'!BO$57)</f>
        <v>3014986.2204874381</v>
      </c>
    </row>
    <row r="47" spans="1:67">
      <c r="A47" s="11"/>
      <c r="B47" s="32" t="str">
        <f>'01 Major Assumptions'!B93</f>
        <v>Procurement &amp; planning</v>
      </c>
      <c r="C47" s="11"/>
      <c r="D47" s="92">
        <f>'01 Major Assumptions'!$C$93</f>
        <v>3</v>
      </c>
      <c r="E47" s="92">
        <f>'01 Major Assumptions'!$D$93</f>
        <v>40000</v>
      </c>
      <c r="F47" s="10" t="s">
        <v>13</v>
      </c>
      <c r="G47" s="90">
        <f>IF('01 Major Assumptions'!G$15=0,0,$D47*$E47*'01 Major Assumptions'!G$14*(1+'01 Major Assumptions'!$D$97+'01 Major Assumptions'!$D$99)*(1+'01 Major Assumptions'!$D$98/12)*(1+'01 Major Assumptions'!$D$25)^'02 Oil Price Analysis'!G$57)</f>
        <v>0</v>
      </c>
      <c r="H47" s="90">
        <f>IF('01 Major Assumptions'!H$15=0,0,$D47*$E47*'01 Major Assumptions'!H$14*(1+'01 Major Assumptions'!$D$97+'01 Major Assumptions'!$D$99)*(1+'01 Major Assumptions'!$D$98/12)*(1+'01 Major Assumptions'!$D$25)^'02 Oil Price Analysis'!H$57)</f>
        <v>0</v>
      </c>
      <c r="I47" s="90">
        <f>IF('01 Major Assumptions'!I$15=0,0,$D47*$E47*'01 Major Assumptions'!I$14*(1+'01 Major Assumptions'!$D$97+'01 Major Assumptions'!$D$99)*(1+'01 Major Assumptions'!$D$98/12)*(1+'01 Major Assumptions'!$D$25)^'02 Oil Price Analysis'!I$57)</f>
        <v>0</v>
      </c>
      <c r="J47" s="90">
        <f>IF('01 Major Assumptions'!J$15=0,0,$D47*$E47*'01 Major Assumptions'!J$14*(1+'01 Major Assumptions'!$D$97+'01 Major Assumptions'!$D$99)*(1+'01 Major Assumptions'!$D$98/12)*(1+'01 Major Assumptions'!$D$25)^'02 Oil Price Analysis'!J$57)</f>
        <v>0</v>
      </c>
      <c r="K47" s="90">
        <f>IF('01 Major Assumptions'!K$15=0,0,$D47*$E47*'01 Major Assumptions'!K$14*(1+'01 Major Assumptions'!$D$97+'01 Major Assumptions'!$D$99)*(1+'01 Major Assumptions'!$D$98/12)*(1+'01 Major Assumptions'!$D$25)^'02 Oil Price Analysis'!K$57)</f>
        <v>0</v>
      </c>
      <c r="L47" s="90">
        <f>IF('01 Major Assumptions'!L$15=0,0,$D47*$E47*'01 Major Assumptions'!L$14*(1+'01 Major Assumptions'!$D$97+'01 Major Assumptions'!$D$99)*(1+'01 Major Assumptions'!$D$98/12)*(1+'01 Major Assumptions'!$D$25)^'02 Oil Price Analysis'!L$57)</f>
        <v>0</v>
      </c>
      <c r="M47" s="90">
        <f>IF('01 Major Assumptions'!M$15=0,0,$D47*$E47*'01 Major Assumptions'!M$14*(1+'01 Major Assumptions'!$D$97+'01 Major Assumptions'!$D$99)*(1+'01 Major Assumptions'!$D$98/12)*(1+'01 Major Assumptions'!$D$25)^'02 Oil Price Analysis'!M$57)</f>
        <v>0</v>
      </c>
      <c r="N47" s="90">
        <f>IF('01 Major Assumptions'!N$15=0,0,$D47*$E47*'01 Major Assumptions'!N$14*(1+'01 Major Assumptions'!$D$97+'01 Major Assumptions'!$D$99)*(1+'01 Major Assumptions'!$D$98/12)*(1+'01 Major Assumptions'!$D$25)^'02 Oil Price Analysis'!N$57)</f>
        <v>0</v>
      </c>
      <c r="O47" s="90">
        <f>IF('01 Major Assumptions'!O$15=0,0,$D47*$E47*'01 Major Assumptions'!O$14*(1+'01 Major Assumptions'!$D$97+'01 Major Assumptions'!$D$99)*(1+'01 Major Assumptions'!$D$98/12)*(1+'01 Major Assumptions'!$D$25)^'02 Oil Price Analysis'!O$57)</f>
        <v>0</v>
      </c>
      <c r="P47" s="90">
        <f>IF('01 Major Assumptions'!P$15=0,0,$D47*$E47*'01 Major Assumptions'!P$14*(1+'01 Major Assumptions'!$D$97+'01 Major Assumptions'!$D$99)*(1+'01 Major Assumptions'!$D$98/12)*(1+'01 Major Assumptions'!$D$25)^'02 Oil Price Analysis'!P$57)</f>
        <v>0</v>
      </c>
      <c r="Q47" s="90">
        <f>IF('01 Major Assumptions'!Q$15=0,0,$D47*$E47*'01 Major Assumptions'!Q$14*(1+'01 Major Assumptions'!$D$97+'01 Major Assumptions'!$D$99)*(1+'01 Major Assumptions'!$D$98/12)*(1+'01 Major Assumptions'!$D$25)^'02 Oil Price Analysis'!Q$57)</f>
        <v>0</v>
      </c>
      <c r="R47" s="90">
        <f>IF('01 Major Assumptions'!R$15=0,0,$D47*$E47*'01 Major Assumptions'!R$14*(1+'01 Major Assumptions'!$D$97+'01 Major Assumptions'!$D$99)*(1+'01 Major Assumptions'!$D$98/12)*(1+'01 Major Assumptions'!$D$25)^'02 Oil Price Analysis'!R$57)</f>
        <v>0</v>
      </c>
      <c r="S47" s="90">
        <f>IF('01 Major Assumptions'!S$15=0,0,$D47*$E47*'01 Major Assumptions'!S$14*(1+'01 Major Assumptions'!$D$97+'01 Major Assumptions'!$D$99)*(1+'01 Major Assumptions'!$D$98/12)*(1+'01 Major Assumptions'!$D$25)^'02 Oil Price Analysis'!S$57)</f>
        <v>0</v>
      </c>
      <c r="T47" s="90">
        <f>IF('01 Major Assumptions'!T$15=0,0,$D47*$E47*'01 Major Assumptions'!T$14*(1+'01 Major Assumptions'!$D$97+'01 Major Assumptions'!$D$99)*(1+'01 Major Assumptions'!$D$98/12)*(1+'01 Major Assumptions'!$D$25)^'02 Oil Price Analysis'!T$57)</f>
        <v>0</v>
      </c>
      <c r="U47" s="90">
        <f>IF('01 Major Assumptions'!U$15=0,0,$D47*$E47*'01 Major Assumptions'!U$14*(1+'01 Major Assumptions'!$D$97+'01 Major Assumptions'!$D$99)*(1+'01 Major Assumptions'!$D$98/12)*(1+'01 Major Assumptions'!$D$25)^'02 Oil Price Analysis'!U$57)</f>
        <v>0</v>
      </c>
      <c r="V47" s="90">
        <f>IF('01 Major Assumptions'!V$15=0,0,$D47*$E47*'01 Major Assumptions'!V$14*(1+'01 Major Assumptions'!$D$97+'01 Major Assumptions'!$D$99)*(1+'01 Major Assumptions'!$D$98/12)*(1+'01 Major Assumptions'!$D$25)^'02 Oil Price Analysis'!V$57)</f>
        <v>0</v>
      </c>
      <c r="W47" s="90">
        <f>IF('01 Major Assumptions'!W$15=0,0,$D47*$E47*'01 Major Assumptions'!W$14*(1+'01 Major Assumptions'!$D$97+'01 Major Assumptions'!$D$99)*(1+'01 Major Assumptions'!$D$98/12)*(1+'01 Major Assumptions'!$D$25)^'02 Oil Price Analysis'!W$57)</f>
        <v>0</v>
      </c>
      <c r="X47" s="90">
        <f>IF('01 Major Assumptions'!X$15=0,0,$D47*$E47*'01 Major Assumptions'!X$14*(1+'01 Major Assumptions'!$D$97+'01 Major Assumptions'!$D$99)*(1+'01 Major Assumptions'!$D$98/12)*(1+'01 Major Assumptions'!$D$25)^'02 Oil Price Analysis'!X$57)</f>
        <v>0</v>
      </c>
      <c r="Y47" s="90">
        <f>IF('01 Major Assumptions'!Y$15=0,0,$D47*$E47*'01 Major Assumptions'!Y$14*(1+'01 Major Assumptions'!$D$97+'01 Major Assumptions'!$D$99)*(1+'01 Major Assumptions'!$D$98/12)*(1+'01 Major Assumptions'!$D$25)^'02 Oil Price Analysis'!Y$57)</f>
        <v>0</v>
      </c>
      <c r="Z47" s="90">
        <f>IF('01 Major Assumptions'!Z$15=0,0,$D47*$E47*'01 Major Assumptions'!Z$14*(1+'01 Major Assumptions'!$D$97+'01 Major Assumptions'!$D$99)*(1+'01 Major Assumptions'!$D$98/12)*(1+'01 Major Assumptions'!$D$25)^'02 Oil Price Analysis'!Z$57)</f>
        <v>0</v>
      </c>
      <c r="AA47" s="90">
        <f>IF('01 Major Assumptions'!AA$15=0,0,$D47*$E47*'01 Major Assumptions'!AA$14*(1+'01 Major Assumptions'!$D$97+'01 Major Assumptions'!$D$99)*(1+'01 Major Assumptions'!$D$98/12)*(1+'01 Major Assumptions'!$D$25)^'02 Oil Price Analysis'!AA$57)</f>
        <v>0</v>
      </c>
      <c r="AB47" s="90">
        <f>IF('01 Major Assumptions'!AB$15=0,0,$D47*$E47*'01 Major Assumptions'!AB$14*(1+'01 Major Assumptions'!$D$97+'01 Major Assumptions'!$D$99)*(1+'01 Major Assumptions'!$D$98/12)*(1+'01 Major Assumptions'!$D$25)^'02 Oil Price Analysis'!AB$57)</f>
        <v>154245</v>
      </c>
      <c r="AC47" s="90">
        <f>IF('01 Major Assumptions'!AC$15=0,0,$D47*$E47*'01 Major Assumptions'!AC$14*(1+'01 Major Assumptions'!$D$97+'01 Major Assumptions'!$D$99)*(1+'01 Major Assumptions'!$D$98/12)*(1+'01 Major Assumptions'!$D$25)^'02 Oil Price Analysis'!AC$57)</f>
        <v>154245</v>
      </c>
      <c r="AD47" s="90">
        <f>IF('01 Major Assumptions'!AD$15=0,0,$D47*$E47*'01 Major Assumptions'!AD$14*(1+'01 Major Assumptions'!$D$97+'01 Major Assumptions'!$D$99)*(1+'01 Major Assumptions'!$D$98/12)*(1+'01 Major Assumptions'!$D$25)^'02 Oil Price Analysis'!AD$57)</f>
        <v>154245</v>
      </c>
      <c r="AE47" s="90">
        <f>IF('01 Major Assumptions'!AE$15=0,0,$D47*$E47*'01 Major Assumptions'!AE$14*(1+'01 Major Assumptions'!$D$97+'01 Major Assumptions'!$D$99)*(1+'01 Major Assumptions'!$D$98/12)*(1+'01 Major Assumptions'!$D$25)^'02 Oil Price Analysis'!AE$57)</f>
        <v>161957.25</v>
      </c>
      <c r="AF47" s="90">
        <f>IF('01 Major Assumptions'!AF$15=0,0,$D47*$E47*'01 Major Assumptions'!AF$14*(1+'01 Major Assumptions'!$D$97+'01 Major Assumptions'!$D$99)*(1+'01 Major Assumptions'!$D$98/12)*(1+'01 Major Assumptions'!$D$25)^'02 Oil Price Analysis'!AF$57)</f>
        <v>161957.25</v>
      </c>
      <c r="AG47" s="90">
        <f>IF('01 Major Assumptions'!AG$15=0,0,$D47*$E47*'01 Major Assumptions'!AG$14*(1+'01 Major Assumptions'!$D$97+'01 Major Assumptions'!$D$99)*(1+'01 Major Assumptions'!$D$98/12)*(1+'01 Major Assumptions'!$D$25)^'02 Oil Price Analysis'!AG$57)</f>
        <v>161957.25</v>
      </c>
      <c r="AH47" s="90">
        <f>IF('01 Major Assumptions'!AH$15=0,0,$D47*$E47*'01 Major Assumptions'!AH$14*(1+'01 Major Assumptions'!$D$97+'01 Major Assumptions'!$D$99)*(1+'01 Major Assumptions'!$D$98/12)*(1+'01 Major Assumptions'!$D$25)^'02 Oil Price Analysis'!AH$57)</f>
        <v>161957.25</v>
      </c>
      <c r="AI47" s="90">
        <f>IF('01 Major Assumptions'!AI$15=0,0,$D47*$E47*'01 Major Assumptions'!AI$14*(1+'01 Major Assumptions'!$D$97+'01 Major Assumptions'!$D$99)*(1+'01 Major Assumptions'!$D$98/12)*(1+'01 Major Assumptions'!$D$25)^'02 Oil Price Analysis'!AI$57)</f>
        <v>161957.25</v>
      </c>
      <c r="AJ47" s="90">
        <f>IF('01 Major Assumptions'!AJ$15=0,0,$D47*$E47*'01 Major Assumptions'!AJ$14*(1+'01 Major Assumptions'!$D$97+'01 Major Assumptions'!$D$99)*(1+'01 Major Assumptions'!$D$98/12)*(1+'01 Major Assumptions'!$D$25)^'02 Oil Price Analysis'!AJ$57)</f>
        <v>161957.25</v>
      </c>
      <c r="AK47" s="90">
        <f>IF('01 Major Assumptions'!AK$15=0,0,$D47*$E47*'01 Major Assumptions'!AK$14*(1+'01 Major Assumptions'!$D$97+'01 Major Assumptions'!$D$99)*(1+'01 Major Assumptions'!$D$98/12)*(1+'01 Major Assumptions'!$D$25)^'02 Oil Price Analysis'!AK$57)</f>
        <v>161957.25</v>
      </c>
      <c r="AL47" s="90">
        <f>IF('01 Major Assumptions'!AL$15=0,0,$D47*$E47*'01 Major Assumptions'!AL$14*(1+'01 Major Assumptions'!$D$97+'01 Major Assumptions'!$D$99)*(1+'01 Major Assumptions'!$D$98/12)*(1+'01 Major Assumptions'!$D$25)^'02 Oil Price Analysis'!AL$57)</f>
        <v>161957.25</v>
      </c>
      <c r="AM47" s="90">
        <f>IF('01 Major Assumptions'!AM$15=0,0,$D47*$E47*'01 Major Assumptions'!AM$14*(1+'01 Major Assumptions'!$D$97+'01 Major Assumptions'!$D$99)*(1+'01 Major Assumptions'!$D$98/12)*(1+'01 Major Assumptions'!$D$25)^'02 Oil Price Analysis'!AM$57)</f>
        <v>161957.25</v>
      </c>
      <c r="AN47" s="90">
        <f>IF('01 Major Assumptions'!AN$15=0,0,$D47*$E47*'01 Major Assumptions'!AN$14*(1+'01 Major Assumptions'!$D$97+'01 Major Assumptions'!$D$99)*(1+'01 Major Assumptions'!$D$98/12)*(1+'01 Major Assumptions'!$D$25)^'02 Oil Price Analysis'!AN$57)</f>
        <v>161957.25</v>
      </c>
      <c r="AO47" s="90">
        <f>IF('01 Major Assumptions'!AO$15=0,0,$D47*$E47*'01 Major Assumptions'!AO$14*(1+'01 Major Assumptions'!$D$97+'01 Major Assumptions'!$D$99)*(1+'01 Major Assumptions'!$D$98/12)*(1+'01 Major Assumptions'!$D$25)^'02 Oil Price Analysis'!AO$57)</f>
        <v>161957.25</v>
      </c>
      <c r="AP47" s="90">
        <f>IF('01 Major Assumptions'!AP$15=0,0,$D47*$E47*'01 Major Assumptions'!AP$14*(1+'01 Major Assumptions'!$D$97+'01 Major Assumptions'!$D$99)*(1+'01 Major Assumptions'!$D$98/12)*(1+'01 Major Assumptions'!$D$25)^'02 Oil Price Analysis'!AP$57)</f>
        <v>161957.25</v>
      </c>
      <c r="AQ47" s="90">
        <f>IF('01 Major Assumptions'!AQ$15=0,0,$D47*$E47*'01 Major Assumptions'!AQ$14*(1+'01 Major Assumptions'!$D$97+'01 Major Assumptions'!$D$99)*(1+'01 Major Assumptions'!$D$98/12)*(1+'01 Major Assumptions'!$D$25)^'02 Oil Price Analysis'!AQ$57)</f>
        <v>170055.11250000002</v>
      </c>
      <c r="AR47" s="90">
        <f>IF('01 Major Assumptions'!AR$15=0,0,$D47*$E47*'01 Major Assumptions'!AR$14*(1+'01 Major Assumptions'!$D$97+'01 Major Assumptions'!$D$99)*(1+'01 Major Assumptions'!$D$98/12)*(1+'01 Major Assumptions'!$D$25)^'02 Oil Price Analysis'!AR$57)</f>
        <v>170055.11250000002</v>
      </c>
      <c r="AS47" s="90">
        <f>IF('01 Major Assumptions'!AS$15=0,0,$D47*$E47*'01 Major Assumptions'!AS$14*(1+'01 Major Assumptions'!$D$97+'01 Major Assumptions'!$D$99)*(1+'01 Major Assumptions'!$D$98/12)*(1+'01 Major Assumptions'!$D$25)^'02 Oil Price Analysis'!AS$57)</f>
        <v>170055.11250000002</v>
      </c>
      <c r="AT47" s="90">
        <f>IF('01 Major Assumptions'!AT$15=0,0,$D47*$E47*'01 Major Assumptions'!AT$14*(1+'01 Major Assumptions'!$D$97+'01 Major Assumptions'!$D$99)*(1+'01 Major Assumptions'!$D$98/12)*(1+'01 Major Assumptions'!$D$25)^'02 Oil Price Analysis'!AT$57)</f>
        <v>170055.11250000002</v>
      </c>
      <c r="AU47" s="90">
        <f>IF('01 Major Assumptions'!AU$15=0,0,$D47*$E47*'01 Major Assumptions'!AU$14*(1+'01 Major Assumptions'!$D$97+'01 Major Assumptions'!$D$99)*(1+'01 Major Assumptions'!$D$98/12)*(1+'01 Major Assumptions'!$D$25)^'02 Oil Price Analysis'!AU$57)</f>
        <v>170055.11250000002</v>
      </c>
      <c r="AV47" s="90">
        <f>IF('01 Major Assumptions'!AV$15=0,0,$D47*$E47*'01 Major Assumptions'!AV$14*(1+'01 Major Assumptions'!$D$97+'01 Major Assumptions'!$D$99)*(1+'01 Major Assumptions'!$D$98/12)*(1+'01 Major Assumptions'!$D$25)^'02 Oil Price Analysis'!AV$57)</f>
        <v>170055.11250000002</v>
      </c>
      <c r="AW47" s="90">
        <f>IF('01 Major Assumptions'!AW$15=0,0,$D47*$E47*'01 Major Assumptions'!AW$14*(1+'01 Major Assumptions'!$D$97+'01 Major Assumptions'!$D$99)*(1+'01 Major Assumptions'!$D$98/12)*(1+'01 Major Assumptions'!$D$25)^'02 Oil Price Analysis'!AW$57)</f>
        <v>170055.11250000002</v>
      </c>
      <c r="AX47" s="90">
        <f>IF('01 Major Assumptions'!AX$15=0,0,$D47*$E47*'01 Major Assumptions'!AX$14*(1+'01 Major Assumptions'!$D$97+'01 Major Assumptions'!$D$99)*(1+'01 Major Assumptions'!$D$98/12)*(1+'01 Major Assumptions'!$D$25)^'02 Oil Price Analysis'!AX$57)</f>
        <v>170055.11250000002</v>
      </c>
      <c r="AY47" s="90">
        <f>IF('01 Major Assumptions'!AY$15=0,0,$D47*$E47*'01 Major Assumptions'!AY$14*(1+'01 Major Assumptions'!$D$97+'01 Major Assumptions'!$D$99)*(1+'01 Major Assumptions'!$D$98/12)*(1+'01 Major Assumptions'!$D$25)^'02 Oil Price Analysis'!AY$57)</f>
        <v>170055.11250000002</v>
      </c>
      <c r="AZ47" s="90">
        <f>IF('01 Major Assumptions'!AZ$15=0,0,$D47*$E47*'01 Major Assumptions'!AZ$14*(1+'01 Major Assumptions'!$D$97+'01 Major Assumptions'!$D$99)*(1+'01 Major Assumptions'!$D$98/12)*(1+'01 Major Assumptions'!$D$25)^'02 Oil Price Analysis'!AZ$57)</f>
        <v>170055.11250000002</v>
      </c>
      <c r="BA47" s="90">
        <f>IF('01 Major Assumptions'!BA$15=0,0,$D47*$E47*'01 Major Assumptions'!BA$14*(1+'01 Major Assumptions'!$D$97+'01 Major Assumptions'!$D$99)*(1+'01 Major Assumptions'!$D$98/12)*(1+'01 Major Assumptions'!$D$25)^'02 Oil Price Analysis'!BA$57)</f>
        <v>170055.11250000002</v>
      </c>
      <c r="BB47" s="90">
        <f>IF('01 Major Assumptions'!BB$15=0,0,$D47*$E47*'01 Major Assumptions'!BB$14*(1+'01 Major Assumptions'!$D$97+'01 Major Assumptions'!$D$99)*(1+'01 Major Assumptions'!$D$98/12)*(1+'01 Major Assumptions'!$D$25)^'02 Oil Price Analysis'!BB$57)</f>
        <v>170055.11250000002</v>
      </c>
      <c r="BC47" s="90">
        <f>IF('01 Major Assumptions'!BC$15=0,0,$D47*$E47*'01 Major Assumptions'!BC$14*(1+'01 Major Assumptions'!$D$97+'01 Major Assumptions'!$D$99)*(1+'01 Major Assumptions'!$D$98/12)*(1+'01 Major Assumptions'!$D$25)^'02 Oil Price Analysis'!BC$57)</f>
        <v>178557.86812500001</v>
      </c>
      <c r="BD47" s="90">
        <f>IF('01 Major Assumptions'!BD$15=0,0,$D47*$E47*'01 Major Assumptions'!BD$14*(1+'01 Major Assumptions'!$D$97+'01 Major Assumptions'!$D$99)*(1+'01 Major Assumptions'!$D$98/12)*(1+'01 Major Assumptions'!$D$25)^'02 Oil Price Analysis'!BD$57)</f>
        <v>178557.86812500001</v>
      </c>
      <c r="BE47" s="90">
        <f>IF('01 Major Assumptions'!BE$15=0,0,$D47*$E47*'01 Major Assumptions'!BE$14*(1+'01 Major Assumptions'!$D$97+'01 Major Assumptions'!$D$99)*(1+'01 Major Assumptions'!$D$98/12)*(1+'01 Major Assumptions'!$D$25)^'02 Oil Price Analysis'!BE$57)</f>
        <v>178557.86812500001</v>
      </c>
      <c r="BF47" s="90">
        <f>IF('01 Major Assumptions'!BF$15=0,0,$D47*$E47*'01 Major Assumptions'!BF$14*(1+'01 Major Assumptions'!$D$97+'01 Major Assumptions'!$D$99)*(1+'01 Major Assumptions'!$D$98/12)*(1+'01 Major Assumptions'!$D$25)^'02 Oil Price Analysis'!BF$57)</f>
        <v>178557.86812500001</v>
      </c>
      <c r="BG47" s="90">
        <f>IF('01 Major Assumptions'!BG$15=0,0,$D47*$E47*'01 Major Assumptions'!BG$14*(1+'01 Major Assumptions'!$D$97+'01 Major Assumptions'!$D$99)*(1+'01 Major Assumptions'!$D$98/12)*(1+'01 Major Assumptions'!$D$25)^'02 Oil Price Analysis'!BG$57)</f>
        <v>178557.86812500001</v>
      </c>
      <c r="BH47" s="90">
        <f>IF('01 Major Assumptions'!BH$15=0,0,$D47*$E47*'01 Major Assumptions'!BH$14*(1+'01 Major Assumptions'!$D$97+'01 Major Assumptions'!$D$99)*(1+'01 Major Assumptions'!$D$98/12)*(1+'01 Major Assumptions'!$D$25)^'02 Oil Price Analysis'!BH$57)</f>
        <v>178557.86812500001</v>
      </c>
      <c r="BI47" s="90">
        <f>IF('01 Major Assumptions'!BI$15=0,0,$D47*$E47*'01 Major Assumptions'!BI$14*(1+'01 Major Assumptions'!$D$97+'01 Major Assumptions'!$D$99)*(1+'01 Major Assumptions'!$D$98/12)*(1+'01 Major Assumptions'!$D$25)^'02 Oil Price Analysis'!BI$57)</f>
        <v>2249829.1383750006</v>
      </c>
      <c r="BJ47" s="90">
        <f>IF('01 Major Assumptions'!BJ$15=0,0,$D47*$E47*'01 Major Assumptions'!BJ$14*(1+'01 Major Assumptions'!$D$97+'01 Major Assumptions'!$D$99)*(1+'01 Major Assumptions'!$D$98/12)*(1+'01 Major Assumptions'!$D$25)^'02 Oil Price Analysis'!BJ$57)</f>
        <v>2362320.5952937501</v>
      </c>
      <c r="BK47" s="90">
        <f>IF('01 Major Assumptions'!BK$15=0,0,$D47*$E47*'01 Major Assumptions'!BK$14*(1+'01 Major Assumptions'!$D$97+'01 Major Assumptions'!$D$99)*(1+'01 Major Assumptions'!$D$98/12)*(1+'01 Major Assumptions'!$D$25)^'02 Oil Price Analysis'!BK$57)</f>
        <v>2480436.6250584382</v>
      </c>
      <c r="BL47" s="90">
        <f>IF('01 Major Assumptions'!BL$15=0,0,$D47*$E47*'01 Major Assumptions'!BL$14*(1+'01 Major Assumptions'!$D$97+'01 Major Assumptions'!$D$99)*(1+'01 Major Assumptions'!$D$98/12)*(1+'01 Major Assumptions'!$D$25)^'02 Oil Price Analysis'!BL$57)</f>
        <v>2604458.45631136</v>
      </c>
      <c r="BM47" s="90">
        <f>IF('01 Major Assumptions'!BM$15=0,0,$D47*$E47*'01 Major Assumptions'!BM$14*(1+'01 Major Assumptions'!$D$97+'01 Major Assumptions'!$D$99)*(1+'01 Major Assumptions'!$D$98/12)*(1+'01 Major Assumptions'!$D$25)^'02 Oil Price Analysis'!BM$57)</f>
        <v>2734681.3791269278</v>
      </c>
      <c r="BN47" s="90">
        <f>IF('01 Major Assumptions'!BN$15=0,0,$D47*$E47*'01 Major Assumptions'!BN$14*(1+'01 Major Assumptions'!$D$97+'01 Major Assumptions'!$D$99)*(1+'01 Major Assumptions'!$D$98/12)*(1+'01 Major Assumptions'!$D$25)^'02 Oil Price Analysis'!BN$57)</f>
        <v>2871415.4480832745</v>
      </c>
      <c r="BO47" s="90">
        <f>IF('01 Major Assumptions'!BO$15=0,0,$D47*$E47*'01 Major Assumptions'!BO$14*(1+'01 Major Assumptions'!$D$97+'01 Major Assumptions'!$D$99)*(1+'01 Major Assumptions'!$D$98/12)*(1+'01 Major Assumptions'!$D$25)^'02 Oil Price Analysis'!BO$57)</f>
        <v>3014986.2204874381</v>
      </c>
    </row>
    <row r="48" spans="1:67">
      <c r="A48" s="11"/>
      <c r="B48" s="32" t="str">
        <f>'01 Major Assumptions'!B94</f>
        <v>Finance &amp; accounting</v>
      </c>
      <c r="C48" s="11"/>
      <c r="D48" s="92">
        <f>'01 Major Assumptions'!$C$94</f>
        <v>4</v>
      </c>
      <c r="E48" s="92">
        <f>'01 Major Assumptions'!$D$94</f>
        <v>40000</v>
      </c>
      <c r="F48" s="10" t="s">
        <v>13</v>
      </c>
      <c r="G48" s="90">
        <f>IF('01 Major Assumptions'!G$15=0,0,$D48*$E48*'01 Major Assumptions'!G$14*(1+'01 Major Assumptions'!$D$97+'01 Major Assumptions'!$D$99)*(1+'01 Major Assumptions'!$D$98/12)*(1+'01 Major Assumptions'!$D$25)^'02 Oil Price Analysis'!G$57)</f>
        <v>0</v>
      </c>
      <c r="H48" s="90">
        <f>IF('01 Major Assumptions'!H$15=0,0,$D48*$E48*'01 Major Assumptions'!H$14*(1+'01 Major Assumptions'!$D$97+'01 Major Assumptions'!$D$99)*(1+'01 Major Assumptions'!$D$98/12)*(1+'01 Major Assumptions'!$D$25)^'02 Oil Price Analysis'!H$57)</f>
        <v>0</v>
      </c>
      <c r="I48" s="90">
        <f>IF('01 Major Assumptions'!I$15=0,0,$D48*$E48*'01 Major Assumptions'!I$14*(1+'01 Major Assumptions'!$D$97+'01 Major Assumptions'!$D$99)*(1+'01 Major Assumptions'!$D$98/12)*(1+'01 Major Assumptions'!$D$25)^'02 Oil Price Analysis'!I$57)</f>
        <v>0</v>
      </c>
      <c r="J48" s="90">
        <f>IF('01 Major Assumptions'!J$15=0,0,$D48*$E48*'01 Major Assumptions'!J$14*(1+'01 Major Assumptions'!$D$97+'01 Major Assumptions'!$D$99)*(1+'01 Major Assumptions'!$D$98/12)*(1+'01 Major Assumptions'!$D$25)^'02 Oil Price Analysis'!J$57)</f>
        <v>0</v>
      </c>
      <c r="K48" s="90">
        <f>IF('01 Major Assumptions'!K$15=0,0,$D48*$E48*'01 Major Assumptions'!K$14*(1+'01 Major Assumptions'!$D$97+'01 Major Assumptions'!$D$99)*(1+'01 Major Assumptions'!$D$98/12)*(1+'01 Major Assumptions'!$D$25)^'02 Oil Price Analysis'!K$57)</f>
        <v>0</v>
      </c>
      <c r="L48" s="90">
        <f>IF('01 Major Assumptions'!L$15=0,0,$D48*$E48*'01 Major Assumptions'!L$14*(1+'01 Major Assumptions'!$D$97+'01 Major Assumptions'!$D$99)*(1+'01 Major Assumptions'!$D$98/12)*(1+'01 Major Assumptions'!$D$25)^'02 Oil Price Analysis'!L$57)</f>
        <v>0</v>
      </c>
      <c r="M48" s="90">
        <f>IF('01 Major Assumptions'!M$15=0,0,$D48*$E48*'01 Major Assumptions'!M$14*(1+'01 Major Assumptions'!$D$97+'01 Major Assumptions'!$D$99)*(1+'01 Major Assumptions'!$D$98/12)*(1+'01 Major Assumptions'!$D$25)^'02 Oil Price Analysis'!M$57)</f>
        <v>0</v>
      </c>
      <c r="N48" s="90">
        <f>IF('01 Major Assumptions'!N$15=0,0,$D48*$E48*'01 Major Assumptions'!N$14*(1+'01 Major Assumptions'!$D$97+'01 Major Assumptions'!$D$99)*(1+'01 Major Assumptions'!$D$98/12)*(1+'01 Major Assumptions'!$D$25)^'02 Oil Price Analysis'!N$57)</f>
        <v>0</v>
      </c>
      <c r="O48" s="90">
        <f>IF('01 Major Assumptions'!O$15=0,0,$D48*$E48*'01 Major Assumptions'!O$14*(1+'01 Major Assumptions'!$D$97+'01 Major Assumptions'!$D$99)*(1+'01 Major Assumptions'!$D$98/12)*(1+'01 Major Assumptions'!$D$25)^'02 Oil Price Analysis'!O$57)</f>
        <v>0</v>
      </c>
      <c r="P48" s="90">
        <f>IF('01 Major Assumptions'!P$15=0,0,$D48*$E48*'01 Major Assumptions'!P$14*(1+'01 Major Assumptions'!$D$97+'01 Major Assumptions'!$D$99)*(1+'01 Major Assumptions'!$D$98/12)*(1+'01 Major Assumptions'!$D$25)^'02 Oil Price Analysis'!P$57)</f>
        <v>0</v>
      </c>
      <c r="Q48" s="90">
        <f>IF('01 Major Assumptions'!Q$15=0,0,$D48*$E48*'01 Major Assumptions'!Q$14*(1+'01 Major Assumptions'!$D$97+'01 Major Assumptions'!$D$99)*(1+'01 Major Assumptions'!$D$98/12)*(1+'01 Major Assumptions'!$D$25)^'02 Oil Price Analysis'!Q$57)</f>
        <v>0</v>
      </c>
      <c r="R48" s="90">
        <f>IF('01 Major Assumptions'!R$15=0,0,$D48*$E48*'01 Major Assumptions'!R$14*(1+'01 Major Assumptions'!$D$97+'01 Major Assumptions'!$D$99)*(1+'01 Major Assumptions'!$D$98/12)*(1+'01 Major Assumptions'!$D$25)^'02 Oil Price Analysis'!R$57)</f>
        <v>0</v>
      </c>
      <c r="S48" s="90">
        <f>IF('01 Major Assumptions'!S$15=0,0,$D48*$E48*'01 Major Assumptions'!S$14*(1+'01 Major Assumptions'!$D$97+'01 Major Assumptions'!$D$99)*(1+'01 Major Assumptions'!$D$98/12)*(1+'01 Major Assumptions'!$D$25)^'02 Oil Price Analysis'!S$57)</f>
        <v>0</v>
      </c>
      <c r="T48" s="90">
        <f>IF('01 Major Assumptions'!T$15=0,0,$D48*$E48*'01 Major Assumptions'!T$14*(1+'01 Major Assumptions'!$D$97+'01 Major Assumptions'!$D$99)*(1+'01 Major Assumptions'!$D$98/12)*(1+'01 Major Assumptions'!$D$25)^'02 Oil Price Analysis'!T$57)</f>
        <v>0</v>
      </c>
      <c r="U48" s="90">
        <f>IF('01 Major Assumptions'!U$15=0,0,$D48*$E48*'01 Major Assumptions'!U$14*(1+'01 Major Assumptions'!$D$97+'01 Major Assumptions'!$D$99)*(1+'01 Major Assumptions'!$D$98/12)*(1+'01 Major Assumptions'!$D$25)^'02 Oil Price Analysis'!U$57)</f>
        <v>0</v>
      </c>
      <c r="V48" s="90">
        <f>IF('01 Major Assumptions'!V$15=0,0,$D48*$E48*'01 Major Assumptions'!V$14*(1+'01 Major Assumptions'!$D$97+'01 Major Assumptions'!$D$99)*(1+'01 Major Assumptions'!$D$98/12)*(1+'01 Major Assumptions'!$D$25)^'02 Oil Price Analysis'!V$57)</f>
        <v>0</v>
      </c>
      <c r="W48" s="90">
        <f>IF('01 Major Assumptions'!W$15=0,0,$D48*$E48*'01 Major Assumptions'!W$14*(1+'01 Major Assumptions'!$D$97+'01 Major Assumptions'!$D$99)*(1+'01 Major Assumptions'!$D$98/12)*(1+'01 Major Assumptions'!$D$25)^'02 Oil Price Analysis'!W$57)</f>
        <v>0</v>
      </c>
      <c r="X48" s="90">
        <f>IF('01 Major Assumptions'!X$15=0,0,$D48*$E48*'01 Major Assumptions'!X$14*(1+'01 Major Assumptions'!$D$97+'01 Major Assumptions'!$D$99)*(1+'01 Major Assumptions'!$D$98/12)*(1+'01 Major Assumptions'!$D$25)^'02 Oil Price Analysis'!X$57)</f>
        <v>0</v>
      </c>
      <c r="Y48" s="90">
        <f>IF('01 Major Assumptions'!Y$15=0,0,$D48*$E48*'01 Major Assumptions'!Y$14*(1+'01 Major Assumptions'!$D$97+'01 Major Assumptions'!$D$99)*(1+'01 Major Assumptions'!$D$98/12)*(1+'01 Major Assumptions'!$D$25)^'02 Oil Price Analysis'!Y$57)</f>
        <v>0</v>
      </c>
      <c r="Z48" s="90">
        <f>IF('01 Major Assumptions'!Z$15=0,0,$D48*$E48*'01 Major Assumptions'!Z$14*(1+'01 Major Assumptions'!$D$97+'01 Major Assumptions'!$D$99)*(1+'01 Major Assumptions'!$D$98/12)*(1+'01 Major Assumptions'!$D$25)^'02 Oil Price Analysis'!Z$57)</f>
        <v>0</v>
      </c>
      <c r="AA48" s="90">
        <f>IF('01 Major Assumptions'!AA$15=0,0,$D48*$E48*'01 Major Assumptions'!AA$14*(1+'01 Major Assumptions'!$D$97+'01 Major Assumptions'!$D$99)*(1+'01 Major Assumptions'!$D$98/12)*(1+'01 Major Assumptions'!$D$25)^'02 Oil Price Analysis'!AA$57)</f>
        <v>0</v>
      </c>
      <c r="AB48" s="90">
        <f>IF('01 Major Assumptions'!AB$15=0,0,$D48*$E48*'01 Major Assumptions'!AB$14*(1+'01 Major Assumptions'!$D$97+'01 Major Assumptions'!$D$99)*(1+'01 Major Assumptions'!$D$98/12)*(1+'01 Major Assumptions'!$D$25)^'02 Oil Price Analysis'!AB$57)</f>
        <v>205660.00000000003</v>
      </c>
      <c r="AC48" s="90">
        <f>IF('01 Major Assumptions'!AC$15=0,0,$D48*$E48*'01 Major Assumptions'!AC$14*(1+'01 Major Assumptions'!$D$97+'01 Major Assumptions'!$D$99)*(1+'01 Major Assumptions'!$D$98/12)*(1+'01 Major Assumptions'!$D$25)^'02 Oil Price Analysis'!AC$57)</f>
        <v>205660.00000000003</v>
      </c>
      <c r="AD48" s="90">
        <f>IF('01 Major Assumptions'!AD$15=0,0,$D48*$E48*'01 Major Assumptions'!AD$14*(1+'01 Major Assumptions'!$D$97+'01 Major Assumptions'!$D$99)*(1+'01 Major Assumptions'!$D$98/12)*(1+'01 Major Assumptions'!$D$25)^'02 Oil Price Analysis'!AD$57)</f>
        <v>205660.00000000003</v>
      </c>
      <c r="AE48" s="90">
        <f>IF('01 Major Assumptions'!AE$15=0,0,$D48*$E48*'01 Major Assumptions'!AE$14*(1+'01 Major Assumptions'!$D$97+'01 Major Assumptions'!$D$99)*(1+'01 Major Assumptions'!$D$98/12)*(1+'01 Major Assumptions'!$D$25)^'02 Oil Price Analysis'!AE$57)</f>
        <v>215943.00000000003</v>
      </c>
      <c r="AF48" s="90">
        <f>IF('01 Major Assumptions'!AF$15=0,0,$D48*$E48*'01 Major Assumptions'!AF$14*(1+'01 Major Assumptions'!$D$97+'01 Major Assumptions'!$D$99)*(1+'01 Major Assumptions'!$D$98/12)*(1+'01 Major Assumptions'!$D$25)^'02 Oil Price Analysis'!AF$57)</f>
        <v>215943.00000000003</v>
      </c>
      <c r="AG48" s="90">
        <f>IF('01 Major Assumptions'!AG$15=0,0,$D48*$E48*'01 Major Assumptions'!AG$14*(1+'01 Major Assumptions'!$D$97+'01 Major Assumptions'!$D$99)*(1+'01 Major Assumptions'!$D$98/12)*(1+'01 Major Assumptions'!$D$25)^'02 Oil Price Analysis'!AG$57)</f>
        <v>215943.00000000003</v>
      </c>
      <c r="AH48" s="90">
        <f>IF('01 Major Assumptions'!AH$15=0,0,$D48*$E48*'01 Major Assumptions'!AH$14*(1+'01 Major Assumptions'!$D$97+'01 Major Assumptions'!$D$99)*(1+'01 Major Assumptions'!$D$98/12)*(1+'01 Major Assumptions'!$D$25)^'02 Oil Price Analysis'!AH$57)</f>
        <v>215943.00000000003</v>
      </c>
      <c r="AI48" s="90">
        <f>IF('01 Major Assumptions'!AI$15=0,0,$D48*$E48*'01 Major Assumptions'!AI$14*(1+'01 Major Assumptions'!$D$97+'01 Major Assumptions'!$D$99)*(1+'01 Major Assumptions'!$D$98/12)*(1+'01 Major Assumptions'!$D$25)^'02 Oil Price Analysis'!AI$57)</f>
        <v>215943.00000000003</v>
      </c>
      <c r="AJ48" s="90">
        <f>IF('01 Major Assumptions'!AJ$15=0,0,$D48*$E48*'01 Major Assumptions'!AJ$14*(1+'01 Major Assumptions'!$D$97+'01 Major Assumptions'!$D$99)*(1+'01 Major Assumptions'!$D$98/12)*(1+'01 Major Assumptions'!$D$25)^'02 Oil Price Analysis'!AJ$57)</f>
        <v>215943.00000000003</v>
      </c>
      <c r="AK48" s="90">
        <f>IF('01 Major Assumptions'!AK$15=0,0,$D48*$E48*'01 Major Assumptions'!AK$14*(1+'01 Major Assumptions'!$D$97+'01 Major Assumptions'!$D$99)*(1+'01 Major Assumptions'!$D$98/12)*(1+'01 Major Assumptions'!$D$25)^'02 Oil Price Analysis'!AK$57)</f>
        <v>215943.00000000003</v>
      </c>
      <c r="AL48" s="90">
        <f>IF('01 Major Assumptions'!AL$15=0,0,$D48*$E48*'01 Major Assumptions'!AL$14*(1+'01 Major Assumptions'!$D$97+'01 Major Assumptions'!$D$99)*(1+'01 Major Assumptions'!$D$98/12)*(1+'01 Major Assumptions'!$D$25)^'02 Oil Price Analysis'!AL$57)</f>
        <v>215943.00000000003</v>
      </c>
      <c r="AM48" s="90">
        <f>IF('01 Major Assumptions'!AM$15=0,0,$D48*$E48*'01 Major Assumptions'!AM$14*(1+'01 Major Assumptions'!$D$97+'01 Major Assumptions'!$D$99)*(1+'01 Major Assumptions'!$D$98/12)*(1+'01 Major Assumptions'!$D$25)^'02 Oil Price Analysis'!AM$57)</f>
        <v>215943.00000000003</v>
      </c>
      <c r="AN48" s="90">
        <f>IF('01 Major Assumptions'!AN$15=0,0,$D48*$E48*'01 Major Assumptions'!AN$14*(1+'01 Major Assumptions'!$D$97+'01 Major Assumptions'!$D$99)*(1+'01 Major Assumptions'!$D$98/12)*(1+'01 Major Assumptions'!$D$25)^'02 Oil Price Analysis'!AN$57)</f>
        <v>215943.00000000003</v>
      </c>
      <c r="AO48" s="90">
        <f>IF('01 Major Assumptions'!AO$15=0,0,$D48*$E48*'01 Major Assumptions'!AO$14*(1+'01 Major Assumptions'!$D$97+'01 Major Assumptions'!$D$99)*(1+'01 Major Assumptions'!$D$98/12)*(1+'01 Major Assumptions'!$D$25)^'02 Oil Price Analysis'!AO$57)</f>
        <v>215943.00000000003</v>
      </c>
      <c r="AP48" s="90">
        <f>IF('01 Major Assumptions'!AP$15=0,0,$D48*$E48*'01 Major Assumptions'!AP$14*(1+'01 Major Assumptions'!$D$97+'01 Major Assumptions'!$D$99)*(1+'01 Major Assumptions'!$D$98/12)*(1+'01 Major Assumptions'!$D$25)^'02 Oil Price Analysis'!AP$57)</f>
        <v>215943.00000000003</v>
      </c>
      <c r="AQ48" s="90">
        <f>IF('01 Major Assumptions'!AQ$15=0,0,$D48*$E48*'01 Major Assumptions'!AQ$14*(1+'01 Major Assumptions'!$D$97+'01 Major Assumptions'!$D$99)*(1+'01 Major Assumptions'!$D$98/12)*(1+'01 Major Assumptions'!$D$25)^'02 Oil Price Analysis'!AQ$57)</f>
        <v>226740.15000000005</v>
      </c>
      <c r="AR48" s="90">
        <f>IF('01 Major Assumptions'!AR$15=0,0,$D48*$E48*'01 Major Assumptions'!AR$14*(1+'01 Major Assumptions'!$D$97+'01 Major Assumptions'!$D$99)*(1+'01 Major Assumptions'!$D$98/12)*(1+'01 Major Assumptions'!$D$25)^'02 Oil Price Analysis'!AR$57)</f>
        <v>226740.15000000005</v>
      </c>
      <c r="AS48" s="90">
        <f>IF('01 Major Assumptions'!AS$15=0,0,$D48*$E48*'01 Major Assumptions'!AS$14*(1+'01 Major Assumptions'!$D$97+'01 Major Assumptions'!$D$99)*(1+'01 Major Assumptions'!$D$98/12)*(1+'01 Major Assumptions'!$D$25)^'02 Oil Price Analysis'!AS$57)</f>
        <v>226740.15000000005</v>
      </c>
      <c r="AT48" s="90">
        <f>IF('01 Major Assumptions'!AT$15=0,0,$D48*$E48*'01 Major Assumptions'!AT$14*(1+'01 Major Assumptions'!$D$97+'01 Major Assumptions'!$D$99)*(1+'01 Major Assumptions'!$D$98/12)*(1+'01 Major Assumptions'!$D$25)^'02 Oil Price Analysis'!AT$57)</f>
        <v>226740.15000000005</v>
      </c>
      <c r="AU48" s="90">
        <f>IF('01 Major Assumptions'!AU$15=0,0,$D48*$E48*'01 Major Assumptions'!AU$14*(1+'01 Major Assumptions'!$D$97+'01 Major Assumptions'!$D$99)*(1+'01 Major Assumptions'!$D$98/12)*(1+'01 Major Assumptions'!$D$25)^'02 Oil Price Analysis'!AU$57)</f>
        <v>226740.15000000005</v>
      </c>
      <c r="AV48" s="90">
        <f>IF('01 Major Assumptions'!AV$15=0,0,$D48*$E48*'01 Major Assumptions'!AV$14*(1+'01 Major Assumptions'!$D$97+'01 Major Assumptions'!$D$99)*(1+'01 Major Assumptions'!$D$98/12)*(1+'01 Major Assumptions'!$D$25)^'02 Oil Price Analysis'!AV$57)</f>
        <v>226740.15000000005</v>
      </c>
      <c r="AW48" s="90">
        <f>IF('01 Major Assumptions'!AW$15=0,0,$D48*$E48*'01 Major Assumptions'!AW$14*(1+'01 Major Assumptions'!$D$97+'01 Major Assumptions'!$D$99)*(1+'01 Major Assumptions'!$D$98/12)*(1+'01 Major Assumptions'!$D$25)^'02 Oil Price Analysis'!AW$57)</f>
        <v>226740.15000000005</v>
      </c>
      <c r="AX48" s="90">
        <f>IF('01 Major Assumptions'!AX$15=0,0,$D48*$E48*'01 Major Assumptions'!AX$14*(1+'01 Major Assumptions'!$D$97+'01 Major Assumptions'!$D$99)*(1+'01 Major Assumptions'!$D$98/12)*(1+'01 Major Assumptions'!$D$25)^'02 Oil Price Analysis'!AX$57)</f>
        <v>226740.15000000005</v>
      </c>
      <c r="AY48" s="90">
        <f>IF('01 Major Assumptions'!AY$15=0,0,$D48*$E48*'01 Major Assumptions'!AY$14*(1+'01 Major Assumptions'!$D$97+'01 Major Assumptions'!$D$99)*(1+'01 Major Assumptions'!$D$98/12)*(1+'01 Major Assumptions'!$D$25)^'02 Oil Price Analysis'!AY$57)</f>
        <v>226740.15000000005</v>
      </c>
      <c r="AZ48" s="90">
        <f>IF('01 Major Assumptions'!AZ$15=0,0,$D48*$E48*'01 Major Assumptions'!AZ$14*(1+'01 Major Assumptions'!$D$97+'01 Major Assumptions'!$D$99)*(1+'01 Major Assumptions'!$D$98/12)*(1+'01 Major Assumptions'!$D$25)^'02 Oil Price Analysis'!AZ$57)</f>
        <v>226740.15000000005</v>
      </c>
      <c r="BA48" s="90">
        <f>IF('01 Major Assumptions'!BA$15=0,0,$D48*$E48*'01 Major Assumptions'!BA$14*(1+'01 Major Assumptions'!$D$97+'01 Major Assumptions'!$D$99)*(1+'01 Major Assumptions'!$D$98/12)*(1+'01 Major Assumptions'!$D$25)^'02 Oil Price Analysis'!BA$57)</f>
        <v>226740.15000000005</v>
      </c>
      <c r="BB48" s="90">
        <f>IF('01 Major Assumptions'!BB$15=0,0,$D48*$E48*'01 Major Assumptions'!BB$14*(1+'01 Major Assumptions'!$D$97+'01 Major Assumptions'!$D$99)*(1+'01 Major Assumptions'!$D$98/12)*(1+'01 Major Assumptions'!$D$25)^'02 Oil Price Analysis'!BB$57)</f>
        <v>226740.15000000005</v>
      </c>
      <c r="BC48" s="90">
        <f>IF('01 Major Assumptions'!BC$15=0,0,$D48*$E48*'01 Major Assumptions'!BC$14*(1+'01 Major Assumptions'!$D$97+'01 Major Assumptions'!$D$99)*(1+'01 Major Assumptions'!$D$98/12)*(1+'01 Major Assumptions'!$D$25)^'02 Oil Price Analysis'!BC$57)</f>
        <v>238077.15750000003</v>
      </c>
      <c r="BD48" s="90">
        <f>IF('01 Major Assumptions'!BD$15=0,0,$D48*$E48*'01 Major Assumptions'!BD$14*(1+'01 Major Assumptions'!$D$97+'01 Major Assumptions'!$D$99)*(1+'01 Major Assumptions'!$D$98/12)*(1+'01 Major Assumptions'!$D$25)^'02 Oil Price Analysis'!BD$57)</f>
        <v>238077.15750000003</v>
      </c>
      <c r="BE48" s="90">
        <f>IF('01 Major Assumptions'!BE$15=0,0,$D48*$E48*'01 Major Assumptions'!BE$14*(1+'01 Major Assumptions'!$D$97+'01 Major Assumptions'!$D$99)*(1+'01 Major Assumptions'!$D$98/12)*(1+'01 Major Assumptions'!$D$25)^'02 Oil Price Analysis'!BE$57)</f>
        <v>238077.15750000003</v>
      </c>
      <c r="BF48" s="90">
        <f>IF('01 Major Assumptions'!BF$15=0,0,$D48*$E48*'01 Major Assumptions'!BF$14*(1+'01 Major Assumptions'!$D$97+'01 Major Assumptions'!$D$99)*(1+'01 Major Assumptions'!$D$98/12)*(1+'01 Major Assumptions'!$D$25)^'02 Oil Price Analysis'!BF$57)</f>
        <v>238077.15750000003</v>
      </c>
      <c r="BG48" s="90">
        <f>IF('01 Major Assumptions'!BG$15=0,0,$D48*$E48*'01 Major Assumptions'!BG$14*(1+'01 Major Assumptions'!$D$97+'01 Major Assumptions'!$D$99)*(1+'01 Major Assumptions'!$D$98/12)*(1+'01 Major Assumptions'!$D$25)^'02 Oil Price Analysis'!BG$57)</f>
        <v>238077.15750000003</v>
      </c>
      <c r="BH48" s="90">
        <f>IF('01 Major Assumptions'!BH$15=0,0,$D48*$E48*'01 Major Assumptions'!BH$14*(1+'01 Major Assumptions'!$D$97+'01 Major Assumptions'!$D$99)*(1+'01 Major Assumptions'!$D$98/12)*(1+'01 Major Assumptions'!$D$25)^'02 Oil Price Analysis'!BH$57)</f>
        <v>238077.15750000003</v>
      </c>
      <c r="BI48" s="90">
        <f>IF('01 Major Assumptions'!BI$15=0,0,$D48*$E48*'01 Major Assumptions'!BI$14*(1+'01 Major Assumptions'!$D$97+'01 Major Assumptions'!$D$99)*(1+'01 Major Assumptions'!$D$98/12)*(1+'01 Major Assumptions'!$D$25)^'02 Oil Price Analysis'!BI$57)</f>
        <v>2999772.1845000004</v>
      </c>
      <c r="BJ48" s="90">
        <f>IF('01 Major Assumptions'!BJ$15=0,0,$D48*$E48*'01 Major Assumptions'!BJ$14*(1+'01 Major Assumptions'!$D$97+'01 Major Assumptions'!$D$99)*(1+'01 Major Assumptions'!$D$98/12)*(1+'01 Major Assumptions'!$D$25)^'02 Oil Price Analysis'!BJ$57)</f>
        <v>3149760.7937249998</v>
      </c>
      <c r="BK48" s="90">
        <f>IF('01 Major Assumptions'!BK$15=0,0,$D48*$E48*'01 Major Assumptions'!BK$14*(1+'01 Major Assumptions'!$D$97+'01 Major Assumptions'!$D$99)*(1+'01 Major Assumptions'!$D$98/12)*(1+'01 Major Assumptions'!$D$25)^'02 Oil Price Analysis'!BK$57)</f>
        <v>3307248.8334112507</v>
      </c>
      <c r="BL48" s="90">
        <f>IF('01 Major Assumptions'!BL$15=0,0,$D48*$E48*'01 Major Assumptions'!BL$14*(1+'01 Major Assumptions'!$D$97+'01 Major Assumptions'!$D$99)*(1+'01 Major Assumptions'!$D$98/12)*(1+'01 Major Assumptions'!$D$25)^'02 Oil Price Analysis'!BL$57)</f>
        <v>3472611.2750818129</v>
      </c>
      <c r="BM48" s="90">
        <f>IF('01 Major Assumptions'!BM$15=0,0,$D48*$E48*'01 Major Assumptions'!BM$14*(1+'01 Major Assumptions'!$D$97+'01 Major Assumptions'!$D$99)*(1+'01 Major Assumptions'!$D$98/12)*(1+'01 Major Assumptions'!$D$25)^'02 Oil Price Analysis'!BM$57)</f>
        <v>3646241.8388359034</v>
      </c>
      <c r="BN48" s="90">
        <f>IF('01 Major Assumptions'!BN$15=0,0,$D48*$E48*'01 Major Assumptions'!BN$14*(1+'01 Major Assumptions'!$D$97+'01 Major Assumptions'!$D$99)*(1+'01 Major Assumptions'!$D$98/12)*(1+'01 Major Assumptions'!$D$25)^'02 Oil Price Analysis'!BN$57)</f>
        <v>3828553.9307776988</v>
      </c>
      <c r="BO48" s="90">
        <f>IF('01 Major Assumptions'!BO$15=0,0,$D48*$E48*'01 Major Assumptions'!BO$14*(1+'01 Major Assumptions'!$D$97+'01 Major Assumptions'!$D$99)*(1+'01 Major Assumptions'!$D$98/12)*(1+'01 Major Assumptions'!$D$25)^'02 Oil Price Analysis'!BO$57)</f>
        <v>4019981.6273165839</v>
      </c>
    </row>
    <row r="49" spans="1:67">
      <c r="A49" s="11"/>
      <c r="B49" s="32" t="str">
        <f>'01 Major Assumptions'!B95</f>
        <v>HR &amp; administration</v>
      </c>
      <c r="C49" s="11"/>
      <c r="D49" s="92">
        <f>'01 Major Assumptions'!$C$95</f>
        <v>3</v>
      </c>
      <c r="E49" s="92">
        <f>'01 Major Assumptions'!$D$95</f>
        <v>35000</v>
      </c>
      <c r="F49" s="10" t="s">
        <v>13</v>
      </c>
      <c r="G49" s="90">
        <f>IF('01 Major Assumptions'!G$15=0,0,$D49*$E49*'01 Major Assumptions'!G$14*(1+'01 Major Assumptions'!$D$97+'01 Major Assumptions'!$D$99)*(1+'01 Major Assumptions'!$D$98/12)*(1+'01 Major Assumptions'!$D$25)^'02 Oil Price Analysis'!G$57)</f>
        <v>0</v>
      </c>
      <c r="H49" s="90">
        <f>IF('01 Major Assumptions'!H$15=0,0,$D49*$E49*'01 Major Assumptions'!H$14*(1+'01 Major Assumptions'!$D$97+'01 Major Assumptions'!$D$99)*(1+'01 Major Assumptions'!$D$98/12)*(1+'01 Major Assumptions'!$D$25)^'02 Oil Price Analysis'!H$57)</f>
        <v>0</v>
      </c>
      <c r="I49" s="90">
        <f>IF('01 Major Assumptions'!I$15=0,0,$D49*$E49*'01 Major Assumptions'!I$14*(1+'01 Major Assumptions'!$D$97+'01 Major Assumptions'!$D$99)*(1+'01 Major Assumptions'!$D$98/12)*(1+'01 Major Assumptions'!$D$25)^'02 Oil Price Analysis'!I$57)</f>
        <v>0</v>
      </c>
      <c r="J49" s="90">
        <f>IF('01 Major Assumptions'!J$15=0,0,$D49*$E49*'01 Major Assumptions'!J$14*(1+'01 Major Assumptions'!$D$97+'01 Major Assumptions'!$D$99)*(1+'01 Major Assumptions'!$D$98/12)*(1+'01 Major Assumptions'!$D$25)^'02 Oil Price Analysis'!J$57)</f>
        <v>0</v>
      </c>
      <c r="K49" s="90">
        <f>IF('01 Major Assumptions'!K$15=0,0,$D49*$E49*'01 Major Assumptions'!K$14*(1+'01 Major Assumptions'!$D$97+'01 Major Assumptions'!$D$99)*(1+'01 Major Assumptions'!$D$98/12)*(1+'01 Major Assumptions'!$D$25)^'02 Oil Price Analysis'!K$57)</f>
        <v>0</v>
      </c>
      <c r="L49" s="90">
        <f>IF('01 Major Assumptions'!L$15=0,0,$D49*$E49*'01 Major Assumptions'!L$14*(1+'01 Major Assumptions'!$D$97+'01 Major Assumptions'!$D$99)*(1+'01 Major Assumptions'!$D$98/12)*(1+'01 Major Assumptions'!$D$25)^'02 Oil Price Analysis'!L$57)</f>
        <v>0</v>
      </c>
      <c r="M49" s="90">
        <f>IF('01 Major Assumptions'!M$15=0,0,$D49*$E49*'01 Major Assumptions'!M$14*(1+'01 Major Assumptions'!$D$97+'01 Major Assumptions'!$D$99)*(1+'01 Major Assumptions'!$D$98/12)*(1+'01 Major Assumptions'!$D$25)^'02 Oil Price Analysis'!M$57)</f>
        <v>0</v>
      </c>
      <c r="N49" s="90">
        <f>IF('01 Major Assumptions'!N$15=0,0,$D49*$E49*'01 Major Assumptions'!N$14*(1+'01 Major Assumptions'!$D$97+'01 Major Assumptions'!$D$99)*(1+'01 Major Assumptions'!$D$98/12)*(1+'01 Major Assumptions'!$D$25)^'02 Oil Price Analysis'!N$57)</f>
        <v>0</v>
      </c>
      <c r="O49" s="90">
        <f>IF('01 Major Assumptions'!O$15=0,0,$D49*$E49*'01 Major Assumptions'!O$14*(1+'01 Major Assumptions'!$D$97+'01 Major Assumptions'!$D$99)*(1+'01 Major Assumptions'!$D$98/12)*(1+'01 Major Assumptions'!$D$25)^'02 Oil Price Analysis'!O$57)</f>
        <v>0</v>
      </c>
      <c r="P49" s="90">
        <f>IF('01 Major Assumptions'!P$15=0,0,$D49*$E49*'01 Major Assumptions'!P$14*(1+'01 Major Assumptions'!$D$97+'01 Major Assumptions'!$D$99)*(1+'01 Major Assumptions'!$D$98/12)*(1+'01 Major Assumptions'!$D$25)^'02 Oil Price Analysis'!P$57)</f>
        <v>0</v>
      </c>
      <c r="Q49" s="90">
        <f>IF('01 Major Assumptions'!Q$15=0,0,$D49*$E49*'01 Major Assumptions'!Q$14*(1+'01 Major Assumptions'!$D$97+'01 Major Assumptions'!$D$99)*(1+'01 Major Assumptions'!$D$98/12)*(1+'01 Major Assumptions'!$D$25)^'02 Oil Price Analysis'!Q$57)</f>
        <v>0</v>
      </c>
      <c r="R49" s="90">
        <f>IF('01 Major Assumptions'!R$15=0,0,$D49*$E49*'01 Major Assumptions'!R$14*(1+'01 Major Assumptions'!$D$97+'01 Major Assumptions'!$D$99)*(1+'01 Major Assumptions'!$D$98/12)*(1+'01 Major Assumptions'!$D$25)^'02 Oil Price Analysis'!R$57)</f>
        <v>0</v>
      </c>
      <c r="S49" s="90">
        <f>IF('01 Major Assumptions'!S$15=0,0,$D49*$E49*'01 Major Assumptions'!S$14*(1+'01 Major Assumptions'!$D$97+'01 Major Assumptions'!$D$99)*(1+'01 Major Assumptions'!$D$98/12)*(1+'01 Major Assumptions'!$D$25)^'02 Oil Price Analysis'!S$57)</f>
        <v>0</v>
      </c>
      <c r="T49" s="90">
        <f>IF('01 Major Assumptions'!T$15=0,0,$D49*$E49*'01 Major Assumptions'!T$14*(1+'01 Major Assumptions'!$D$97+'01 Major Assumptions'!$D$99)*(1+'01 Major Assumptions'!$D$98/12)*(1+'01 Major Assumptions'!$D$25)^'02 Oil Price Analysis'!T$57)</f>
        <v>0</v>
      </c>
      <c r="U49" s="90">
        <f>IF('01 Major Assumptions'!U$15=0,0,$D49*$E49*'01 Major Assumptions'!U$14*(1+'01 Major Assumptions'!$D$97+'01 Major Assumptions'!$D$99)*(1+'01 Major Assumptions'!$D$98/12)*(1+'01 Major Assumptions'!$D$25)^'02 Oil Price Analysis'!U$57)</f>
        <v>0</v>
      </c>
      <c r="V49" s="90">
        <f>IF('01 Major Assumptions'!V$15=0,0,$D49*$E49*'01 Major Assumptions'!V$14*(1+'01 Major Assumptions'!$D$97+'01 Major Assumptions'!$D$99)*(1+'01 Major Assumptions'!$D$98/12)*(1+'01 Major Assumptions'!$D$25)^'02 Oil Price Analysis'!V$57)</f>
        <v>0</v>
      </c>
      <c r="W49" s="90">
        <f>IF('01 Major Assumptions'!W$15=0,0,$D49*$E49*'01 Major Assumptions'!W$14*(1+'01 Major Assumptions'!$D$97+'01 Major Assumptions'!$D$99)*(1+'01 Major Assumptions'!$D$98/12)*(1+'01 Major Assumptions'!$D$25)^'02 Oil Price Analysis'!W$57)</f>
        <v>0</v>
      </c>
      <c r="X49" s="90">
        <f>IF('01 Major Assumptions'!X$15=0,0,$D49*$E49*'01 Major Assumptions'!X$14*(1+'01 Major Assumptions'!$D$97+'01 Major Assumptions'!$D$99)*(1+'01 Major Assumptions'!$D$98/12)*(1+'01 Major Assumptions'!$D$25)^'02 Oil Price Analysis'!X$57)</f>
        <v>0</v>
      </c>
      <c r="Y49" s="90">
        <f>IF('01 Major Assumptions'!Y$15=0,0,$D49*$E49*'01 Major Assumptions'!Y$14*(1+'01 Major Assumptions'!$D$97+'01 Major Assumptions'!$D$99)*(1+'01 Major Assumptions'!$D$98/12)*(1+'01 Major Assumptions'!$D$25)^'02 Oil Price Analysis'!Y$57)</f>
        <v>0</v>
      </c>
      <c r="Z49" s="90">
        <f>IF('01 Major Assumptions'!Z$15=0,0,$D49*$E49*'01 Major Assumptions'!Z$14*(1+'01 Major Assumptions'!$D$97+'01 Major Assumptions'!$D$99)*(1+'01 Major Assumptions'!$D$98/12)*(1+'01 Major Assumptions'!$D$25)^'02 Oil Price Analysis'!Z$57)</f>
        <v>0</v>
      </c>
      <c r="AA49" s="90">
        <f>IF('01 Major Assumptions'!AA$15=0,0,$D49*$E49*'01 Major Assumptions'!AA$14*(1+'01 Major Assumptions'!$D$97+'01 Major Assumptions'!$D$99)*(1+'01 Major Assumptions'!$D$98/12)*(1+'01 Major Assumptions'!$D$25)^'02 Oil Price Analysis'!AA$57)</f>
        <v>0</v>
      </c>
      <c r="AB49" s="90">
        <f>IF('01 Major Assumptions'!AB$15=0,0,$D49*$E49*'01 Major Assumptions'!AB$14*(1+'01 Major Assumptions'!$D$97+'01 Major Assumptions'!$D$99)*(1+'01 Major Assumptions'!$D$98/12)*(1+'01 Major Assumptions'!$D$25)^'02 Oil Price Analysis'!AB$57)</f>
        <v>134964.375</v>
      </c>
      <c r="AC49" s="90">
        <f>IF('01 Major Assumptions'!AC$15=0,0,$D49*$E49*'01 Major Assumptions'!AC$14*(1+'01 Major Assumptions'!$D$97+'01 Major Assumptions'!$D$99)*(1+'01 Major Assumptions'!$D$98/12)*(1+'01 Major Assumptions'!$D$25)^'02 Oil Price Analysis'!AC$57)</f>
        <v>134964.375</v>
      </c>
      <c r="AD49" s="90">
        <f>IF('01 Major Assumptions'!AD$15=0,0,$D49*$E49*'01 Major Assumptions'!AD$14*(1+'01 Major Assumptions'!$D$97+'01 Major Assumptions'!$D$99)*(1+'01 Major Assumptions'!$D$98/12)*(1+'01 Major Assumptions'!$D$25)^'02 Oil Price Analysis'!AD$57)</f>
        <v>134964.375</v>
      </c>
      <c r="AE49" s="90">
        <f>IF('01 Major Assumptions'!AE$15=0,0,$D49*$E49*'01 Major Assumptions'!AE$14*(1+'01 Major Assumptions'!$D$97+'01 Major Assumptions'!$D$99)*(1+'01 Major Assumptions'!$D$98/12)*(1+'01 Major Assumptions'!$D$25)^'02 Oil Price Analysis'!AE$57)</f>
        <v>141712.59375</v>
      </c>
      <c r="AF49" s="90">
        <f>IF('01 Major Assumptions'!AF$15=0,0,$D49*$E49*'01 Major Assumptions'!AF$14*(1+'01 Major Assumptions'!$D$97+'01 Major Assumptions'!$D$99)*(1+'01 Major Assumptions'!$D$98/12)*(1+'01 Major Assumptions'!$D$25)^'02 Oil Price Analysis'!AF$57)</f>
        <v>141712.59375</v>
      </c>
      <c r="AG49" s="90">
        <f>IF('01 Major Assumptions'!AG$15=0,0,$D49*$E49*'01 Major Assumptions'!AG$14*(1+'01 Major Assumptions'!$D$97+'01 Major Assumptions'!$D$99)*(1+'01 Major Assumptions'!$D$98/12)*(1+'01 Major Assumptions'!$D$25)^'02 Oil Price Analysis'!AG$57)</f>
        <v>141712.59375</v>
      </c>
      <c r="AH49" s="90">
        <f>IF('01 Major Assumptions'!AH$15=0,0,$D49*$E49*'01 Major Assumptions'!AH$14*(1+'01 Major Assumptions'!$D$97+'01 Major Assumptions'!$D$99)*(1+'01 Major Assumptions'!$D$98/12)*(1+'01 Major Assumptions'!$D$25)^'02 Oil Price Analysis'!AH$57)</f>
        <v>141712.59375</v>
      </c>
      <c r="AI49" s="90">
        <f>IF('01 Major Assumptions'!AI$15=0,0,$D49*$E49*'01 Major Assumptions'!AI$14*(1+'01 Major Assumptions'!$D$97+'01 Major Assumptions'!$D$99)*(1+'01 Major Assumptions'!$D$98/12)*(1+'01 Major Assumptions'!$D$25)^'02 Oil Price Analysis'!AI$57)</f>
        <v>141712.59375</v>
      </c>
      <c r="AJ49" s="90">
        <f>IF('01 Major Assumptions'!AJ$15=0,0,$D49*$E49*'01 Major Assumptions'!AJ$14*(1+'01 Major Assumptions'!$D$97+'01 Major Assumptions'!$D$99)*(1+'01 Major Assumptions'!$D$98/12)*(1+'01 Major Assumptions'!$D$25)^'02 Oil Price Analysis'!AJ$57)</f>
        <v>141712.59375</v>
      </c>
      <c r="AK49" s="90">
        <f>IF('01 Major Assumptions'!AK$15=0,0,$D49*$E49*'01 Major Assumptions'!AK$14*(1+'01 Major Assumptions'!$D$97+'01 Major Assumptions'!$D$99)*(1+'01 Major Assumptions'!$D$98/12)*(1+'01 Major Assumptions'!$D$25)^'02 Oil Price Analysis'!AK$57)</f>
        <v>141712.59375</v>
      </c>
      <c r="AL49" s="90">
        <f>IF('01 Major Assumptions'!AL$15=0,0,$D49*$E49*'01 Major Assumptions'!AL$14*(1+'01 Major Assumptions'!$D$97+'01 Major Assumptions'!$D$99)*(1+'01 Major Assumptions'!$D$98/12)*(1+'01 Major Assumptions'!$D$25)^'02 Oil Price Analysis'!AL$57)</f>
        <v>141712.59375</v>
      </c>
      <c r="AM49" s="90">
        <f>IF('01 Major Assumptions'!AM$15=0,0,$D49*$E49*'01 Major Assumptions'!AM$14*(1+'01 Major Assumptions'!$D$97+'01 Major Assumptions'!$D$99)*(1+'01 Major Assumptions'!$D$98/12)*(1+'01 Major Assumptions'!$D$25)^'02 Oil Price Analysis'!AM$57)</f>
        <v>141712.59375</v>
      </c>
      <c r="AN49" s="90">
        <f>IF('01 Major Assumptions'!AN$15=0,0,$D49*$E49*'01 Major Assumptions'!AN$14*(1+'01 Major Assumptions'!$D$97+'01 Major Assumptions'!$D$99)*(1+'01 Major Assumptions'!$D$98/12)*(1+'01 Major Assumptions'!$D$25)^'02 Oil Price Analysis'!AN$57)</f>
        <v>141712.59375</v>
      </c>
      <c r="AO49" s="90">
        <f>IF('01 Major Assumptions'!AO$15=0,0,$D49*$E49*'01 Major Assumptions'!AO$14*(1+'01 Major Assumptions'!$D$97+'01 Major Assumptions'!$D$99)*(1+'01 Major Assumptions'!$D$98/12)*(1+'01 Major Assumptions'!$D$25)^'02 Oil Price Analysis'!AO$57)</f>
        <v>141712.59375</v>
      </c>
      <c r="AP49" s="90">
        <f>IF('01 Major Assumptions'!AP$15=0,0,$D49*$E49*'01 Major Assumptions'!AP$14*(1+'01 Major Assumptions'!$D$97+'01 Major Assumptions'!$D$99)*(1+'01 Major Assumptions'!$D$98/12)*(1+'01 Major Assumptions'!$D$25)^'02 Oil Price Analysis'!AP$57)</f>
        <v>141712.59375</v>
      </c>
      <c r="AQ49" s="90">
        <f>IF('01 Major Assumptions'!AQ$15=0,0,$D49*$E49*'01 Major Assumptions'!AQ$14*(1+'01 Major Assumptions'!$D$97+'01 Major Assumptions'!$D$99)*(1+'01 Major Assumptions'!$D$98/12)*(1+'01 Major Assumptions'!$D$25)^'02 Oil Price Analysis'!AQ$57)</f>
        <v>148798.22343750001</v>
      </c>
      <c r="AR49" s="90">
        <f>IF('01 Major Assumptions'!AR$15=0,0,$D49*$E49*'01 Major Assumptions'!AR$14*(1+'01 Major Assumptions'!$D$97+'01 Major Assumptions'!$D$99)*(1+'01 Major Assumptions'!$D$98/12)*(1+'01 Major Assumptions'!$D$25)^'02 Oil Price Analysis'!AR$57)</f>
        <v>148798.22343750001</v>
      </c>
      <c r="AS49" s="90">
        <f>IF('01 Major Assumptions'!AS$15=0,0,$D49*$E49*'01 Major Assumptions'!AS$14*(1+'01 Major Assumptions'!$D$97+'01 Major Assumptions'!$D$99)*(1+'01 Major Assumptions'!$D$98/12)*(1+'01 Major Assumptions'!$D$25)^'02 Oil Price Analysis'!AS$57)</f>
        <v>148798.22343750001</v>
      </c>
      <c r="AT49" s="90">
        <f>IF('01 Major Assumptions'!AT$15=0,0,$D49*$E49*'01 Major Assumptions'!AT$14*(1+'01 Major Assumptions'!$D$97+'01 Major Assumptions'!$D$99)*(1+'01 Major Assumptions'!$D$98/12)*(1+'01 Major Assumptions'!$D$25)^'02 Oil Price Analysis'!AT$57)</f>
        <v>148798.22343750001</v>
      </c>
      <c r="AU49" s="90">
        <f>IF('01 Major Assumptions'!AU$15=0,0,$D49*$E49*'01 Major Assumptions'!AU$14*(1+'01 Major Assumptions'!$D$97+'01 Major Assumptions'!$D$99)*(1+'01 Major Assumptions'!$D$98/12)*(1+'01 Major Assumptions'!$D$25)^'02 Oil Price Analysis'!AU$57)</f>
        <v>148798.22343750001</v>
      </c>
      <c r="AV49" s="90">
        <f>IF('01 Major Assumptions'!AV$15=0,0,$D49*$E49*'01 Major Assumptions'!AV$14*(1+'01 Major Assumptions'!$D$97+'01 Major Assumptions'!$D$99)*(1+'01 Major Assumptions'!$D$98/12)*(1+'01 Major Assumptions'!$D$25)^'02 Oil Price Analysis'!AV$57)</f>
        <v>148798.22343750001</v>
      </c>
      <c r="AW49" s="90">
        <f>IF('01 Major Assumptions'!AW$15=0,0,$D49*$E49*'01 Major Assumptions'!AW$14*(1+'01 Major Assumptions'!$D$97+'01 Major Assumptions'!$D$99)*(1+'01 Major Assumptions'!$D$98/12)*(1+'01 Major Assumptions'!$D$25)^'02 Oil Price Analysis'!AW$57)</f>
        <v>148798.22343750001</v>
      </c>
      <c r="AX49" s="90">
        <f>IF('01 Major Assumptions'!AX$15=0,0,$D49*$E49*'01 Major Assumptions'!AX$14*(1+'01 Major Assumptions'!$D$97+'01 Major Assumptions'!$D$99)*(1+'01 Major Assumptions'!$D$98/12)*(1+'01 Major Assumptions'!$D$25)^'02 Oil Price Analysis'!AX$57)</f>
        <v>148798.22343750001</v>
      </c>
      <c r="AY49" s="90">
        <f>IF('01 Major Assumptions'!AY$15=0,0,$D49*$E49*'01 Major Assumptions'!AY$14*(1+'01 Major Assumptions'!$D$97+'01 Major Assumptions'!$D$99)*(1+'01 Major Assumptions'!$D$98/12)*(1+'01 Major Assumptions'!$D$25)^'02 Oil Price Analysis'!AY$57)</f>
        <v>148798.22343750001</v>
      </c>
      <c r="AZ49" s="90">
        <f>IF('01 Major Assumptions'!AZ$15=0,0,$D49*$E49*'01 Major Assumptions'!AZ$14*(1+'01 Major Assumptions'!$D$97+'01 Major Assumptions'!$D$99)*(1+'01 Major Assumptions'!$D$98/12)*(1+'01 Major Assumptions'!$D$25)^'02 Oil Price Analysis'!AZ$57)</f>
        <v>148798.22343750001</v>
      </c>
      <c r="BA49" s="90">
        <f>IF('01 Major Assumptions'!BA$15=0,0,$D49*$E49*'01 Major Assumptions'!BA$14*(1+'01 Major Assumptions'!$D$97+'01 Major Assumptions'!$D$99)*(1+'01 Major Assumptions'!$D$98/12)*(1+'01 Major Assumptions'!$D$25)^'02 Oil Price Analysis'!BA$57)</f>
        <v>148798.22343750001</v>
      </c>
      <c r="BB49" s="90">
        <f>IF('01 Major Assumptions'!BB$15=0,0,$D49*$E49*'01 Major Assumptions'!BB$14*(1+'01 Major Assumptions'!$D$97+'01 Major Assumptions'!$D$99)*(1+'01 Major Assumptions'!$D$98/12)*(1+'01 Major Assumptions'!$D$25)^'02 Oil Price Analysis'!BB$57)</f>
        <v>148798.22343750001</v>
      </c>
      <c r="BC49" s="90">
        <f>IF('01 Major Assumptions'!BC$15=0,0,$D49*$E49*'01 Major Assumptions'!BC$14*(1+'01 Major Assumptions'!$D$97+'01 Major Assumptions'!$D$99)*(1+'01 Major Assumptions'!$D$98/12)*(1+'01 Major Assumptions'!$D$25)^'02 Oil Price Analysis'!BC$57)</f>
        <v>156238.134609375</v>
      </c>
      <c r="BD49" s="90">
        <f>IF('01 Major Assumptions'!BD$15=0,0,$D49*$E49*'01 Major Assumptions'!BD$14*(1+'01 Major Assumptions'!$D$97+'01 Major Assumptions'!$D$99)*(1+'01 Major Assumptions'!$D$98/12)*(1+'01 Major Assumptions'!$D$25)^'02 Oil Price Analysis'!BD$57)</f>
        <v>156238.134609375</v>
      </c>
      <c r="BE49" s="90">
        <f>IF('01 Major Assumptions'!BE$15=0,0,$D49*$E49*'01 Major Assumptions'!BE$14*(1+'01 Major Assumptions'!$D$97+'01 Major Assumptions'!$D$99)*(1+'01 Major Assumptions'!$D$98/12)*(1+'01 Major Assumptions'!$D$25)^'02 Oil Price Analysis'!BE$57)</f>
        <v>156238.134609375</v>
      </c>
      <c r="BF49" s="90">
        <f>IF('01 Major Assumptions'!BF$15=0,0,$D49*$E49*'01 Major Assumptions'!BF$14*(1+'01 Major Assumptions'!$D$97+'01 Major Assumptions'!$D$99)*(1+'01 Major Assumptions'!$D$98/12)*(1+'01 Major Assumptions'!$D$25)^'02 Oil Price Analysis'!BF$57)</f>
        <v>156238.134609375</v>
      </c>
      <c r="BG49" s="90">
        <f>IF('01 Major Assumptions'!BG$15=0,0,$D49*$E49*'01 Major Assumptions'!BG$14*(1+'01 Major Assumptions'!$D$97+'01 Major Assumptions'!$D$99)*(1+'01 Major Assumptions'!$D$98/12)*(1+'01 Major Assumptions'!$D$25)^'02 Oil Price Analysis'!BG$57)</f>
        <v>156238.134609375</v>
      </c>
      <c r="BH49" s="90">
        <f>IF('01 Major Assumptions'!BH$15=0,0,$D49*$E49*'01 Major Assumptions'!BH$14*(1+'01 Major Assumptions'!$D$97+'01 Major Assumptions'!$D$99)*(1+'01 Major Assumptions'!$D$98/12)*(1+'01 Major Assumptions'!$D$25)^'02 Oil Price Analysis'!BH$57)</f>
        <v>156238.134609375</v>
      </c>
      <c r="BI49" s="90">
        <f>IF('01 Major Assumptions'!BI$15=0,0,$D49*$E49*'01 Major Assumptions'!BI$14*(1+'01 Major Assumptions'!$D$97+'01 Major Assumptions'!$D$99)*(1+'01 Major Assumptions'!$D$98/12)*(1+'01 Major Assumptions'!$D$25)^'02 Oil Price Analysis'!BI$57)</f>
        <v>1968600.4960781254</v>
      </c>
      <c r="BJ49" s="90">
        <f>IF('01 Major Assumptions'!BJ$15=0,0,$D49*$E49*'01 Major Assumptions'!BJ$14*(1+'01 Major Assumptions'!$D$97+'01 Major Assumptions'!$D$99)*(1+'01 Major Assumptions'!$D$98/12)*(1+'01 Major Assumptions'!$D$25)^'02 Oil Price Analysis'!BJ$57)</f>
        <v>2067030.5208820314</v>
      </c>
      <c r="BK49" s="90">
        <f>IF('01 Major Assumptions'!BK$15=0,0,$D49*$E49*'01 Major Assumptions'!BK$14*(1+'01 Major Assumptions'!$D$97+'01 Major Assumptions'!$D$99)*(1+'01 Major Assumptions'!$D$98/12)*(1+'01 Major Assumptions'!$D$25)^'02 Oil Price Analysis'!BK$57)</f>
        <v>2170382.0469261333</v>
      </c>
      <c r="BL49" s="90">
        <f>IF('01 Major Assumptions'!BL$15=0,0,$D49*$E49*'01 Major Assumptions'!BL$14*(1+'01 Major Assumptions'!$D$97+'01 Major Assumptions'!$D$99)*(1+'01 Major Assumptions'!$D$98/12)*(1+'01 Major Assumptions'!$D$25)^'02 Oil Price Analysis'!BL$57)</f>
        <v>2278901.14927244</v>
      </c>
      <c r="BM49" s="90">
        <f>IF('01 Major Assumptions'!BM$15=0,0,$D49*$E49*'01 Major Assumptions'!BM$14*(1+'01 Major Assumptions'!$D$97+'01 Major Assumptions'!$D$99)*(1+'01 Major Assumptions'!$D$98/12)*(1+'01 Major Assumptions'!$D$25)^'02 Oil Price Analysis'!BM$57)</f>
        <v>2392846.2067360622</v>
      </c>
      <c r="BN49" s="90">
        <f>IF('01 Major Assumptions'!BN$15=0,0,$D49*$E49*'01 Major Assumptions'!BN$14*(1+'01 Major Assumptions'!$D$97+'01 Major Assumptions'!$D$99)*(1+'01 Major Assumptions'!$D$98/12)*(1+'01 Major Assumptions'!$D$25)^'02 Oil Price Analysis'!BN$57)</f>
        <v>2512488.5170728653</v>
      </c>
      <c r="BO49" s="90">
        <f>IF('01 Major Assumptions'!BO$15=0,0,$D49*$E49*'01 Major Assumptions'!BO$14*(1+'01 Major Assumptions'!$D$97+'01 Major Assumptions'!$D$99)*(1+'01 Major Assumptions'!$D$98/12)*(1+'01 Major Assumptions'!$D$25)^'02 Oil Price Analysis'!BO$57)</f>
        <v>2638112.9429265084</v>
      </c>
    </row>
    <row r="50" spans="1:67">
      <c r="A50" s="11"/>
      <c r="B50" s="22" t="s">
        <v>410</v>
      </c>
      <c r="C50" s="11"/>
      <c r="D50" s="33"/>
      <c r="E50" s="33"/>
      <c r="F50" s="10" t="s">
        <v>13</v>
      </c>
      <c r="G50" s="89">
        <f>SUM(G34:G46)</f>
        <v>0</v>
      </c>
      <c r="H50" s="89">
        <f t="shared" ref="H50:BI50" si="42">SUM(H34:H46)</f>
        <v>0</v>
      </c>
      <c r="I50" s="89">
        <f t="shared" si="42"/>
        <v>0</v>
      </c>
      <c r="J50" s="89">
        <f t="shared" si="42"/>
        <v>0</v>
      </c>
      <c r="K50" s="89">
        <f t="shared" si="42"/>
        <v>0</v>
      </c>
      <c r="L50" s="89">
        <f t="shared" si="42"/>
        <v>0</v>
      </c>
      <c r="M50" s="89">
        <f t="shared" si="42"/>
        <v>0</v>
      </c>
      <c r="N50" s="89">
        <f t="shared" si="42"/>
        <v>0</v>
      </c>
      <c r="O50" s="89">
        <f t="shared" si="42"/>
        <v>0</v>
      </c>
      <c r="P50" s="89">
        <f t="shared" si="42"/>
        <v>0</v>
      </c>
      <c r="Q50" s="89">
        <f t="shared" si="42"/>
        <v>0</v>
      </c>
      <c r="R50" s="89">
        <f t="shared" si="42"/>
        <v>0</v>
      </c>
      <c r="S50" s="89">
        <f t="shared" si="42"/>
        <v>0</v>
      </c>
      <c r="T50" s="89">
        <f t="shared" si="42"/>
        <v>0</v>
      </c>
      <c r="U50" s="89">
        <f t="shared" si="42"/>
        <v>0</v>
      </c>
      <c r="V50" s="89">
        <f t="shared" si="42"/>
        <v>0</v>
      </c>
      <c r="W50" s="89">
        <f t="shared" si="42"/>
        <v>0</v>
      </c>
      <c r="X50" s="89">
        <f t="shared" si="42"/>
        <v>0</v>
      </c>
      <c r="Y50" s="89">
        <f t="shared" si="42"/>
        <v>0</v>
      </c>
      <c r="Z50" s="89">
        <f t="shared" si="42"/>
        <v>0</v>
      </c>
      <c r="AA50" s="89">
        <f t="shared" si="42"/>
        <v>0</v>
      </c>
      <c r="AB50" s="89">
        <f t="shared" si="42"/>
        <v>3222435.1250000005</v>
      </c>
      <c r="AC50" s="89">
        <f t="shared" si="42"/>
        <v>3222435.1250000005</v>
      </c>
      <c r="AD50" s="89">
        <f t="shared" si="42"/>
        <v>3222435.1250000005</v>
      </c>
      <c r="AE50" s="89">
        <f t="shared" si="42"/>
        <v>3383556.8812500001</v>
      </c>
      <c r="AF50" s="89">
        <f t="shared" si="42"/>
        <v>3383556.8812500001</v>
      </c>
      <c r="AG50" s="89">
        <f t="shared" si="42"/>
        <v>3383556.8812500001</v>
      </c>
      <c r="AH50" s="89">
        <f t="shared" si="42"/>
        <v>3383556.8812500001</v>
      </c>
      <c r="AI50" s="89">
        <f t="shared" si="42"/>
        <v>3383556.8812500001</v>
      </c>
      <c r="AJ50" s="89">
        <f t="shared" si="42"/>
        <v>3383556.8812500001</v>
      </c>
      <c r="AK50" s="89">
        <f t="shared" si="42"/>
        <v>3383556.8812500001</v>
      </c>
      <c r="AL50" s="89">
        <f t="shared" si="42"/>
        <v>3383556.8812500001</v>
      </c>
      <c r="AM50" s="89">
        <f t="shared" si="42"/>
        <v>3383556.8812500001</v>
      </c>
      <c r="AN50" s="89">
        <f t="shared" si="42"/>
        <v>3383556.8812500001</v>
      </c>
      <c r="AO50" s="89">
        <f t="shared" si="42"/>
        <v>3383556.8812500001</v>
      </c>
      <c r="AP50" s="89">
        <f t="shared" si="42"/>
        <v>3383556.8812500001</v>
      </c>
      <c r="AQ50" s="89">
        <f t="shared" si="42"/>
        <v>3552734.7253125003</v>
      </c>
      <c r="AR50" s="89">
        <f t="shared" si="42"/>
        <v>3552734.7253125003</v>
      </c>
      <c r="AS50" s="89">
        <f t="shared" si="42"/>
        <v>3552734.7253125003</v>
      </c>
      <c r="AT50" s="89">
        <f t="shared" si="42"/>
        <v>3552734.7253125003</v>
      </c>
      <c r="AU50" s="89">
        <f t="shared" si="42"/>
        <v>3552734.7253125003</v>
      </c>
      <c r="AV50" s="89">
        <f t="shared" si="42"/>
        <v>3552734.7253125003</v>
      </c>
      <c r="AW50" s="89">
        <f t="shared" si="42"/>
        <v>3552734.7253125003</v>
      </c>
      <c r="AX50" s="89">
        <f t="shared" si="42"/>
        <v>3552734.7253125003</v>
      </c>
      <c r="AY50" s="89">
        <f t="shared" si="42"/>
        <v>3552734.7253125003</v>
      </c>
      <c r="AZ50" s="89">
        <f t="shared" si="42"/>
        <v>3552734.7253125003</v>
      </c>
      <c r="BA50" s="89">
        <f t="shared" si="42"/>
        <v>3552734.7253125003</v>
      </c>
      <c r="BB50" s="89">
        <f t="shared" si="42"/>
        <v>3552734.7253125003</v>
      </c>
      <c r="BC50" s="89">
        <f t="shared" si="42"/>
        <v>3730371.4615781256</v>
      </c>
      <c r="BD50" s="89">
        <f t="shared" si="42"/>
        <v>3730371.4615781256</v>
      </c>
      <c r="BE50" s="89">
        <f t="shared" si="42"/>
        <v>3730371.4615781256</v>
      </c>
      <c r="BF50" s="89">
        <f t="shared" si="42"/>
        <v>3730371.4615781256</v>
      </c>
      <c r="BG50" s="89">
        <f t="shared" si="42"/>
        <v>3730371.4615781256</v>
      </c>
      <c r="BH50" s="89">
        <f t="shared" si="42"/>
        <v>3730371.4615781256</v>
      </c>
      <c r="BI50" s="89">
        <f t="shared" si="42"/>
        <v>47002680.415884376</v>
      </c>
      <c r="BJ50" s="89">
        <f t="shared" ref="BJ50:BO50" si="43">SUM(BJ34:BJ46)</f>
        <v>49352814.436678603</v>
      </c>
      <c r="BK50" s="89">
        <f t="shared" si="43"/>
        <v>51820455.158512525</v>
      </c>
      <c r="BL50" s="89">
        <f t="shared" si="43"/>
        <v>54411477.916438155</v>
      </c>
      <c r="BM50" s="89">
        <f t="shared" si="43"/>
        <v>57132051.812260069</v>
      </c>
      <c r="BN50" s="89">
        <f t="shared" si="43"/>
        <v>59988654.402873076</v>
      </c>
      <c r="BO50" s="89">
        <f t="shared" si="43"/>
        <v>62988087.123016723</v>
      </c>
    </row>
    <row r="51" spans="1:67">
      <c r="A51" s="11"/>
      <c r="B51" s="22" t="s">
        <v>411</v>
      </c>
      <c r="C51" s="11"/>
      <c r="D51" s="33"/>
      <c r="E51" s="33"/>
      <c r="F51" s="10" t="s">
        <v>13</v>
      </c>
      <c r="G51" s="89">
        <f>SUM(G47:G49)</f>
        <v>0</v>
      </c>
      <c r="H51" s="89">
        <f t="shared" ref="H51:BI51" si="44">SUM(H47:H49)</f>
        <v>0</v>
      </c>
      <c r="I51" s="89">
        <f t="shared" si="44"/>
        <v>0</v>
      </c>
      <c r="J51" s="89">
        <f t="shared" si="44"/>
        <v>0</v>
      </c>
      <c r="K51" s="89">
        <f t="shared" si="44"/>
        <v>0</v>
      </c>
      <c r="L51" s="89">
        <f t="shared" si="44"/>
        <v>0</v>
      </c>
      <c r="M51" s="89">
        <f t="shared" si="44"/>
        <v>0</v>
      </c>
      <c r="N51" s="89">
        <f t="shared" si="44"/>
        <v>0</v>
      </c>
      <c r="O51" s="89">
        <f t="shared" si="44"/>
        <v>0</v>
      </c>
      <c r="P51" s="89">
        <f t="shared" si="44"/>
        <v>0</v>
      </c>
      <c r="Q51" s="89">
        <f t="shared" si="44"/>
        <v>0</v>
      </c>
      <c r="R51" s="89">
        <f t="shared" si="44"/>
        <v>0</v>
      </c>
      <c r="S51" s="89">
        <f t="shared" si="44"/>
        <v>0</v>
      </c>
      <c r="T51" s="89">
        <f t="shared" si="44"/>
        <v>0</v>
      </c>
      <c r="U51" s="89">
        <f t="shared" si="44"/>
        <v>0</v>
      </c>
      <c r="V51" s="89">
        <f t="shared" si="44"/>
        <v>0</v>
      </c>
      <c r="W51" s="89">
        <f t="shared" si="44"/>
        <v>0</v>
      </c>
      <c r="X51" s="89">
        <f t="shared" si="44"/>
        <v>0</v>
      </c>
      <c r="Y51" s="89">
        <f t="shared" si="44"/>
        <v>0</v>
      </c>
      <c r="Z51" s="89">
        <f t="shared" si="44"/>
        <v>0</v>
      </c>
      <c r="AA51" s="89">
        <f t="shared" si="44"/>
        <v>0</v>
      </c>
      <c r="AB51" s="89">
        <f t="shared" si="44"/>
        <v>494869.375</v>
      </c>
      <c r="AC51" s="89">
        <f t="shared" si="44"/>
        <v>494869.375</v>
      </c>
      <c r="AD51" s="89">
        <f t="shared" si="44"/>
        <v>494869.375</v>
      </c>
      <c r="AE51" s="89">
        <f t="shared" si="44"/>
        <v>519612.84375</v>
      </c>
      <c r="AF51" s="89">
        <f t="shared" si="44"/>
        <v>519612.84375</v>
      </c>
      <c r="AG51" s="89">
        <f t="shared" si="44"/>
        <v>519612.84375</v>
      </c>
      <c r="AH51" s="89">
        <f t="shared" si="44"/>
        <v>519612.84375</v>
      </c>
      <c r="AI51" s="89">
        <f t="shared" si="44"/>
        <v>519612.84375</v>
      </c>
      <c r="AJ51" s="89">
        <f t="shared" si="44"/>
        <v>519612.84375</v>
      </c>
      <c r="AK51" s="89">
        <f t="shared" si="44"/>
        <v>519612.84375</v>
      </c>
      <c r="AL51" s="89">
        <f t="shared" si="44"/>
        <v>519612.84375</v>
      </c>
      <c r="AM51" s="89">
        <f t="shared" si="44"/>
        <v>519612.84375</v>
      </c>
      <c r="AN51" s="89">
        <f t="shared" si="44"/>
        <v>519612.84375</v>
      </c>
      <c r="AO51" s="89">
        <f t="shared" si="44"/>
        <v>519612.84375</v>
      </c>
      <c r="AP51" s="89">
        <f t="shared" si="44"/>
        <v>519612.84375</v>
      </c>
      <c r="AQ51" s="89">
        <f t="shared" si="44"/>
        <v>545593.48593750014</v>
      </c>
      <c r="AR51" s="89">
        <f t="shared" si="44"/>
        <v>545593.48593750014</v>
      </c>
      <c r="AS51" s="89">
        <f t="shared" si="44"/>
        <v>545593.48593750014</v>
      </c>
      <c r="AT51" s="89">
        <f t="shared" si="44"/>
        <v>545593.48593750014</v>
      </c>
      <c r="AU51" s="89">
        <f t="shared" si="44"/>
        <v>545593.48593750014</v>
      </c>
      <c r="AV51" s="89">
        <f t="shared" si="44"/>
        <v>545593.48593750014</v>
      </c>
      <c r="AW51" s="89">
        <f t="shared" si="44"/>
        <v>545593.48593750014</v>
      </c>
      <c r="AX51" s="89">
        <f t="shared" si="44"/>
        <v>545593.48593750014</v>
      </c>
      <c r="AY51" s="89">
        <f t="shared" si="44"/>
        <v>545593.48593750014</v>
      </c>
      <c r="AZ51" s="89">
        <f t="shared" si="44"/>
        <v>545593.48593750014</v>
      </c>
      <c r="BA51" s="89">
        <f t="shared" si="44"/>
        <v>545593.48593750014</v>
      </c>
      <c r="BB51" s="89">
        <f t="shared" si="44"/>
        <v>545593.48593750014</v>
      </c>
      <c r="BC51" s="89">
        <f t="shared" si="44"/>
        <v>572873.16023437504</v>
      </c>
      <c r="BD51" s="89">
        <f t="shared" si="44"/>
        <v>572873.16023437504</v>
      </c>
      <c r="BE51" s="89">
        <f t="shared" si="44"/>
        <v>572873.16023437504</v>
      </c>
      <c r="BF51" s="89">
        <f t="shared" si="44"/>
        <v>572873.16023437504</v>
      </c>
      <c r="BG51" s="89">
        <f t="shared" si="44"/>
        <v>572873.16023437504</v>
      </c>
      <c r="BH51" s="89">
        <f t="shared" si="44"/>
        <v>572873.16023437504</v>
      </c>
      <c r="BI51" s="89">
        <f t="shared" si="44"/>
        <v>7218201.8189531257</v>
      </c>
      <c r="BJ51" s="89">
        <f t="shared" ref="BJ51:BO51" si="45">SUM(BJ47:BJ49)</f>
        <v>7579111.9099007808</v>
      </c>
      <c r="BK51" s="89">
        <f t="shared" si="45"/>
        <v>7958067.5053958222</v>
      </c>
      <c r="BL51" s="89">
        <f t="shared" si="45"/>
        <v>8355970.8806656133</v>
      </c>
      <c r="BM51" s="89">
        <f t="shared" si="45"/>
        <v>8773769.424698893</v>
      </c>
      <c r="BN51" s="89">
        <f t="shared" si="45"/>
        <v>9212457.8959338386</v>
      </c>
      <c r="BO51" s="89">
        <f t="shared" si="45"/>
        <v>9673080.7907305304</v>
      </c>
    </row>
    <row r="52" spans="1:67">
      <c r="A52" s="11"/>
      <c r="B52" s="22" t="s">
        <v>412</v>
      </c>
      <c r="C52" s="11"/>
      <c r="D52" s="33"/>
      <c r="E52" s="33"/>
      <c r="F52" s="10" t="s">
        <v>13</v>
      </c>
      <c r="G52" s="89">
        <f>G50+G51</f>
        <v>0</v>
      </c>
      <c r="H52" s="89">
        <f t="shared" ref="H52:BI52" si="46">H50+H51</f>
        <v>0</v>
      </c>
      <c r="I52" s="89">
        <f t="shared" si="46"/>
        <v>0</v>
      </c>
      <c r="J52" s="89">
        <f t="shared" si="46"/>
        <v>0</v>
      </c>
      <c r="K52" s="89">
        <f t="shared" si="46"/>
        <v>0</v>
      </c>
      <c r="L52" s="89">
        <f t="shared" si="46"/>
        <v>0</v>
      </c>
      <c r="M52" s="89">
        <f t="shared" si="46"/>
        <v>0</v>
      </c>
      <c r="N52" s="89">
        <f t="shared" si="46"/>
        <v>0</v>
      </c>
      <c r="O52" s="89">
        <f t="shared" si="46"/>
        <v>0</v>
      </c>
      <c r="P52" s="89">
        <f t="shared" si="46"/>
        <v>0</v>
      </c>
      <c r="Q52" s="89">
        <f t="shared" si="46"/>
        <v>0</v>
      </c>
      <c r="R52" s="89">
        <f t="shared" si="46"/>
        <v>0</v>
      </c>
      <c r="S52" s="89">
        <f t="shared" si="46"/>
        <v>0</v>
      </c>
      <c r="T52" s="89">
        <f t="shared" si="46"/>
        <v>0</v>
      </c>
      <c r="U52" s="89">
        <f t="shared" si="46"/>
        <v>0</v>
      </c>
      <c r="V52" s="89">
        <f t="shared" si="46"/>
        <v>0</v>
      </c>
      <c r="W52" s="89">
        <f t="shared" si="46"/>
        <v>0</v>
      </c>
      <c r="X52" s="89">
        <f t="shared" si="46"/>
        <v>0</v>
      </c>
      <c r="Y52" s="89">
        <f t="shared" si="46"/>
        <v>0</v>
      </c>
      <c r="Z52" s="89">
        <f t="shared" si="46"/>
        <v>0</v>
      </c>
      <c r="AA52" s="89">
        <f t="shared" si="46"/>
        <v>0</v>
      </c>
      <c r="AB52" s="89">
        <f t="shared" si="46"/>
        <v>3717304.5000000005</v>
      </c>
      <c r="AC52" s="89">
        <f t="shared" si="46"/>
        <v>3717304.5000000005</v>
      </c>
      <c r="AD52" s="89">
        <f t="shared" si="46"/>
        <v>3717304.5000000005</v>
      </c>
      <c r="AE52" s="89">
        <f t="shared" si="46"/>
        <v>3903169.7250000001</v>
      </c>
      <c r="AF52" s="89">
        <f t="shared" si="46"/>
        <v>3903169.7250000001</v>
      </c>
      <c r="AG52" s="89">
        <f t="shared" si="46"/>
        <v>3903169.7250000001</v>
      </c>
      <c r="AH52" s="89">
        <f t="shared" si="46"/>
        <v>3903169.7250000001</v>
      </c>
      <c r="AI52" s="89">
        <f t="shared" si="46"/>
        <v>3903169.7250000001</v>
      </c>
      <c r="AJ52" s="89">
        <f t="shared" si="46"/>
        <v>3903169.7250000001</v>
      </c>
      <c r="AK52" s="89">
        <f t="shared" si="46"/>
        <v>3903169.7250000001</v>
      </c>
      <c r="AL52" s="89">
        <f t="shared" si="46"/>
        <v>3903169.7250000001</v>
      </c>
      <c r="AM52" s="89">
        <f t="shared" si="46"/>
        <v>3903169.7250000001</v>
      </c>
      <c r="AN52" s="89">
        <f t="shared" si="46"/>
        <v>3903169.7250000001</v>
      </c>
      <c r="AO52" s="89">
        <f t="shared" si="46"/>
        <v>3903169.7250000001</v>
      </c>
      <c r="AP52" s="89">
        <f t="shared" si="46"/>
        <v>3903169.7250000001</v>
      </c>
      <c r="AQ52" s="89">
        <f t="shared" si="46"/>
        <v>4098328.2112500006</v>
      </c>
      <c r="AR52" s="89">
        <f t="shared" si="46"/>
        <v>4098328.2112500006</v>
      </c>
      <c r="AS52" s="89">
        <f t="shared" si="46"/>
        <v>4098328.2112500006</v>
      </c>
      <c r="AT52" s="89">
        <f t="shared" si="46"/>
        <v>4098328.2112500006</v>
      </c>
      <c r="AU52" s="89">
        <f t="shared" si="46"/>
        <v>4098328.2112500006</v>
      </c>
      <c r="AV52" s="89">
        <f t="shared" si="46"/>
        <v>4098328.2112500006</v>
      </c>
      <c r="AW52" s="89">
        <f t="shared" si="46"/>
        <v>4098328.2112500006</v>
      </c>
      <c r="AX52" s="89">
        <f t="shared" si="46"/>
        <v>4098328.2112500006</v>
      </c>
      <c r="AY52" s="89">
        <f t="shared" si="46"/>
        <v>4098328.2112500006</v>
      </c>
      <c r="AZ52" s="89">
        <f t="shared" si="46"/>
        <v>4098328.2112500006</v>
      </c>
      <c r="BA52" s="89">
        <f t="shared" si="46"/>
        <v>4098328.2112500006</v>
      </c>
      <c r="BB52" s="89">
        <f t="shared" si="46"/>
        <v>4098328.2112500006</v>
      </c>
      <c r="BC52" s="89">
        <f t="shared" si="46"/>
        <v>4303244.621812501</v>
      </c>
      <c r="BD52" s="89">
        <f t="shared" si="46"/>
        <v>4303244.621812501</v>
      </c>
      <c r="BE52" s="89">
        <f t="shared" si="46"/>
        <v>4303244.621812501</v>
      </c>
      <c r="BF52" s="89">
        <f t="shared" si="46"/>
        <v>4303244.621812501</v>
      </c>
      <c r="BG52" s="89">
        <f t="shared" si="46"/>
        <v>4303244.621812501</v>
      </c>
      <c r="BH52" s="89">
        <f t="shared" si="46"/>
        <v>4303244.621812501</v>
      </c>
      <c r="BI52" s="89">
        <f t="shared" si="46"/>
        <v>54220882.234837502</v>
      </c>
      <c r="BJ52" s="89">
        <f t="shared" ref="BJ52" si="47">BJ50+BJ51</f>
        <v>56931926.346579388</v>
      </c>
      <c r="BK52" s="89">
        <f t="shared" ref="BK52" si="48">BK50+BK51</f>
        <v>59778522.663908347</v>
      </c>
      <c r="BL52" s="89">
        <f t="shared" ref="BL52" si="49">BL50+BL51</f>
        <v>62767448.79710377</v>
      </c>
      <c r="BM52" s="89">
        <f t="shared" ref="BM52" si="50">BM50+BM51</f>
        <v>65905821.236958966</v>
      </c>
      <c r="BN52" s="89">
        <f t="shared" ref="BN52" si="51">BN50+BN51</f>
        <v>69201112.298806921</v>
      </c>
      <c r="BO52" s="89">
        <f t="shared" ref="BO52" si="52">BO50+BO51</f>
        <v>72661167.913747251</v>
      </c>
    </row>
    <row r="53" spans="1:67">
      <c r="A53" s="11"/>
      <c r="B53" s="11"/>
      <c r="C53" s="11"/>
      <c r="D53" s="33"/>
      <c r="E53" s="33"/>
      <c r="F53" s="4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row>
    <row r="54" spans="1:67">
      <c r="A54" s="18" t="s">
        <v>413</v>
      </c>
      <c r="B54" s="18"/>
      <c r="C54" s="18"/>
      <c r="D54" s="39"/>
      <c r="E54" s="39"/>
      <c r="F54" s="39"/>
      <c r="G54" s="40"/>
      <c r="H54" s="40"/>
      <c r="I54" s="40"/>
      <c r="J54" s="40"/>
      <c r="K54" s="40"/>
      <c r="L54" s="40"/>
      <c r="M54" s="40"/>
      <c r="N54" s="40"/>
      <c r="O54" s="40"/>
      <c r="P54" s="40"/>
      <c r="Q54" s="40"/>
      <c r="R54" s="40"/>
      <c r="S54" s="40"/>
      <c r="T54" s="40"/>
      <c r="U54" s="40"/>
      <c r="V54" s="40"/>
      <c r="W54" s="40"/>
      <c r="X54" s="40"/>
      <c r="Y54" s="40"/>
      <c r="Z54" s="40"/>
      <c r="AA54" s="40"/>
      <c r="AB54" s="40"/>
      <c r="AC54" s="40"/>
      <c r="AD54" s="40"/>
      <c r="AE54" s="40"/>
      <c r="AF54" s="40"/>
      <c r="AG54" s="40"/>
      <c r="AH54" s="40"/>
      <c r="AI54" s="40"/>
      <c r="AJ54" s="40"/>
      <c r="AK54" s="40"/>
      <c r="AL54" s="40"/>
      <c r="AM54" s="40"/>
      <c r="AN54" s="40"/>
      <c r="AO54" s="40"/>
      <c r="AP54" s="40"/>
      <c r="AQ54" s="40"/>
      <c r="AR54" s="40"/>
      <c r="AS54" s="40"/>
      <c r="AT54" s="40"/>
      <c r="AU54" s="40"/>
      <c r="AV54" s="40"/>
      <c r="AW54" s="40"/>
      <c r="AX54" s="40"/>
      <c r="AY54" s="40"/>
      <c r="AZ54" s="40"/>
      <c r="BA54" s="40"/>
      <c r="BB54" s="40"/>
      <c r="BC54" s="40"/>
      <c r="BD54" s="40"/>
      <c r="BE54" s="40"/>
      <c r="BF54" s="40"/>
      <c r="BG54" s="40"/>
      <c r="BH54" s="40"/>
      <c r="BI54" s="40"/>
      <c r="BJ54" s="40"/>
      <c r="BK54" s="40"/>
      <c r="BL54" s="40"/>
      <c r="BM54" s="40"/>
      <c r="BN54" s="40"/>
      <c r="BO54" s="40"/>
    </row>
    <row r="55" spans="1:67">
      <c r="A55" s="11"/>
      <c r="B55" s="11"/>
      <c r="C55" s="11" t="s">
        <v>414</v>
      </c>
      <c r="D55" s="33"/>
      <c r="E55" s="33"/>
      <c r="F55" s="10" t="s">
        <v>13</v>
      </c>
      <c r="G55" s="90">
        <f>'03 CAPEX &amp; Depreciation'!G$141+'03 CAPEX &amp; Depreciation'!G$142+'03 CAPEX &amp; Depreciation'!G$143+'03 CAPEX &amp; Depreciation'!G$144+'03 CAPEX &amp; Depreciation'!G$145</f>
        <v>14480000</v>
      </c>
      <c r="H55" s="90">
        <f>'03 CAPEX &amp; Depreciation'!H$141+'03 CAPEX &amp; Depreciation'!H$142+'03 CAPEX &amp; Depreciation'!H$143+'03 CAPEX &amp; Depreciation'!H$144+'03 CAPEX &amp; Depreciation'!H$145</f>
        <v>28960000</v>
      </c>
      <c r="I55" s="90">
        <f>'03 CAPEX &amp; Depreciation'!I$141+'03 CAPEX &amp; Depreciation'!I$142+'03 CAPEX &amp; Depreciation'!I$143+'03 CAPEX &amp; Depreciation'!I$144+'03 CAPEX &amp; Depreciation'!I$145</f>
        <v>43440000</v>
      </c>
      <c r="J55" s="90">
        <f>'03 CAPEX &amp; Depreciation'!J$141+'03 CAPEX &amp; Depreciation'!J$142+'03 CAPEX &amp; Depreciation'!J$143+'03 CAPEX &amp; Depreciation'!J$144+'03 CAPEX &amp; Depreciation'!J$145</f>
        <v>305110000</v>
      </c>
      <c r="K55" s="90">
        <f>'03 CAPEX &amp; Depreciation'!K$141+'03 CAPEX &amp; Depreciation'!K$142+'03 CAPEX &amp; Depreciation'!K$143+'03 CAPEX &amp; Depreciation'!K$144+'03 CAPEX &amp; Depreciation'!K$145</f>
        <v>351956470.58823526</v>
      </c>
      <c r="L55" s="90">
        <f>'03 CAPEX &amp; Depreciation'!L$141+'03 CAPEX &amp; Depreciation'!L$142+'03 CAPEX &amp; Depreciation'!L$143+'03 CAPEX &amp; Depreciation'!L$144+'03 CAPEX &amp; Depreciation'!L$145</f>
        <v>398802941.17647058</v>
      </c>
      <c r="M55" s="90">
        <f>'03 CAPEX &amp; Depreciation'!M$141+'03 CAPEX &amp; Depreciation'!M$142+'03 CAPEX &amp; Depreciation'!M$143+'03 CAPEX &amp; Depreciation'!M$144+'03 CAPEX &amp; Depreciation'!M$145</f>
        <v>445649411.7647059</v>
      </c>
      <c r="N55" s="90">
        <f>'03 CAPEX &amp; Depreciation'!N$141+'03 CAPEX &amp; Depreciation'!N$142+'03 CAPEX &amp; Depreciation'!N$143+'03 CAPEX &amp; Depreciation'!N$144+'03 CAPEX &amp; Depreciation'!N$145</f>
        <v>492495882.35294116</v>
      </c>
      <c r="O55" s="90">
        <f>'03 CAPEX &amp; Depreciation'!O$141+'03 CAPEX &amp; Depreciation'!O$142+'03 CAPEX &amp; Depreciation'!O$143+'03 CAPEX &amp; Depreciation'!O$144+'03 CAPEX &amp; Depreciation'!O$145</f>
        <v>539342352.94117641</v>
      </c>
      <c r="P55" s="90">
        <f>'03 CAPEX &amp; Depreciation'!P$141+'03 CAPEX &amp; Depreciation'!P$142+'03 CAPEX &amp; Depreciation'!P$143+'03 CAPEX &amp; Depreciation'!P$144+'03 CAPEX &amp; Depreciation'!P$145</f>
        <v>578647156.86274505</v>
      </c>
      <c r="Q55" s="90">
        <f>'03 CAPEX &amp; Depreciation'!Q$141+'03 CAPEX &amp; Depreciation'!Q$142+'03 CAPEX &amp; Depreciation'!Q$143+'03 CAPEX &amp; Depreciation'!Q$144+'03 CAPEX &amp; Depreciation'!Q$145</f>
        <v>617951960.7843138</v>
      </c>
      <c r="R55" s="90">
        <f>'03 CAPEX &amp; Depreciation'!R$141+'03 CAPEX &amp; Depreciation'!R$142+'03 CAPEX &amp; Depreciation'!R$143+'03 CAPEX &amp; Depreciation'!R$144+'03 CAPEX &amp; Depreciation'!R$145</f>
        <v>657256764.70588231</v>
      </c>
      <c r="S55" s="90">
        <f>'03 CAPEX &amp; Depreciation'!S$141+'03 CAPEX &amp; Depreciation'!S$142+'03 CAPEX &amp; Depreciation'!S$143+'03 CAPEX &amp; Depreciation'!S$144+'03 CAPEX &amp; Depreciation'!S$145</f>
        <v>696561568.62745094</v>
      </c>
      <c r="T55" s="90">
        <f>'03 CAPEX &amp; Depreciation'!T$141+'03 CAPEX &amp; Depreciation'!T$142+'03 CAPEX &amp; Depreciation'!T$143+'03 CAPEX &amp; Depreciation'!T$144+'03 CAPEX &amp; Depreciation'!T$145</f>
        <v>735866372.54901958</v>
      </c>
      <c r="U55" s="90">
        <f>'03 CAPEX &amp; Depreciation'!U$141+'03 CAPEX &amp; Depreciation'!U$142+'03 CAPEX &amp; Depreciation'!U$143+'03 CAPEX &amp; Depreciation'!U$144+'03 CAPEX &amp; Depreciation'!U$145</f>
        <v>775171176.47058821</v>
      </c>
      <c r="V55" s="90">
        <f>'03 CAPEX &amp; Depreciation'!V$141+'03 CAPEX &amp; Depreciation'!V$142+'03 CAPEX &amp; Depreciation'!V$143+'03 CAPEX &amp; Depreciation'!V$144+'03 CAPEX &amp; Depreciation'!V$145</f>
        <v>814475980.39215684</v>
      </c>
      <c r="W55" s="90">
        <f>'03 CAPEX &amp; Depreciation'!W$141+'03 CAPEX &amp; Depreciation'!W$142+'03 CAPEX &amp; Depreciation'!W$143+'03 CAPEX &amp; Depreciation'!W$144+'03 CAPEX &amp; Depreciation'!W$145</f>
        <v>853780784.31372535</v>
      </c>
      <c r="X55" s="90">
        <f>'03 CAPEX &amp; Depreciation'!X$141+'03 CAPEX &amp; Depreciation'!X$142+'03 CAPEX &amp; Depreciation'!X$143+'03 CAPEX &amp; Depreciation'!X$144+'03 CAPEX &amp; Depreciation'!X$145</f>
        <v>893085588.2352941</v>
      </c>
      <c r="Y55" s="90">
        <f>'03 CAPEX &amp; Depreciation'!Y$141+'03 CAPEX &amp; Depreciation'!Y$142+'03 CAPEX &amp; Depreciation'!Y$143+'03 CAPEX &amp; Depreciation'!Y$144+'03 CAPEX &amp; Depreciation'!Y$145</f>
        <v>932390392.15686274</v>
      </c>
      <c r="Z55" s="90">
        <f>'03 CAPEX &amp; Depreciation'!Z$141+'03 CAPEX &amp; Depreciation'!Z$142+'03 CAPEX &amp; Depreciation'!Z$143+'03 CAPEX &amp; Depreciation'!Z$144+'03 CAPEX &amp; Depreciation'!Z$145</f>
        <v>971695196.07843137</v>
      </c>
      <c r="AA55" s="90">
        <f>'03 CAPEX &amp; Depreciation'!AA$141+'03 CAPEX &amp; Depreciation'!AA$142+'03 CAPEX &amp; Depreciation'!AA$143+'03 CAPEX &amp; Depreciation'!AA$144+'03 CAPEX &amp; Depreciation'!AA$145</f>
        <v>1011000000</v>
      </c>
      <c r="AB55" s="90">
        <f>'03 CAPEX &amp; Depreciation'!AB$141+'03 CAPEX &amp; Depreciation'!AB$142+'03 CAPEX &amp; Depreciation'!AB$143+'03 CAPEX &amp; Depreciation'!AB$144+'03 CAPEX &amp; Depreciation'!AB$145</f>
        <v>1012812500</v>
      </c>
      <c r="AC55" s="90">
        <f>'03 CAPEX &amp; Depreciation'!AC$141+'03 CAPEX &amp; Depreciation'!AC$142+'03 CAPEX &amp; Depreciation'!AC$143+'03 CAPEX &amp; Depreciation'!AC$144+'03 CAPEX &amp; Depreciation'!AC$145</f>
        <v>1014625000</v>
      </c>
      <c r="AD55" s="90">
        <f>'03 CAPEX &amp; Depreciation'!AD$141+'03 CAPEX &amp; Depreciation'!AD$142+'03 CAPEX &amp; Depreciation'!AD$143+'03 CAPEX &amp; Depreciation'!AD$144+'03 CAPEX &amp; Depreciation'!AD$145</f>
        <v>1016437500</v>
      </c>
      <c r="AE55" s="90">
        <f>'03 CAPEX &amp; Depreciation'!AE$141+'03 CAPEX &amp; Depreciation'!AE$142+'03 CAPEX &amp; Depreciation'!AE$143+'03 CAPEX &amp; Depreciation'!AE$144+'03 CAPEX &amp; Depreciation'!AE$145</f>
        <v>1018250000</v>
      </c>
      <c r="AF55" s="90">
        <f>'03 CAPEX &amp; Depreciation'!AF$141+'03 CAPEX &amp; Depreciation'!AF$142+'03 CAPEX &amp; Depreciation'!AF$143+'03 CAPEX &amp; Depreciation'!AF$144+'03 CAPEX &amp; Depreciation'!AF$145</f>
        <v>1020062500</v>
      </c>
      <c r="AG55" s="90">
        <f>'03 CAPEX &amp; Depreciation'!AG$141+'03 CAPEX &amp; Depreciation'!AG$142+'03 CAPEX &amp; Depreciation'!AG$143+'03 CAPEX &amp; Depreciation'!AG$144+'03 CAPEX &amp; Depreciation'!AG$145</f>
        <v>1021875000</v>
      </c>
      <c r="AH55" s="90">
        <f>'03 CAPEX &amp; Depreciation'!AH$141+'03 CAPEX &amp; Depreciation'!AH$142+'03 CAPEX &amp; Depreciation'!AH$143+'03 CAPEX &amp; Depreciation'!AH$144+'03 CAPEX &amp; Depreciation'!AH$145</f>
        <v>1023687500</v>
      </c>
      <c r="AI55" s="90">
        <f>'03 CAPEX &amp; Depreciation'!AI$141+'03 CAPEX &amp; Depreciation'!AI$142+'03 CAPEX &amp; Depreciation'!AI$143+'03 CAPEX &amp; Depreciation'!AI$144+'03 CAPEX &amp; Depreciation'!AI$145</f>
        <v>1025500000</v>
      </c>
      <c r="AJ55" s="90">
        <f>'03 CAPEX &amp; Depreciation'!AJ$141+'03 CAPEX &amp; Depreciation'!AJ$142+'03 CAPEX &amp; Depreciation'!AJ$143+'03 CAPEX &amp; Depreciation'!AJ$144+'03 CAPEX &amp; Depreciation'!AJ$145</f>
        <v>1027312500</v>
      </c>
      <c r="AK55" s="90">
        <f>'03 CAPEX &amp; Depreciation'!AK$141+'03 CAPEX &amp; Depreciation'!AK$142+'03 CAPEX &amp; Depreciation'!AK$143+'03 CAPEX &amp; Depreciation'!AK$144+'03 CAPEX &amp; Depreciation'!AK$145</f>
        <v>1029125000</v>
      </c>
      <c r="AL55" s="90">
        <f>'03 CAPEX &amp; Depreciation'!AL$141+'03 CAPEX &amp; Depreciation'!AL$142+'03 CAPEX &amp; Depreciation'!AL$143+'03 CAPEX &amp; Depreciation'!AL$144+'03 CAPEX &amp; Depreciation'!AL$145</f>
        <v>1030937500</v>
      </c>
      <c r="AM55" s="90">
        <f>'03 CAPEX &amp; Depreciation'!AM$141+'03 CAPEX &amp; Depreciation'!AM$142+'03 CAPEX &amp; Depreciation'!AM$143+'03 CAPEX &amp; Depreciation'!AM$144+'03 CAPEX &amp; Depreciation'!AM$145</f>
        <v>1032750000</v>
      </c>
      <c r="AN55" s="90">
        <f>'03 CAPEX &amp; Depreciation'!AN$141+'03 CAPEX &amp; Depreciation'!AN$142+'03 CAPEX &amp; Depreciation'!AN$143+'03 CAPEX &amp; Depreciation'!AN$144+'03 CAPEX &amp; Depreciation'!AN$145</f>
        <v>1034562500</v>
      </c>
      <c r="AO55" s="90">
        <f>'03 CAPEX &amp; Depreciation'!AO$141+'03 CAPEX &amp; Depreciation'!AO$142+'03 CAPEX &amp; Depreciation'!AO$143+'03 CAPEX &amp; Depreciation'!AO$144+'03 CAPEX &amp; Depreciation'!AO$145</f>
        <v>1036375000</v>
      </c>
      <c r="AP55" s="90">
        <f>'03 CAPEX &amp; Depreciation'!AP$141+'03 CAPEX &amp; Depreciation'!AP$142+'03 CAPEX &amp; Depreciation'!AP$143+'03 CAPEX &amp; Depreciation'!AP$144+'03 CAPEX &amp; Depreciation'!AP$145</f>
        <v>1038187500</v>
      </c>
      <c r="AQ55" s="90">
        <f>'03 CAPEX &amp; Depreciation'!AQ$141+'03 CAPEX &amp; Depreciation'!AQ$142+'03 CAPEX &amp; Depreciation'!AQ$143+'03 CAPEX &amp; Depreciation'!AQ$144+'03 CAPEX &amp; Depreciation'!AQ$145</f>
        <v>1040000000</v>
      </c>
      <c r="AR55" s="90">
        <f>'03 CAPEX &amp; Depreciation'!AR$141+'03 CAPEX &amp; Depreciation'!AR$142+'03 CAPEX &amp; Depreciation'!AR$143+'03 CAPEX &amp; Depreciation'!AR$144+'03 CAPEX &amp; Depreciation'!AR$145</f>
        <v>1041812500</v>
      </c>
      <c r="AS55" s="90">
        <f>'03 CAPEX &amp; Depreciation'!AS$141+'03 CAPEX &amp; Depreciation'!AS$142+'03 CAPEX &amp; Depreciation'!AS$143+'03 CAPEX &amp; Depreciation'!AS$144+'03 CAPEX &amp; Depreciation'!AS$145</f>
        <v>1043625000</v>
      </c>
      <c r="AT55" s="90">
        <f>'03 CAPEX &amp; Depreciation'!AT$141+'03 CAPEX &amp; Depreciation'!AT$142+'03 CAPEX &amp; Depreciation'!AT$143+'03 CAPEX &amp; Depreciation'!AT$144+'03 CAPEX &amp; Depreciation'!AT$145</f>
        <v>1045437500</v>
      </c>
      <c r="AU55" s="90">
        <f>'03 CAPEX &amp; Depreciation'!AU$141+'03 CAPEX &amp; Depreciation'!AU$142+'03 CAPEX &amp; Depreciation'!AU$143+'03 CAPEX &amp; Depreciation'!AU$144+'03 CAPEX &amp; Depreciation'!AU$145</f>
        <v>1047250000</v>
      </c>
      <c r="AV55" s="90">
        <f>'03 CAPEX &amp; Depreciation'!AV$141+'03 CAPEX &amp; Depreciation'!AV$142+'03 CAPEX &amp; Depreciation'!AV$143+'03 CAPEX &amp; Depreciation'!AV$144+'03 CAPEX &amp; Depreciation'!AV$145</f>
        <v>1049062500</v>
      </c>
      <c r="AW55" s="90">
        <f>'03 CAPEX &amp; Depreciation'!AW$141+'03 CAPEX &amp; Depreciation'!AW$142+'03 CAPEX &amp; Depreciation'!AW$143+'03 CAPEX &amp; Depreciation'!AW$144+'03 CAPEX &amp; Depreciation'!AW$145</f>
        <v>1050875000</v>
      </c>
      <c r="AX55" s="90">
        <f>'03 CAPEX &amp; Depreciation'!AX$141+'03 CAPEX &amp; Depreciation'!AX$142+'03 CAPEX &amp; Depreciation'!AX$143+'03 CAPEX &amp; Depreciation'!AX$144+'03 CAPEX &amp; Depreciation'!AX$145</f>
        <v>1052687500</v>
      </c>
      <c r="AY55" s="90">
        <f>'03 CAPEX &amp; Depreciation'!AY$141+'03 CAPEX &amp; Depreciation'!AY$142+'03 CAPEX &amp; Depreciation'!AY$143+'03 CAPEX &amp; Depreciation'!AY$144+'03 CAPEX &amp; Depreciation'!AY$145</f>
        <v>1054500000</v>
      </c>
      <c r="AZ55" s="90">
        <f>'03 CAPEX &amp; Depreciation'!AZ$141+'03 CAPEX &amp; Depreciation'!AZ$142+'03 CAPEX &amp; Depreciation'!AZ$143+'03 CAPEX &amp; Depreciation'!AZ$144+'03 CAPEX &amp; Depreciation'!AZ$145</f>
        <v>1056312500</v>
      </c>
      <c r="BA55" s="90">
        <f>'03 CAPEX &amp; Depreciation'!BA$141+'03 CAPEX &amp; Depreciation'!BA$142+'03 CAPEX &amp; Depreciation'!BA$143+'03 CAPEX &amp; Depreciation'!BA$144+'03 CAPEX &amp; Depreciation'!BA$145</f>
        <v>1058125000</v>
      </c>
      <c r="BB55" s="90">
        <f>'03 CAPEX &amp; Depreciation'!BB$141+'03 CAPEX &amp; Depreciation'!BB$142+'03 CAPEX &amp; Depreciation'!BB$143+'03 CAPEX &amp; Depreciation'!BB$144+'03 CAPEX &amp; Depreciation'!BB$145</f>
        <v>1059937500</v>
      </c>
      <c r="BC55" s="90">
        <f>'03 CAPEX &amp; Depreciation'!BC$141+'03 CAPEX &amp; Depreciation'!BC$142+'03 CAPEX &amp; Depreciation'!BC$143+'03 CAPEX &amp; Depreciation'!BC$144+'03 CAPEX &amp; Depreciation'!BC$145</f>
        <v>1061750000</v>
      </c>
      <c r="BD55" s="90">
        <f>'03 CAPEX &amp; Depreciation'!BD$141+'03 CAPEX &amp; Depreciation'!BD$142+'03 CAPEX &amp; Depreciation'!BD$143+'03 CAPEX &amp; Depreciation'!BD$144+'03 CAPEX &amp; Depreciation'!BD$145</f>
        <v>1063562500</v>
      </c>
      <c r="BE55" s="90">
        <f>'03 CAPEX &amp; Depreciation'!BE$141+'03 CAPEX &amp; Depreciation'!BE$142+'03 CAPEX &amp; Depreciation'!BE$143+'03 CAPEX &amp; Depreciation'!BE$144+'03 CAPEX &amp; Depreciation'!BE$145</f>
        <v>1065375000</v>
      </c>
      <c r="BF55" s="90">
        <f>'03 CAPEX &amp; Depreciation'!BF$141+'03 CAPEX &amp; Depreciation'!BF$142+'03 CAPEX &amp; Depreciation'!BF$143+'03 CAPEX &amp; Depreciation'!BF$144+'03 CAPEX &amp; Depreciation'!BF$145</f>
        <v>1067187500</v>
      </c>
      <c r="BG55" s="90">
        <f>'03 CAPEX &amp; Depreciation'!BG$141+'03 CAPEX &amp; Depreciation'!BG$142+'03 CAPEX &amp; Depreciation'!BG$143+'03 CAPEX &amp; Depreciation'!BG$144+'03 CAPEX &amp; Depreciation'!BG$145</f>
        <v>1069000000</v>
      </c>
      <c r="BH55" s="90">
        <f>'03 CAPEX &amp; Depreciation'!BH$141+'03 CAPEX &amp; Depreciation'!BH$142+'03 CAPEX &amp; Depreciation'!BH$143+'03 CAPEX &amp; Depreciation'!BH$144+'03 CAPEX &amp; Depreciation'!BH$145</f>
        <v>1070812500</v>
      </c>
      <c r="BI55" s="90">
        <f>'03 CAPEX &amp; Depreciation'!BI$141+'03 CAPEX &amp; Depreciation'!BI$142+'03 CAPEX &amp; Depreciation'!BI$143+'03 CAPEX &amp; Depreciation'!BI$144+'03 CAPEX &amp; Depreciation'!BI$145</f>
        <v>1092562500</v>
      </c>
      <c r="BJ55" s="90">
        <f>'03 CAPEX &amp; Depreciation'!BJ$141+'03 CAPEX &amp; Depreciation'!BJ$142+'03 CAPEX &amp; Depreciation'!BJ$143+'03 CAPEX &amp; Depreciation'!BJ$144+'03 CAPEX &amp; Depreciation'!BJ$145</f>
        <v>1114312500</v>
      </c>
      <c r="BK55" s="90">
        <f>'03 CAPEX &amp; Depreciation'!BK$141+'03 CAPEX &amp; Depreciation'!BK$142+'03 CAPEX &amp; Depreciation'!BK$143+'03 CAPEX &amp; Depreciation'!BK$144+'03 CAPEX &amp; Depreciation'!BK$145</f>
        <v>1136062500</v>
      </c>
      <c r="BL55" s="90">
        <f>'03 CAPEX &amp; Depreciation'!BL$141+'03 CAPEX &amp; Depreciation'!BL$142+'03 CAPEX &amp; Depreciation'!BL$143+'03 CAPEX &amp; Depreciation'!BL$144+'03 CAPEX &amp; Depreciation'!BL$145</f>
        <v>1157812500</v>
      </c>
      <c r="BM55" s="90">
        <f>'03 CAPEX &amp; Depreciation'!BM$141+'03 CAPEX &amp; Depreciation'!BM$142+'03 CAPEX &amp; Depreciation'!BM$143+'03 CAPEX &amp; Depreciation'!BM$144+'03 CAPEX &amp; Depreciation'!BM$145</f>
        <v>1179562500</v>
      </c>
      <c r="BN55" s="90">
        <f>'03 CAPEX &amp; Depreciation'!BN$141+'03 CAPEX &amp; Depreciation'!BN$142+'03 CAPEX &amp; Depreciation'!BN$143+'03 CAPEX &amp; Depreciation'!BN$144+'03 CAPEX &amp; Depreciation'!BN$145</f>
        <v>1201312500</v>
      </c>
      <c r="BO55" s="90">
        <f>'03 CAPEX &amp; Depreciation'!BO$141+'03 CAPEX &amp; Depreciation'!BO$142+'03 CAPEX &amp; Depreciation'!BO$143+'03 CAPEX &amp; Depreciation'!BO$144+'03 CAPEX &amp; Depreciation'!BO$145</f>
        <v>1223062500</v>
      </c>
    </row>
    <row r="56" spans="1:67">
      <c r="A56" s="11"/>
      <c r="B56" s="11"/>
      <c r="C56" s="11" t="s">
        <v>415</v>
      </c>
      <c r="D56" s="33"/>
      <c r="E56" s="33"/>
      <c r="F56" s="10" t="s">
        <v>13</v>
      </c>
      <c r="G56" s="90">
        <f>IF('01 Major Assumptions'!G$15=0,0,G55*'01 Major Assumptions'!$D$102*'01 Major Assumptions'!G$14/12*(1+'01 Major Assumptions'!$D$24)^'02 Oil Price Analysis'!G$57)</f>
        <v>0</v>
      </c>
      <c r="H56" s="90">
        <f>IF('01 Major Assumptions'!H$15=0,0,H55*'01 Major Assumptions'!$D$102*'01 Major Assumptions'!H$14/12*(1+'01 Major Assumptions'!$D$24)^'02 Oil Price Analysis'!H$57)</f>
        <v>0</v>
      </c>
      <c r="I56" s="90">
        <f>IF('01 Major Assumptions'!I$15=0,0,I55*'01 Major Assumptions'!$D$102*'01 Major Assumptions'!I$14/12*(1+'01 Major Assumptions'!$D$24)^'02 Oil Price Analysis'!I$57)</f>
        <v>0</v>
      </c>
      <c r="J56" s="90">
        <f>IF('01 Major Assumptions'!J$15=0,0,J55*'01 Major Assumptions'!$D$102*'01 Major Assumptions'!J$14/12*(1+'01 Major Assumptions'!$D$24)^'02 Oil Price Analysis'!J$57)</f>
        <v>0</v>
      </c>
      <c r="K56" s="90">
        <f>IF('01 Major Assumptions'!K$15=0,0,K55*'01 Major Assumptions'!$D$102*'01 Major Assumptions'!K$14/12*(1+'01 Major Assumptions'!$D$24)^'02 Oil Price Analysis'!K$57)</f>
        <v>0</v>
      </c>
      <c r="L56" s="90">
        <f>IF('01 Major Assumptions'!L$15=0,0,L55*'01 Major Assumptions'!$D$102*'01 Major Assumptions'!L$14/12*(1+'01 Major Assumptions'!$D$24)^'02 Oil Price Analysis'!L$57)</f>
        <v>0</v>
      </c>
      <c r="M56" s="90">
        <f>IF('01 Major Assumptions'!M$15=0,0,M55*'01 Major Assumptions'!$D$102*'01 Major Assumptions'!M$14/12*(1+'01 Major Assumptions'!$D$24)^'02 Oil Price Analysis'!M$57)</f>
        <v>0</v>
      </c>
      <c r="N56" s="90">
        <f>IF('01 Major Assumptions'!N$15=0,0,N55*'01 Major Assumptions'!$D$102*'01 Major Assumptions'!N$14/12*(1+'01 Major Assumptions'!$D$24)^'02 Oil Price Analysis'!N$57)</f>
        <v>0</v>
      </c>
      <c r="O56" s="90">
        <f>IF('01 Major Assumptions'!O$15=0,0,O55*'01 Major Assumptions'!$D$102*'01 Major Assumptions'!O$14/12*(1+'01 Major Assumptions'!$D$24)^'02 Oil Price Analysis'!O$57)</f>
        <v>0</v>
      </c>
      <c r="P56" s="90">
        <f>IF('01 Major Assumptions'!P$15=0,0,P55*'01 Major Assumptions'!$D$102*'01 Major Assumptions'!P$14/12*(1+'01 Major Assumptions'!$D$24)^'02 Oil Price Analysis'!P$57)</f>
        <v>0</v>
      </c>
      <c r="Q56" s="90">
        <f>IF('01 Major Assumptions'!Q$15=0,0,Q55*'01 Major Assumptions'!$D$102*'01 Major Assumptions'!Q$14/12*(1+'01 Major Assumptions'!$D$24)^'02 Oil Price Analysis'!Q$57)</f>
        <v>0</v>
      </c>
      <c r="R56" s="90">
        <f>IF('01 Major Assumptions'!R$15=0,0,R55*'01 Major Assumptions'!$D$102*'01 Major Assumptions'!R$14/12*(1+'01 Major Assumptions'!$D$24)^'02 Oil Price Analysis'!R$57)</f>
        <v>0</v>
      </c>
      <c r="S56" s="90">
        <f>IF('01 Major Assumptions'!S$15=0,0,S55*'01 Major Assumptions'!$D$102*'01 Major Assumptions'!S$14/12*(1+'01 Major Assumptions'!$D$24)^'02 Oil Price Analysis'!S$57)</f>
        <v>0</v>
      </c>
      <c r="T56" s="90">
        <f>IF('01 Major Assumptions'!T$15=0,0,T55*'01 Major Assumptions'!$D$102*'01 Major Assumptions'!T$14/12*(1+'01 Major Assumptions'!$D$24)^'02 Oil Price Analysis'!T$57)</f>
        <v>0</v>
      </c>
      <c r="U56" s="90">
        <f>IF('01 Major Assumptions'!U$15=0,0,U55*'01 Major Assumptions'!$D$102*'01 Major Assumptions'!U$14/12*(1+'01 Major Assumptions'!$D$24)^'02 Oil Price Analysis'!U$57)</f>
        <v>0</v>
      </c>
      <c r="V56" s="90">
        <f>IF('01 Major Assumptions'!V$15=0,0,V55*'01 Major Assumptions'!$D$102*'01 Major Assumptions'!V$14/12*(1+'01 Major Assumptions'!$D$24)^'02 Oil Price Analysis'!V$57)</f>
        <v>0</v>
      </c>
      <c r="W56" s="90">
        <f>IF('01 Major Assumptions'!W$15=0,0,W55*'01 Major Assumptions'!$D$102*'01 Major Assumptions'!W$14/12*(1+'01 Major Assumptions'!$D$24)^'02 Oil Price Analysis'!W$57)</f>
        <v>0</v>
      </c>
      <c r="X56" s="90">
        <f>IF('01 Major Assumptions'!X$15=0,0,X55*'01 Major Assumptions'!$D$102*'01 Major Assumptions'!X$14/12*(1+'01 Major Assumptions'!$D$24)^'02 Oil Price Analysis'!X$57)</f>
        <v>0</v>
      </c>
      <c r="Y56" s="90">
        <f>IF('01 Major Assumptions'!Y$15=0,0,Y55*'01 Major Assumptions'!$D$102*'01 Major Assumptions'!Y$14/12*(1+'01 Major Assumptions'!$D$24)^'02 Oil Price Analysis'!Y$57)</f>
        <v>0</v>
      </c>
      <c r="Z56" s="90">
        <f>IF('01 Major Assumptions'!Z$15=0,0,Z55*'01 Major Assumptions'!$D$102*'01 Major Assumptions'!Z$14/12*(1+'01 Major Assumptions'!$D$24)^'02 Oil Price Analysis'!Z$57)</f>
        <v>0</v>
      </c>
      <c r="AA56" s="90">
        <f>IF('01 Major Assumptions'!AA$15=0,0,AA55*'01 Major Assumptions'!$D$102*'01 Major Assumptions'!AA$14/12*(1+'01 Major Assumptions'!$D$24)^'02 Oil Price Analysis'!AA$57)</f>
        <v>0</v>
      </c>
      <c r="AB56" s="90">
        <f>IF('01 Major Assumptions'!AB$15=0,0,AB55*'01 Major Assumptions'!$D$102*'01 Major Assumptions'!AB$14/12*(1+'01 Major Assumptions'!$D$24)^'02 Oil Price Analysis'!AB$57)</f>
        <v>2131126.302083333</v>
      </c>
      <c r="AC56" s="90">
        <f>IF('01 Major Assumptions'!AC$15=0,0,AC55*'01 Major Assumptions'!$D$102*'01 Major Assumptions'!AC$14/12*(1+'01 Major Assumptions'!$D$24)^'02 Oil Price Analysis'!AC$57)</f>
        <v>2134940.104166667</v>
      </c>
      <c r="AD56" s="90">
        <f>IF('01 Major Assumptions'!AD$15=0,0,AD55*'01 Major Assumptions'!$D$102*'01 Major Assumptions'!AD$14/12*(1+'01 Major Assumptions'!$D$24)^'02 Oil Price Analysis'!AD$57)</f>
        <v>2138753.90625</v>
      </c>
      <c r="AE56" s="90">
        <f>IF('01 Major Assumptions'!AE$15=0,0,AE55*'01 Major Assumptions'!$D$102*'01 Major Assumptions'!AE$14/12*(1+'01 Major Assumptions'!$D$24)^'02 Oil Price Analysis'!AE$57)</f>
        <v>2163993.3854166665</v>
      </c>
      <c r="AF56" s="90">
        <f>IF('01 Major Assumptions'!AF$15=0,0,AF55*'01 Major Assumptions'!$D$102*'01 Major Assumptions'!AF$14/12*(1+'01 Major Assumptions'!$D$24)^'02 Oil Price Analysis'!AF$57)</f>
        <v>2167845.3255208335</v>
      </c>
      <c r="AG56" s="90">
        <f>IF('01 Major Assumptions'!AG$15=0,0,AG55*'01 Major Assumptions'!$D$102*'01 Major Assumptions'!AG$14/12*(1+'01 Major Assumptions'!$D$24)^'02 Oil Price Analysis'!AG$57)</f>
        <v>2171697.265625</v>
      </c>
      <c r="AH56" s="90">
        <f>IF('01 Major Assumptions'!AH$15=0,0,AH55*'01 Major Assumptions'!$D$102*'01 Major Assumptions'!AH$14/12*(1+'01 Major Assumptions'!$D$24)^'02 Oil Price Analysis'!AH$57)</f>
        <v>2175549.2057291665</v>
      </c>
      <c r="AI56" s="90">
        <f>IF('01 Major Assumptions'!AI$15=0,0,AI55*'01 Major Assumptions'!$D$102*'01 Major Assumptions'!AI$14/12*(1+'01 Major Assumptions'!$D$24)^'02 Oil Price Analysis'!AI$57)</f>
        <v>2179401.1458333335</v>
      </c>
      <c r="AJ56" s="90">
        <f>IF('01 Major Assumptions'!AJ$15=0,0,AJ55*'01 Major Assumptions'!$D$102*'01 Major Assumptions'!AJ$14/12*(1+'01 Major Assumptions'!$D$24)^'02 Oil Price Analysis'!AJ$57)</f>
        <v>2183253.0859375</v>
      </c>
      <c r="AK56" s="90">
        <f>IF('01 Major Assumptions'!AK$15=0,0,AK55*'01 Major Assumptions'!$D$102*'01 Major Assumptions'!AK$14/12*(1+'01 Major Assumptions'!$D$24)^'02 Oil Price Analysis'!AK$57)</f>
        <v>2187105.0260416665</v>
      </c>
      <c r="AL56" s="90">
        <f>IF('01 Major Assumptions'!AL$15=0,0,AL55*'01 Major Assumptions'!$D$102*'01 Major Assumptions'!AL$14/12*(1+'01 Major Assumptions'!$D$24)^'02 Oil Price Analysis'!AL$57)</f>
        <v>2190956.9661458335</v>
      </c>
      <c r="AM56" s="90">
        <f>IF('01 Major Assumptions'!AM$15=0,0,AM55*'01 Major Assumptions'!$D$102*'01 Major Assumptions'!AM$14/12*(1+'01 Major Assumptions'!$D$24)^'02 Oil Price Analysis'!AM$57)</f>
        <v>2194808.90625</v>
      </c>
      <c r="AN56" s="90">
        <f>IF('01 Major Assumptions'!AN$15=0,0,AN55*'01 Major Assumptions'!$D$102*'01 Major Assumptions'!AN$14/12*(1+'01 Major Assumptions'!$D$24)^'02 Oil Price Analysis'!AN$57)</f>
        <v>2198660.8463541665</v>
      </c>
      <c r="AO56" s="90">
        <f>IF('01 Major Assumptions'!AO$15=0,0,AO55*'01 Major Assumptions'!$D$102*'01 Major Assumptions'!AO$14/12*(1+'01 Major Assumptions'!$D$24)^'02 Oil Price Analysis'!AO$57)</f>
        <v>2202512.7864583335</v>
      </c>
      <c r="AP56" s="90">
        <f>IF('01 Major Assumptions'!AP$15=0,0,AP55*'01 Major Assumptions'!$D$102*'01 Major Assumptions'!AP$14/12*(1+'01 Major Assumptions'!$D$24)^'02 Oil Price Analysis'!AP$57)</f>
        <v>2206364.7265625</v>
      </c>
      <c r="AQ56" s="90">
        <f>IF('01 Major Assumptions'!AQ$15=0,0,AQ55*'01 Major Assumptions'!$D$102*'01 Major Assumptions'!AQ$14/12*(1+'01 Major Assumptions'!$D$24)^'02 Oil Price Analysis'!AQ$57)</f>
        <v>2232318.833333333</v>
      </c>
      <c r="AR56" s="90">
        <f>IF('01 Major Assumptions'!AR$15=0,0,AR55*'01 Major Assumptions'!$D$102*'01 Major Assumptions'!AR$14/12*(1+'01 Major Assumptions'!$D$24)^'02 Oil Price Analysis'!AR$57)</f>
        <v>2236209.2928385418</v>
      </c>
      <c r="AS56" s="90">
        <f>IF('01 Major Assumptions'!AS$15=0,0,AS55*'01 Major Assumptions'!$D$102*'01 Major Assumptions'!AS$14/12*(1+'01 Major Assumptions'!$D$24)^'02 Oil Price Analysis'!AS$57)</f>
        <v>2240099.7523437496</v>
      </c>
      <c r="AT56" s="90">
        <f>IF('01 Major Assumptions'!AT$15=0,0,AT55*'01 Major Assumptions'!$D$102*'01 Major Assumptions'!AT$14/12*(1+'01 Major Assumptions'!$D$24)^'02 Oil Price Analysis'!AT$57)</f>
        <v>2243990.2118489579</v>
      </c>
      <c r="AU56" s="90">
        <f>IF('01 Major Assumptions'!AU$15=0,0,AU55*'01 Major Assumptions'!$D$102*'01 Major Assumptions'!AU$14/12*(1+'01 Major Assumptions'!$D$24)^'02 Oil Price Analysis'!AU$57)</f>
        <v>2247880.6713541667</v>
      </c>
      <c r="AV56" s="90">
        <f>IF('01 Major Assumptions'!AV$15=0,0,AV55*'01 Major Assumptions'!$D$102*'01 Major Assumptions'!AV$14/12*(1+'01 Major Assumptions'!$D$24)^'02 Oil Price Analysis'!AV$57)</f>
        <v>2251771.130859375</v>
      </c>
      <c r="AW56" s="90">
        <f>IF('01 Major Assumptions'!AW$15=0,0,AW55*'01 Major Assumptions'!$D$102*'01 Major Assumptions'!AW$14/12*(1+'01 Major Assumptions'!$D$24)^'02 Oil Price Analysis'!AW$57)</f>
        <v>2255661.5903645828</v>
      </c>
      <c r="AX56" s="90">
        <f>IF('01 Major Assumptions'!AX$15=0,0,AX55*'01 Major Assumptions'!$D$102*'01 Major Assumptions'!AX$14/12*(1+'01 Major Assumptions'!$D$24)^'02 Oil Price Analysis'!AX$57)</f>
        <v>2259552.0498697916</v>
      </c>
      <c r="AY56" s="90">
        <f>IF('01 Major Assumptions'!AY$15=0,0,AY55*'01 Major Assumptions'!$D$102*'01 Major Assumptions'!AY$14/12*(1+'01 Major Assumptions'!$D$24)^'02 Oil Price Analysis'!AY$57)</f>
        <v>2263442.5093749999</v>
      </c>
      <c r="AZ56" s="90">
        <f>IF('01 Major Assumptions'!AZ$15=0,0,AZ55*'01 Major Assumptions'!$D$102*'01 Major Assumptions'!AZ$14/12*(1+'01 Major Assumptions'!$D$24)^'02 Oil Price Analysis'!AZ$57)</f>
        <v>2267332.9688802082</v>
      </c>
      <c r="BA56" s="90">
        <f>IF('01 Major Assumptions'!BA$15=0,0,BA55*'01 Major Assumptions'!$D$102*'01 Major Assumptions'!BA$14/12*(1+'01 Major Assumptions'!$D$24)^'02 Oil Price Analysis'!BA$57)</f>
        <v>2271223.4283854165</v>
      </c>
      <c r="BB56" s="90">
        <f>IF('01 Major Assumptions'!BB$15=0,0,BB55*'01 Major Assumptions'!$D$102*'01 Major Assumptions'!BB$14/12*(1+'01 Major Assumptions'!$D$24)^'02 Oil Price Analysis'!BB$57)</f>
        <v>2275113.8878906248</v>
      </c>
      <c r="BC56" s="90">
        <f>IF('01 Major Assumptions'!BC$15=0,0,BC55*'01 Major Assumptions'!$D$102*'01 Major Assumptions'!BC$14/12*(1+'01 Major Assumptions'!$D$24)^'02 Oil Price Analysis'!BC$57)</f>
        <v>2301794.3908697916</v>
      </c>
      <c r="BD56" s="90">
        <f>IF('01 Major Assumptions'!BD$15=0,0,BD55*'01 Major Assumptions'!$D$102*'01 Major Assumptions'!BD$14/12*(1+'01 Major Assumptions'!$D$24)^'02 Oil Price Analysis'!BD$57)</f>
        <v>2305723.7549700523</v>
      </c>
      <c r="BE56" s="90">
        <f>IF('01 Major Assumptions'!BE$15=0,0,BE55*'01 Major Assumptions'!$D$102*'01 Major Assumptions'!BE$14/12*(1+'01 Major Assumptions'!$D$24)^'02 Oil Price Analysis'!BE$57)</f>
        <v>2309653.1190703125</v>
      </c>
      <c r="BF56" s="90">
        <f>IF('01 Major Assumptions'!BF$15=0,0,BF55*'01 Major Assumptions'!$D$102*'01 Major Assumptions'!BF$14/12*(1+'01 Major Assumptions'!$D$24)^'02 Oil Price Analysis'!BF$57)</f>
        <v>2313582.4831705727</v>
      </c>
      <c r="BG56" s="90">
        <f>IF('01 Major Assumptions'!BG$15=0,0,BG55*'01 Major Assumptions'!$D$102*'01 Major Assumptions'!BG$14/12*(1+'01 Major Assumptions'!$D$24)^'02 Oil Price Analysis'!BG$57)</f>
        <v>2317511.8472708333</v>
      </c>
      <c r="BH56" s="90">
        <f>IF('01 Major Assumptions'!BH$15=0,0,BH55*'01 Major Assumptions'!$D$102*'01 Major Assumptions'!BH$14/12*(1+'01 Major Assumptions'!$D$24)^'02 Oil Price Analysis'!BH$57)</f>
        <v>2321441.211371094</v>
      </c>
      <c r="BI56" s="90">
        <f>IF('01 Major Assumptions'!BI$15=0,0,BI55*'01 Major Assumptions'!$D$102*'01 Major Assumptions'!BI$14/12*(1+'01 Major Assumptions'!$D$24)^'02 Oil Price Analysis'!BI$57)</f>
        <v>28707354.19655953</v>
      </c>
      <c r="BJ56" s="90">
        <f>IF('01 Major Assumptions'!BJ$15=0,0,BJ55*'01 Major Assumptions'!$D$102*'01 Major Assumptions'!BJ$14/12*(1+'01 Major Assumptions'!$D$24)^'02 Oil Price Analysis'!BJ$57)</f>
        <v>29571629.320414424</v>
      </c>
      <c r="BK56" s="90">
        <f>IF('01 Major Assumptions'!BK$15=0,0,BK55*'01 Major Assumptions'!$D$102*'01 Major Assumptions'!BK$14/12*(1+'01 Major Assumptions'!$D$24)^'02 Oil Price Analysis'!BK$57)</f>
        <v>30450319.211326748</v>
      </c>
      <c r="BL56" s="90">
        <f>IF('01 Major Assumptions'!BL$15=0,0,BL55*'01 Major Assumptions'!$D$102*'01 Major Assumptions'!BL$14/12*(1+'01 Major Assumptions'!$D$24)^'02 Oil Price Analysis'!BL$57)</f>
        <v>31343625.737125292</v>
      </c>
      <c r="BM56" s="90">
        <f>IF('01 Major Assumptions'!BM$15=0,0,BM55*'01 Major Assumptions'!$D$102*'01 Major Assumptions'!BM$14/12*(1+'01 Major Assumptions'!$D$24)^'02 Oil Price Analysis'!BM$57)</f>
        <v>32251753.361518666</v>
      </c>
      <c r="BN56" s="90">
        <f>IF('01 Major Assumptions'!BN$15=0,0,BN55*'01 Major Assumptions'!$D$102*'01 Major Assumptions'!BN$14/12*(1+'01 Major Assumptions'!$D$24)^'02 Oil Price Analysis'!BN$57)</f>
        <v>33174909.175826199</v>
      </c>
      <c r="BO56" s="90">
        <f>IF('01 Major Assumptions'!BO$15=0,0,BO55*'01 Major Assumptions'!$D$102*'01 Major Assumptions'!BO$14/12*(1+'01 Major Assumptions'!$D$24)^'02 Oil Price Analysis'!BO$57)</f>
        <v>34113302.931083716</v>
      </c>
    </row>
    <row r="57" spans="1:67">
      <c r="A57" s="11"/>
      <c r="B57" s="11"/>
      <c r="C57" s="11" t="s">
        <v>416</v>
      </c>
      <c r="D57" s="33"/>
      <c r="E57" s="33"/>
      <c r="F57" s="10" t="s">
        <v>13</v>
      </c>
      <c r="G57" s="90">
        <f>IF('01 Major Assumptions'!G$15=0,0,G55*'01 Major Assumptions'!$D$104*'01 Major Assumptions'!G$14/12*(1+'01 Major Assumptions'!$D$24)^'02 Oil Price Analysis'!G$57)</f>
        <v>0</v>
      </c>
      <c r="H57" s="90">
        <f>IF('01 Major Assumptions'!H$15=0,0,H55*'01 Major Assumptions'!$D$104*'01 Major Assumptions'!H$14/12*(1+'01 Major Assumptions'!$D$24)^'02 Oil Price Analysis'!H$57)</f>
        <v>0</v>
      </c>
      <c r="I57" s="90">
        <f>IF('01 Major Assumptions'!I$15=0,0,I55*'01 Major Assumptions'!$D$104*'01 Major Assumptions'!I$14/12*(1+'01 Major Assumptions'!$D$24)^'02 Oil Price Analysis'!I$57)</f>
        <v>0</v>
      </c>
      <c r="J57" s="90">
        <f>IF('01 Major Assumptions'!J$15=0,0,J55*'01 Major Assumptions'!$D$104*'01 Major Assumptions'!J$14/12*(1+'01 Major Assumptions'!$D$24)^'02 Oil Price Analysis'!J$57)</f>
        <v>0</v>
      </c>
      <c r="K57" s="90">
        <f>IF('01 Major Assumptions'!K$15=0,0,K55*'01 Major Assumptions'!$D$104*'01 Major Assumptions'!K$14/12*(1+'01 Major Assumptions'!$D$24)^'02 Oil Price Analysis'!K$57)</f>
        <v>0</v>
      </c>
      <c r="L57" s="90">
        <f>IF('01 Major Assumptions'!L$15=0,0,L55*'01 Major Assumptions'!$D$104*'01 Major Assumptions'!L$14/12*(1+'01 Major Assumptions'!$D$24)^'02 Oil Price Analysis'!L$57)</f>
        <v>0</v>
      </c>
      <c r="M57" s="90">
        <f>IF('01 Major Assumptions'!M$15=0,0,M55*'01 Major Assumptions'!$D$104*'01 Major Assumptions'!M$14/12*(1+'01 Major Assumptions'!$D$24)^'02 Oil Price Analysis'!M$57)</f>
        <v>0</v>
      </c>
      <c r="N57" s="90">
        <f>IF('01 Major Assumptions'!N$15=0,0,N55*'01 Major Assumptions'!$D$104*'01 Major Assumptions'!N$14/12*(1+'01 Major Assumptions'!$D$24)^'02 Oil Price Analysis'!N$57)</f>
        <v>0</v>
      </c>
      <c r="O57" s="90">
        <f>IF('01 Major Assumptions'!O$15=0,0,O55*'01 Major Assumptions'!$D$104*'01 Major Assumptions'!O$14/12*(1+'01 Major Assumptions'!$D$24)^'02 Oil Price Analysis'!O$57)</f>
        <v>0</v>
      </c>
      <c r="P57" s="90">
        <f>IF('01 Major Assumptions'!P$15=0,0,P55*'01 Major Assumptions'!$D$104*'01 Major Assumptions'!P$14/12*(1+'01 Major Assumptions'!$D$24)^'02 Oil Price Analysis'!P$57)</f>
        <v>0</v>
      </c>
      <c r="Q57" s="90">
        <f>IF('01 Major Assumptions'!Q$15=0,0,Q55*'01 Major Assumptions'!$D$104*'01 Major Assumptions'!Q$14/12*(1+'01 Major Assumptions'!$D$24)^'02 Oil Price Analysis'!Q$57)</f>
        <v>0</v>
      </c>
      <c r="R57" s="90">
        <f>IF('01 Major Assumptions'!R$15=0,0,R55*'01 Major Assumptions'!$D$104*'01 Major Assumptions'!R$14/12*(1+'01 Major Assumptions'!$D$24)^'02 Oil Price Analysis'!R$57)</f>
        <v>0</v>
      </c>
      <c r="S57" s="90">
        <f>IF('01 Major Assumptions'!S$15=0,0,S55*'01 Major Assumptions'!$D$104*'01 Major Assumptions'!S$14/12*(1+'01 Major Assumptions'!$D$24)^'02 Oil Price Analysis'!S$57)</f>
        <v>0</v>
      </c>
      <c r="T57" s="90">
        <f>IF('01 Major Assumptions'!T$15=0,0,T55*'01 Major Assumptions'!$D$104*'01 Major Assumptions'!T$14/12*(1+'01 Major Assumptions'!$D$24)^'02 Oil Price Analysis'!T$57)</f>
        <v>0</v>
      </c>
      <c r="U57" s="90">
        <f>IF('01 Major Assumptions'!U$15=0,0,U55*'01 Major Assumptions'!$D$104*'01 Major Assumptions'!U$14/12*(1+'01 Major Assumptions'!$D$24)^'02 Oil Price Analysis'!U$57)</f>
        <v>0</v>
      </c>
      <c r="V57" s="90">
        <f>IF('01 Major Assumptions'!V$15=0,0,V55*'01 Major Assumptions'!$D$104*'01 Major Assumptions'!V$14/12*(1+'01 Major Assumptions'!$D$24)^'02 Oil Price Analysis'!V$57)</f>
        <v>0</v>
      </c>
      <c r="W57" s="90">
        <f>IF('01 Major Assumptions'!W$15=0,0,W55*'01 Major Assumptions'!$D$104*'01 Major Assumptions'!W$14/12*(1+'01 Major Assumptions'!$D$24)^'02 Oil Price Analysis'!W$57)</f>
        <v>0</v>
      </c>
      <c r="X57" s="90">
        <f>IF('01 Major Assumptions'!X$15=0,0,X55*'01 Major Assumptions'!$D$104*'01 Major Assumptions'!X$14/12*(1+'01 Major Assumptions'!$D$24)^'02 Oil Price Analysis'!X$57)</f>
        <v>0</v>
      </c>
      <c r="Y57" s="90">
        <f>IF('01 Major Assumptions'!Y$15=0,0,Y55*'01 Major Assumptions'!$D$104*'01 Major Assumptions'!Y$14/12*(1+'01 Major Assumptions'!$D$24)^'02 Oil Price Analysis'!Y$57)</f>
        <v>0</v>
      </c>
      <c r="Z57" s="90">
        <f>IF('01 Major Assumptions'!Z$15=0,0,Z55*'01 Major Assumptions'!$D$104*'01 Major Assumptions'!Z$14/12*(1+'01 Major Assumptions'!$D$24)^'02 Oil Price Analysis'!Z$57)</f>
        <v>0</v>
      </c>
      <c r="AA57" s="90">
        <f>IF('01 Major Assumptions'!AA$15=0,0,AA55*'01 Major Assumptions'!$D$104*'01 Major Assumptions'!AA$14/12*(1+'01 Major Assumptions'!$D$24)^'02 Oil Price Analysis'!AA$57)</f>
        <v>0</v>
      </c>
      <c r="AB57" s="90">
        <f>IF('01 Major Assumptions'!AB$15=0,0,AB55*'01 Major Assumptions'!$D$104*'01 Major Assumptions'!AB$14/12*(1+'01 Major Assumptions'!$D$24)^'02 Oil Price Analysis'!AB$57)</f>
        <v>426225.26041666663</v>
      </c>
      <c r="AC57" s="90">
        <f>IF('01 Major Assumptions'!AC$15=0,0,AC55*'01 Major Assumptions'!$D$104*'01 Major Assumptions'!AC$14/12*(1+'01 Major Assumptions'!$D$24)^'02 Oil Price Analysis'!AC$57)</f>
        <v>426988.02083333337</v>
      </c>
      <c r="AD57" s="90">
        <f>IF('01 Major Assumptions'!AD$15=0,0,AD55*'01 Major Assumptions'!$D$104*'01 Major Assumptions'!AD$14/12*(1+'01 Major Assumptions'!$D$24)^'02 Oil Price Analysis'!AD$57)</f>
        <v>427750.78125</v>
      </c>
      <c r="AE57" s="90">
        <f>IF('01 Major Assumptions'!AE$15=0,0,AE55*'01 Major Assumptions'!$D$104*'01 Major Assumptions'!AE$14/12*(1+'01 Major Assumptions'!$D$24)^'02 Oil Price Analysis'!AE$57)</f>
        <v>432798.67708333331</v>
      </c>
      <c r="AF57" s="90">
        <f>IF('01 Major Assumptions'!AF$15=0,0,AF55*'01 Major Assumptions'!$D$104*'01 Major Assumptions'!AF$14/12*(1+'01 Major Assumptions'!$D$24)^'02 Oil Price Analysis'!AF$57)</f>
        <v>433569.06510416669</v>
      </c>
      <c r="AG57" s="90">
        <f>IF('01 Major Assumptions'!AG$15=0,0,AG55*'01 Major Assumptions'!$D$104*'01 Major Assumptions'!AG$14/12*(1+'01 Major Assumptions'!$D$24)^'02 Oil Price Analysis'!AG$57)</f>
        <v>434339.453125</v>
      </c>
      <c r="AH57" s="90">
        <f>IF('01 Major Assumptions'!AH$15=0,0,AH55*'01 Major Assumptions'!$D$104*'01 Major Assumptions'!AH$14/12*(1+'01 Major Assumptions'!$D$24)^'02 Oil Price Analysis'!AH$57)</f>
        <v>435109.84114583331</v>
      </c>
      <c r="AI57" s="90">
        <f>IF('01 Major Assumptions'!AI$15=0,0,AI55*'01 Major Assumptions'!$D$104*'01 Major Assumptions'!AI$14/12*(1+'01 Major Assumptions'!$D$24)^'02 Oil Price Analysis'!AI$57)</f>
        <v>435880.22916666669</v>
      </c>
      <c r="AJ57" s="90">
        <f>IF('01 Major Assumptions'!AJ$15=0,0,AJ55*'01 Major Assumptions'!$D$104*'01 Major Assumptions'!AJ$14/12*(1+'01 Major Assumptions'!$D$24)^'02 Oil Price Analysis'!AJ$57)</f>
        <v>436650.6171875</v>
      </c>
      <c r="AK57" s="90">
        <f>IF('01 Major Assumptions'!AK$15=0,0,AK55*'01 Major Assumptions'!$D$104*'01 Major Assumptions'!AK$14/12*(1+'01 Major Assumptions'!$D$24)^'02 Oil Price Analysis'!AK$57)</f>
        <v>437421.00520833331</v>
      </c>
      <c r="AL57" s="90">
        <f>IF('01 Major Assumptions'!AL$15=0,0,AL55*'01 Major Assumptions'!$D$104*'01 Major Assumptions'!AL$14/12*(1+'01 Major Assumptions'!$D$24)^'02 Oil Price Analysis'!AL$57)</f>
        <v>438191.39322916669</v>
      </c>
      <c r="AM57" s="90">
        <f>IF('01 Major Assumptions'!AM$15=0,0,AM55*'01 Major Assumptions'!$D$104*'01 Major Assumptions'!AM$14/12*(1+'01 Major Assumptions'!$D$24)^'02 Oil Price Analysis'!AM$57)</f>
        <v>438961.78125</v>
      </c>
      <c r="AN57" s="90">
        <f>IF('01 Major Assumptions'!AN$15=0,0,AN55*'01 Major Assumptions'!$D$104*'01 Major Assumptions'!AN$14/12*(1+'01 Major Assumptions'!$D$24)^'02 Oil Price Analysis'!AN$57)</f>
        <v>439732.16927083331</v>
      </c>
      <c r="AO57" s="90">
        <f>IF('01 Major Assumptions'!AO$15=0,0,AO55*'01 Major Assumptions'!$D$104*'01 Major Assumptions'!AO$14/12*(1+'01 Major Assumptions'!$D$24)^'02 Oil Price Analysis'!AO$57)</f>
        <v>440502.55729166669</v>
      </c>
      <c r="AP57" s="90">
        <f>IF('01 Major Assumptions'!AP$15=0,0,AP55*'01 Major Assumptions'!$D$104*'01 Major Assumptions'!AP$14/12*(1+'01 Major Assumptions'!$D$24)^'02 Oil Price Analysis'!AP$57)</f>
        <v>441272.9453125</v>
      </c>
      <c r="AQ57" s="90">
        <f>IF('01 Major Assumptions'!AQ$15=0,0,AQ55*'01 Major Assumptions'!$D$104*'01 Major Assumptions'!AQ$14/12*(1+'01 Major Assumptions'!$D$24)^'02 Oil Price Analysis'!AQ$57)</f>
        <v>446463.7666666666</v>
      </c>
      <c r="AR57" s="90">
        <f>IF('01 Major Assumptions'!AR$15=0,0,AR55*'01 Major Assumptions'!$D$104*'01 Major Assumptions'!AR$14/12*(1+'01 Major Assumptions'!$D$24)^'02 Oil Price Analysis'!AR$57)</f>
        <v>447241.85856770829</v>
      </c>
      <c r="AS57" s="90">
        <f>IF('01 Major Assumptions'!AS$15=0,0,AS55*'01 Major Assumptions'!$D$104*'01 Major Assumptions'!AS$14/12*(1+'01 Major Assumptions'!$D$24)^'02 Oil Price Analysis'!AS$57)</f>
        <v>448019.95046874997</v>
      </c>
      <c r="AT57" s="90">
        <f>IF('01 Major Assumptions'!AT$15=0,0,AT55*'01 Major Assumptions'!$D$104*'01 Major Assumptions'!AT$14/12*(1+'01 Major Assumptions'!$D$24)^'02 Oil Price Analysis'!AT$57)</f>
        <v>448798.0423697916</v>
      </c>
      <c r="AU57" s="90">
        <f>IF('01 Major Assumptions'!AU$15=0,0,AU55*'01 Major Assumptions'!$D$104*'01 Major Assumptions'!AU$14/12*(1+'01 Major Assumptions'!$D$24)^'02 Oil Price Analysis'!AU$57)</f>
        <v>449576.13427083334</v>
      </c>
      <c r="AV57" s="90">
        <f>IF('01 Major Assumptions'!AV$15=0,0,AV55*'01 Major Assumptions'!$D$104*'01 Major Assumptions'!AV$14/12*(1+'01 Major Assumptions'!$D$24)^'02 Oil Price Analysis'!AV$57)</f>
        <v>450354.22617187497</v>
      </c>
      <c r="AW57" s="90">
        <f>IF('01 Major Assumptions'!AW$15=0,0,AW55*'01 Major Assumptions'!$D$104*'01 Major Assumptions'!AW$14/12*(1+'01 Major Assumptions'!$D$24)^'02 Oil Price Analysis'!AW$57)</f>
        <v>451132.31807291659</v>
      </c>
      <c r="AX57" s="90">
        <f>IF('01 Major Assumptions'!AX$15=0,0,AX55*'01 Major Assumptions'!$D$104*'01 Major Assumptions'!AX$14/12*(1+'01 Major Assumptions'!$D$24)^'02 Oil Price Analysis'!AX$57)</f>
        <v>451910.40997395833</v>
      </c>
      <c r="AY57" s="90">
        <f>IF('01 Major Assumptions'!AY$15=0,0,AY55*'01 Major Assumptions'!$D$104*'01 Major Assumptions'!AY$14/12*(1+'01 Major Assumptions'!$D$24)^'02 Oil Price Analysis'!AY$57)</f>
        <v>452688.50187499996</v>
      </c>
      <c r="AZ57" s="90">
        <f>IF('01 Major Assumptions'!AZ$15=0,0,AZ55*'01 Major Assumptions'!$D$104*'01 Major Assumptions'!AZ$14/12*(1+'01 Major Assumptions'!$D$24)^'02 Oil Price Analysis'!AZ$57)</f>
        <v>453466.59377604158</v>
      </c>
      <c r="BA57" s="90">
        <f>IF('01 Major Assumptions'!BA$15=0,0,BA55*'01 Major Assumptions'!$D$104*'01 Major Assumptions'!BA$14/12*(1+'01 Major Assumptions'!$D$24)^'02 Oil Price Analysis'!BA$57)</f>
        <v>454244.68567708333</v>
      </c>
      <c r="BB57" s="90">
        <f>IF('01 Major Assumptions'!BB$15=0,0,BB55*'01 Major Assumptions'!$D$104*'01 Major Assumptions'!BB$14/12*(1+'01 Major Assumptions'!$D$24)^'02 Oil Price Analysis'!BB$57)</f>
        <v>455022.77757812495</v>
      </c>
      <c r="BC57" s="90">
        <f>IF('01 Major Assumptions'!BC$15=0,0,BC55*'01 Major Assumptions'!$D$104*'01 Major Assumptions'!BC$14/12*(1+'01 Major Assumptions'!$D$24)^'02 Oil Price Analysis'!BC$57)</f>
        <v>460358.87817395834</v>
      </c>
      <c r="BD57" s="90">
        <f>IF('01 Major Assumptions'!BD$15=0,0,BD55*'01 Major Assumptions'!$D$104*'01 Major Assumptions'!BD$14/12*(1+'01 Major Assumptions'!$D$24)^'02 Oil Price Analysis'!BD$57)</f>
        <v>461144.75099401042</v>
      </c>
      <c r="BE57" s="90">
        <f>IF('01 Major Assumptions'!BE$15=0,0,BE55*'01 Major Assumptions'!$D$104*'01 Major Assumptions'!BE$14/12*(1+'01 Major Assumptions'!$D$24)^'02 Oil Price Analysis'!BE$57)</f>
        <v>461930.62381406251</v>
      </c>
      <c r="BF57" s="90">
        <f>IF('01 Major Assumptions'!BF$15=0,0,BF55*'01 Major Assumptions'!$D$104*'01 Major Assumptions'!BF$14/12*(1+'01 Major Assumptions'!$D$24)^'02 Oil Price Analysis'!BF$57)</f>
        <v>462716.49663411459</v>
      </c>
      <c r="BG57" s="90">
        <f>IF('01 Major Assumptions'!BG$15=0,0,BG55*'01 Major Assumptions'!$D$104*'01 Major Assumptions'!BG$14/12*(1+'01 Major Assumptions'!$D$24)^'02 Oil Price Analysis'!BG$57)</f>
        <v>463502.36945416668</v>
      </c>
      <c r="BH57" s="90">
        <f>IF('01 Major Assumptions'!BH$15=0,0,BH55*'01 Major Assumptions'!$D$104*'01 Major Assumptions'!BH$14/12*(1+'01 Major Assumptions'!$D$24)^'02 Oil Price Analysis'!BH$57)</f>
        <v>464288.24227421876</v>
      </c>
      <c r="BI57" s="90">
        <f>IF('01 Major Assumptions'!BI$15=0,0,BI55*'01 Major Assumptions'!$D$104*'01 Major Assumptions'!BI$14/12*(1+'01 Major Assumptions'!$D$24)^'02 Oil Price Analysis'!BI$57)</f>
        <v>5741470.8393119061</v>
      </c>
      <c r="BJ57" s="90">
        <f>IF('01 Major Assumptions'!BJ$15=0,0,BJ55*'01 Major Assumptions'!$D$104*'01 Major Assumptions'!BJ$14/12*(1+'01 Major Assumptions'!$D$24)^'02 Oil Price Analysis'!BJ$57)</f>
        <v>5914325.864082885</v>
      </c>
      <c r="BK57" s="90">
        <f>IF('01 Major Assumptions'!BK$15=0,0,BK55*'01 Major Assumptions'!$D$104*'01 Major Assumptions'!BK$14/12*(1+'01 Major Assumptions'!$D$24)^'02 Oil Price Analysis'!BK$57)</f>
        <v>6090063.8422653489</v>
      </c>
      <c r="BL57" s="90">
        <f>IF('01 Major Assumptions'!BL$15=0,0,BL55*'01 Major Assumptions'!$D$104*'01 Major Assumptions'!BL$14/12*(1+'01 Major Assumptions'!$D$24)^'02 Oil Price Analysis'!BL$57)</f>
        <v>6268725.1474250583</v>
      </c>
      <c r="BM57" s="90">
        <f>IF('01 Major Assumptions'!BM$15=0,0,BM55*'01 Major Assumptions'!$D$104*'01 Major Assumptions'!BM$14/12*(1+'01 Major Assumptions'!$D$24)^'02 Oil Price Analysis'!BM$57)</f>
        <v>6450350.6723037334</v>
      </c>
      <c r="BN57" s="90">
        <f>IF('01 Major Assumptions'!BN$15=0,0,BN55*'01 Major Assumptions'!$D$104*'01 Major Assumptions'!BN$14/12*(1+'01 Major Assumptions'!$D$24)^'02 Oil Price Analysis'!BN$57)</f>
        <v>6634981.8351652399</v>
      </c>
      <c r="BO57" s="90">
        <f>IF('01 Major Assumptions'!BO$15=0,0,BO55*'01 Major Assumptions'!$D$104*'01 Major Assumptions'!BO$14/12*(1+'01 Major Assumptions'!$D$24)^'02 Oil Price Analysis'!BO$57)</f>
        <v>6822660.586216744</v>
      </c>
    </row>
    <row r="58" spans="1:67">
      <c r="A58" s="11"/>
      <c r="B58" s="11"/>
      <c r="C58" s="11" t="s">
        <v>417</v>
      </c>
      <c r="D58" s="33"/>
      <c r="E58" s="33"/>
      <c r="F58" s="10" t="s">
        <v>13</v>
      </c>
      <c r="G58" s="90">
        <f>IF('01 Major Assumptions'!G$15=0,0,'01 Major Assumptions'!$D$109*'01 Major Assumptions'!G$14*(1+'01 Major Assumptions'!$D$23)^'02 Oil Price Analysis'!G$57)</f>
        <v>0</v>
      </c>
      <c r="H58" s="90">
        <f>IF('01 Major Assumptions'!H$15=0,0,'01 Major Assumptions'!$D$109*'01 Major Assumptions'!H$14*(1+'01 Major Assumptions'!$D$23)^'02 Oil Price Analysis'!H$57)</f>
        <v>0</v>
      </c>
      <c r="I58" s="90">
        <f>IF('01 Major Assumptions'!I$15=0,0,'01 Major Assumptions'!$D$109*'01 Major Assumptions'!I$14*(1+'01 Major Assumptions'!$D$23)^'02 Oil Price Analysis'!I$57)</f>
        <v>0</v>
      </c>
      <c r="J58" s="90">
        <f>IF('01 Major Assumptions'!J$15=0,0,'01 Major Assumptions'!$D$109*'01 Major Assumptions'!J$14*(1+'01 Major Assumptions'!$D$23)^'02 Oil Price Analysis'!J$57)</f>
        <v>0</v>
      </c>
      <c r="K58" s="90">
        <f>IF('01 Major Assumptions'!K$15=0,0,'01 Major Assumptions'!$D$109*'01 Major Assumptions'!K$14*(1+'01 Major Assumptions'!$D$23)^'02 Oil Price Analysis'!K$57)</f>
        <v>0</v>
      </c>
      <c r="L58" s="90">
        <f>IF('01 Major Assumptions'!L$15=0,0,'01 Major Assumptions'!$D$109*'01 Major Assumptions'!L$14*(1+'01 Major Assumptions'!$D$23)^'02 Oil Price Analysis'!L$57)</f>
        <v>0</v>
      </c>
      <c r="M58" s="90">
        <f>IF('01 Major Assumptions'!M$15=0,0,'01 Major Assumptions'!$D$109*'01 Major Assumptions'!M$14*(1+'01 Major Assumptions'!$D$23)^'02 Oil Price Analysis'!M$57)</f>
        <v>0</v>
      </c>
      <c r="N58" s="90">
        <f>IF('01 Major Assumptions'!N$15=0,0,'01 Major Assumptions'!$D$109*'01 Major Assumptions'!N$14*(1+'01 Major Assumptions'!$D$23)^'02 Oil Price Analysis'!N$57)</f>
        <v>0</v>
      </c>
      <c r="O58" s="90">
        <f>IF('01 Major Assumptions'!O$15=0,0,'01 Major Assumptions'!$D$109*'01 Major Assumptions'!O$14*(1+'01 Major Assumptions'!$D$23)^'02 Oil Price Analysis'!O$57)</f>
        <v>0</v>
      </c>
      <c r="P58" s="90">
        <f>IF('01 Major Assumptions'!P$15=0,0,'01 Major Assumptions'!$D$109*'01 Major Assumptions'!P$14*(1+'01 Major Assumptions'!$D$23)^'02 Oil Price Analysis'!P$57)</f>
        <v>0</v>
      </c>
      <c r="Q58" s="90">
        <f>IF('01 Major Assumptions'!Q$15=0,0,'01 Major Assumptions'!$D$109*'01 Major Assumptions'!Q$14*(1+'01 Major Assumptions'!$D$23)^'02 Oil Price Analysis'!Q$57)</f>
        <v>0</v>
      </c>
      <c r="R58" s="90">
        <f>IF('01 Major Assumptions'!R$15=0,0,'01 Major Assumptions'!$D$109*'01 Major Assumptions'!R$14*(1+'01 Major Assumptions'!$D$23)^'02 Oil Price Analysis'!R$57)</f>
        <v>0</v>
      </c>
      <c r="S58" s="90">
        <f>IF('01 Major Assumptions'!S$15=0,0,'01 Major Assumptions'!$D$109*'01 Major Assumptions'!S$14*(1+'01 Major Assumptions'!$D$23)^'02 Oil Price Analysis'!S$57)</f>
        <v>0</v>
      </c>
      <c r="T58" s="90">
        <f>IF('01 Major Assumptions'!T$15=0,0,'01 Major Assumptions'!$D$109*'01 Major Assumptions'!T$14*(1+'01 Major Assumptions'!$D$23)^'02 Oil Price Analysis'!T$57)</f>
        <v>0</v>
      </c>
      <c r="U58" s="90">
        <f>IF('01 Major Assumptions'!U$15=0,0,'01 Major Assumptions'!$D$109*'01 Major Assumptions'!U$14*(1+'01 Major Assumptions'!$D$23)^'02 Oil Price Analysis'!U$57)</f>
        <v>0</v>
      </c>
      <c r="V58" s="90">
        <f>IF('01 Major Assumptions'!V$15=0,0,'01 Major Assumptions'!$D$109*'01 Major Assumptions'!V$14*(1+'01 Major Assumptions'!$D$23)^'02 Oil Price Analysis'!V$57)</f>
        <v>0</v>
      </c>
      <c r="W58" s="90">
        <f>IF('01 Major Assumptions'!W$15=0,0,'01 Major Assumptions'!$D$109*'01 Major Assumptions'!W$14*(1+'01 Major Assumptions'!$D$23)^'02 Oil Price Analysis'!W$57)</f>
        <v>0</v>
      </c>
      <c r="X58" s="90">
        <f>IF('01 Major Assumptions'!X$15=0,0,'01 Major Assumptions'!$D$109*'01 Major Assumptions'!X$14*(1+'01 Major Assumptions'!$D$23)^'02 Oil Price Analysis'!X$57)</f>
        <v>0</v>
      </c>
      <c r="Y58" s="90">
        <f>IF('01 Major Assumptions'!Y$15=0,0,'01 Major Assumptions'!$D$109*'01 Major Assumptions'!Y$14*(1+'01 Major Assumptions'!$D$23)^'02 Oil Price Analysis'!Y$57)</f>
        <v>0</v>
      </c>
      <c r="Z58" s="90">
        <f>IF('01 Major Assumptions'!Z$15=0,0,'01 Major Assumptions'!$D$109*'01 Major Assumptions'!Z$14*(1+'01 Major Assumptions'!$D$23)^'02 Oil Price Analysis'!Z$57)</f>
        <v>0</v>
      </c>
      <c r="AA58" s="90">
        <f>IF('01 Major Assumptions'!AA$15=0,0,'01 Major Assumptions'!$D$109*'01 Major Assumptions'!AA$14*(1+'01 Major Assumptions'!$D$23)^'02 Oil Price Analysis'!AA$57)</f>
        <v>0</v>
      </c>
      <c r="AB58" s="90">
        <f>IF('01 Major Assumptions'!AB$15=0,0,'01 Major Assumptions'!$D$109*'01 Major Assumptions'!AB$14*(1+'01 Major Assumptions'!$D$23)^'02 Oil Price Analysis'!AB$57)</f>
        <v>255749.99999999997</v>
      </c>
      <c r="AC58" s="90">
        <f>IF('01 Major Assumptions'!AC$15=0,0,'01 Major Assumptions'!$D$109*'01 Major Assumptions'!AC$14*(1+'01 Major Assumptions'!$D$23)^'02 Oil Price Analysis'!AC$57)</f>
        <v>255749.99999999997</v>
      </c>
      <c r="AD58" s="90">
        <f>IF('01 Major Assumptions'!AD$15=0,0,'01 Major Assumptions'!$D$109*'01 Major Assumptions'!AD$14*(1+'01 Major Assumptions'!$D$23)^'02 Oil Price Analysis'!AD$57)</f>
        <v>255749.99999999997</v>
      </c>
      <c r="AE58" s="90">
        <f>IF('01 Major Assumptions'!AE$15=0,0,'01 Major Assumptions'!$D$109*'01 Major Assumptions'!AE$14*(1+'01 Major Assumptions'!$D$23)^'02 Oil Price Analysis'!AE$57)</f>
        <v>261632.24999999994</v>
      </c>
      <c r="AF58" s="90">
        <f>IF('01 Major Assumptions'!AF$15=0,0,'01 Major Assumptions'!$D$109*'01 Major Assumptions'!AF$14*(1+'01 Major Assumptions'!$D$23)^'02 Oil Price Analysis'!AF$57)</f>
        <v>261632.24999999994</v>
      </c>
      <c r="AG58" s="90">
        <f>IF('01 Major Assumptions'!AG$15=0,0,'01 Major Assumptions'!$D$109*'01 Major Assumptions'!AG$14*(1+'01 Major Assumptions'!$D$23)^'02 Oil Price Analysis'!AG$57)</f>
        <v>261632.24999999994</v>
      </c>
      <c r="AH58" s="90">
        <f>IF('01 Major Assumptions'!AH$15=0,0,'01 Major Assumptions'!$D$109*'01 Major Assumptions'!AH$14*(1+'01 Major Assumptions'!$D$23)^'02 Oil Price Analysis'!AH$57)</f>
        <v>261632.24999999994</v>
      </c>
      <c r="AI58" s="90">
        <f>IF('01 Major Assumptions'!AI$15=0,0,'01 Major Assumptions'!$D$109*'01 Major Assumptions'!AI$14*(1+'01 Major Assumptions'!$D$23)^'02 Oil Price Analysis'!AI$57)</f>
        <v>261632.24999999994</v>
      </c>
      <c r="AJ58" s="90">
        <f>IF('01 Major Assumptions'!AJ$15=0,0,'01 Major Assumptions'!$D$109*'01 Major Assumptions'!AJ$14*(1+'01 Major Assumptions'!$D$23)^'02 Oil Price Analysis'!AJ$57)</f>
        <v>261632.24999999994</v>
      </c>
      <c r="AK58" s="90">
        <f>IF('01 Major Assumptions'!AK$15=0,0,'01 Major Assumptions'!$D$109*'01 Major Assumptions'!AK$14*(1+'01 Major Assumptions'!$D$23)^'02 Oil Price Analysis'!AK$57)</f>
        <v>261632.24999999994</v>
      </c>
      <c r="AL58" s="90">
        <f>IF('01 Major Assumptions'!AL$15=0,0,'01 Major Assumptions'!$D$109*'01 Major Assumptions'!AL$14*(1+'01 Major Assumptions'!$D$23)^'02 Oil Price Analysis'!AL$57)</f>
        <v>261632.24999999994</v>
      </c>
      <c r="AM58" s="90">
        <f>IF('01 Major Assumptions'!AM$15=0,0,'01 Major Assumptions'!$D$109*'01 Major Assumptions'!AM$14*(1+'01 Major Assumptions'!$D$23)^'02 Oil Price Analysis'!AM$57)</f>
        <v>261632.24999999994</v>
      </c>
      <c r="AN58" s="90">
        <f>IF('01 Major Assumptions'!AN$15=0,0,'01 Major Assumptions'!$D$109*'01 Major Assumptions'!AN$14*(1+'01 Major Assumptions'!$D$23)^'02 Oil Price Analysis'!AN$57)</f>
        <v>261632.24999999994</v>
      </c>
      <c r="AO58" s="90">
        <f>IF('01 Major Assumptions'!AO$15=0,0,'01 Major Assumptions'!$D$109*'01 Major Assumptions'!AO$14*(1+'01 Major Assumptions'!$D$23)^'02 Oil Price Analysis'!AO$57)</f>
        <v>261632.24999999994</v>
      </c>
      <c r="AP58" s="90">
        <f>IF('01 Major Assumptions'!AP$15=0,0,'01 Major Assumptions'!$D$109*'01 Major Assumptions'!AP$14*(1+'01 Major Assumptions'!$D$23)^'02 Oil Price Analysis'!AP$57)</f>
        <v>261632.24999999994</v>
      </c>
      <c r="AQ58" s="90">
        <f>IF('01 Major Assumptions'!AQ$15=0,0,'01 Major Assumptions'!$D$109*'01 Major Assumptions'!AQ$14*(1+'01 Major Assumptions'!$D$23)^'02 Oil Price Analysis'!AQ$57)</f>
        <v>267649.79174999992</v>
      </c>
      <c r="AR58" s="90">
        <f>IF('01 Major Assumptions'!AR$15=0,0,'01 Major Assumptions'!$D$109*'01 Major Assumptions'!AR$14*(1+'01 Major Assumptions'!$D$23)^'02 Oil Price Analysis'!AR$57)</f>
        <v>267649.79174999992</v>
      </c>
      <c r="AS58" s="90">
        <f>IF('01 Major Assumptions'!AS$15=0,0,'01 Major Assumptions'!$D$109*'01 Major Assumptions'!AS$14*(1+'01 Major Assumptions'!$D$23)^'02 Oil Price Analysis'!AS$57)</f>
        <v>267649.79174999992</v>
      </c>
      <c r="AT58" s="90">
        <f>IF('01 Major Assumptions'!AT$15=0,0,'01 Major Assumptions'!$D$109*'01 Major Assumptions'!AT$14*(1+'01 Major Assumptions'!$D$23)^'02 Oil Price Analysis'!AT$57)</f>
        <v>267649.79174999992</v>
      </c>
      <c r="AU58" s="90">
        <f>IF('01 Major Assumptions'!AU$15=0,0,'01 Major Assumptions'!$D$109*'01 Major Assumptions'!AU$14*(1+'01 Major Assumptions'!$D$23)^'02 Oil Price Analysis'!AU$57)</f>
        <v>267649.79174999992</v>
      </c>
      <c r="AV58" s="90">
        <f>IF('01 Major Assumptions'!AV$15=0,0,'01 Major Assumptions'!$D$109*'01 Major Assumptions'!AV$14*(1+'01 Major Assumptions'!$D$23)^'02 Oil Price Analysis'!AV$57)</f>
        <v>267649.79174999992</v>
      </c>
      <c r="AW58" s="90">
        <f>IF('01 Major Assumptions'!AW$15=0,0,'01 Major Assumptions'!$D$109*'01 Major Assumptions'!AW$14*(1+'01 Major Assumptions'!$D$23)^'02 Oil Price Analysis'!AW$57)</f>
        <v>267649.79174999992</v>
      </c>
      <c r="AX58" s="90">
        <f>IF('01 Major Assumptions'!AX$15=0,0,'01 Major Assumptions'!$D$109*'01 Major Assumptions'!AX$14*(1+'01 Major Assumptions'!$D$23)^'02 Oil Price Analysis'!AX$57)</f>
        <v>267649.79174999992</v>
      </c>
      <c r="AY58" s="90">
        <f>IF('01 Major Assumptions'!AY$15=0,0,'01 Major Assumptions'!$D$109*'01 Major Assumptions'!AY$14*(1+'01 Major Assumptions'!$D$23)^'02 Oil Price Analysis'!AY$57)</f>
        <v>267649.79174999992</v>
      </c>
      <c r="AZ58" s="90">
        <f>IF('01 Major Assumptions'!AZ$15=0,0,'01 Major Assumptions'!$D$109*'01 Major Assumptions'!AZ$14*(1+'01 Major Assumptions'!$D$23)^'02 Oil Price Analysis'!AZ$57)</f>
        <v>267649.79174999992</v>
      </c>
      <c r="BA58" s="90">
        <f>IF('01 Major Assumptions'!BA$15=0,0,'01 Major Assumptions'!$D$109*'01 Major Assumptions'!BA$14*(1+'01 Major Assumptions'!$D$23)^'02 Oil Price Analysis'!BA$57)</f>
        <v>267649.79174999992</v>
      </c>
      <c r="BB58" s="90">
        <f>IF('01 Major Assumptions'!BB$15=0,0,'01 Major Assumptions'!$D$109*'01 Major Assumptions'!BB$14*(1+'01 Major Assumptions'!$D$23)^'02 Oil Price Analysis'!BB$57)</f>
        <v>267649.79174999992</v>
      </c>
      <c r="BC58" s="90">
        <f>IF('01 Major Assumptions'!BC$15=0,0,'01 Major Assumptions'!$D$109*'01 Major Assumptions'!BC$14*(1+'01 Major Assumptions'!$D$23)^'02 Oil Price Analysis'!BC$57)</f>
        <v>273805.73696024989</v>
      </c>
      <c r="BD58" s="90">
        <f>IF('01 Major Assumptions'!BD$15=0,0,'01 Major Assumptions'!$D$109*'01 Major Assumptions'!BD$14*(1+'01 Major Assumptions'!$D$23)^'02 Oil Price Analysis'!BD$57)</f>
        <v>273805.73696024989</v>
      </c>
      <c r="BE58" s="90">
        <f>IF('01 Major Assumptions'!BE$15=0,0,'01 Major Assumptions'!$D$109*'01 Major Assumptions'!BE$14*(1+'01 Major Assumptions'!$D$23)^'02 Oil Price Analysis'!BE$57)</f>
        <v>273805.73696024989</v>
      </c>
      <c r="BF58" s="90">
        <f>IF('01 Major Assumptions'!BF$15=0,0,'01 Major Assumptions'!$D$109*'01 Major Assumptions'!BF$14*(1+'01 Major Assumptions'!$D$23)^'02 Oil Price Analysis'!BF$57)</f>
        <v>273805.73696024989</v>
      </c>
      <c r="BG58" s="90">
        <f>IF('01 Major Assumptions'!BG$15=0,0,'01 Major Assumptions'!$D$109*'01 Major Assumptions'!BG$14*(1+'01 Major Assumptions'!$D$23)^'02 Oil Price Analysis'!BG$57)</f>
        <v>273805.73696024989</v>
      </c>
      <c r="BH58" s="90">
        <f>IF('01 Major Assumptions'!BH$15=0,0,'01 Major Assumptions'!$D$109*'01 Major Assumptions'!BH$14*(1+'01 Major Assumptions'!$D$23)^'02 Oil Price Analysis'!BH$57)</f>
        <v>273805.73696024989</v>
      </c>
      <c r="BI58" s="90">
        <f>IF('01 Major Assumptions'!BI$15=0,0,'01 Major Assumptions'!$D$109*'01 Major Assumptions'!BI$14*(1+'01 Major Assumptions'!$D$23)^'02 Oil Price Analysis'!BI$57)</f>
        <v>3361239.2269240273</v>
      </c>
      <c r="BJ58" s="90">
        <f>IF('01 Major Assumptions'!BJ$15=0,0,'01 Major Assumptions'!$D$109*'01 Major Assumptions'!BJ$14*(1+'01 Major Assumptions'!$D$23)^'02 Oil Price Analysis'!BJ$57)</f>
        <v>3438547.7291432801</v>
      </c>
      <c r="BK58" s="90">
        <f>IF('01 Major Assumptions'!BK$15=0,0,'01 Major Assumptions'!$D$109*'01 Major Assumptions'!BK$14*(1+'01 Major Assumptions'!$D$23)^'02 Oil Price Analysis'!BK$57)</f>
        <v>3517634.3269135747</v>
      </c>
      <c r="BL58" s="90">
        <f>IF('01 Major Assumptions'!BL$15=0,0,'01 Major Assumptions'!$D$109*'01 Major Assumptions'!BL$14*(1+'01 Major Assumptions'!$D$23)^'02 Oil Price Analysis'!BL$57)</f>
        <v>3598539.9164325865</v>
      </c>
      <c r="BM58" s="90">
        <f>IF('01 Major Assumptions'!BM$15=0,0,'01 Major Assumptions'!$D$109*'01 Major Assumptions'!BM$14*(1+'01 Major Assumptions'!$D$23)^'02 Oil Price Analysis'!BM$57)</f>
        <v>3681306.3345105355</v>
      </c>
      <c r="BN58" s="90">
        <f>IF('01 Major Assumptions'!BN$15=0,0,'01 Major Assumptions'!$D$109*'01 Major Assumptions'!BN$14*(1+'01 Major Assumptions'!$D$23)^'02 Oil Price Analysis'!BN$57)</f>
        <v>3765976.3802042776</v>
      </c>
      <c r="BO58" s="90">
        <f>IF('01 Major Assumptions'!BO$15=0,0,'01 Major Assumptions'!$D$109*'01 Major Assumptions'!BO$14*(1+'01 Major Assumptions'!$D$23)^'02 Oil Price Analysis'!BO$57)</f>
        <v>3852593.8369489759</v>
      </c>
    </row>
    <row r="59" spans="1:67">
      <c r="A59" s="11"/>
      <c r="B59" s="22" t="s">
        <v>418</v>
      </c>
      <c r="C59" s="11"/>
      <c r="D59" s="33"/>
      <c r="E59" s="33"/>
      <c r="F59" s="10" t="s">
        <v>13</v>
      </c>
      <c r="G59" s="89">
        <f>SUM(G56:G58)</f>
        <v>0</v>
      </c>
      <c r="H59" s="89">
        <f t="shared" ref="H59:BI59" si="53">SUM(H56:H58)</f>
        <v>0</v>
      </c>
      <c r="I59" s="89">
        <f t="shared" si="53"/>
        <v>0</v>
      </c>
      <c r="J59" s="89">
        <f t="shared" si="53"/>
        <v>0</v>
      </c>
      <c r="K59" s="89">
        <f t="shared" si="53"/>
        <v>0</v>
      </c>
      <c r="L59" s="89">
        <f t="shared" si="53"/>
        <v>0</v>
      </c>
      <c r="M59" s="89">
        <f t="shared" si="53"/>
        <v>0</v>
      </c>
      <c r="N59" s="89">
        <f t="shared" si="53"/>
        <v>0</v>
      </c>
      <c r="O59" s="89">
        <f t="shared" si="53"/>
        <v>0</v>
      </c>
      <c r="P59" s="89">
        <f t="shared" si="53"/>
        <v>0</v>
      </c>
      <c r="Q59" s="89">
        <f t="shared" si="53"/>
        <v>0</v>
      </c>
      <c r="R59" s="89">
        <f t="shared" si="53"/>
        <v>0</v>
      </c>
      <c r="S59" s="89">
        <f t="shared" si="53"/>
        <v>0</v>
      </c>
      <c r="T59" s="89">
        <f t="shared" si="53"/>
        <v>0</v>
      </c>
      <c r="U59" s="89">
        <f t="shared" si="53"/>
        <v>0</v>
      </c>
      <c r="V59" s="89">
        <f t="shared" si="53"/>
        <v>0</v>
      </c>
      <c r="W59" s="89">
        <f t="shared" si="53"/>
        <v>0</v>
      </c>
      <c r="X59" s="89">
        <f t="shared" si="53"/>
        <v>0</v>
      </c>
      <c r="Y59" s="89">
        <f t="shared" si="53"/>
        <v>0</v>
      </c>
      <c r="Z59" s="89">
        <f t="shared" si="53"/>
        <v>0</v>
      </c>
      <c r="AA59" s="89">
        <f t="shared" si="53"/>
        <v>0</v>
      </c>
      <c r="AB59" s="89">
        <f t="shared" si="53"/>
        <v>2813101.5624999995</v>
      </c>
      <c r="AC59" s="89">
        <f t="shared" si="53"/>
        <v>2817678.1250000005</v>
      </c>
      <c r="AD59" s="89">
        <f t="shared" si="53"/>
        <v>2822254.6875</v>
      </c>
      <c r="AE59" s="89">
        <f t="shared" si="53"/>
        <v>2858424.3125</v>
      </c>
      <c r="AF59" s="89">
        <f t="shared" si="53"/>
        <v>2863046.640625</v>
      </c>
      <c r="AG59" s="89">
        <f t="shared" si="53"/>
        <v>2867668.96875</v>
      </c>
      <c r="AH59" s="89">
        <f t="shared" si="53"/>
        <v>2872291.296875</v>
      </c>
      <c r="AI59" s="89">
        <f t="shared" si="53"/>
        <v>2876913.625</v>
      </c>
      <c r="AJ59" s="89">
        <f t="shared" si="53"/>
        <v>2881535.953125</v>
      </c>
      <c r="AK59" s="89">
        <f t="shared" si="53"/>
        <v>2886158.28125</v>
      </c>
      <c r="AL59" s="89">
        <f t="shared" si="53"/>
        <v>2890780.609375</v>
      </c>
      <c r="AM59" s="89">
        <f t="shared" si="53"/>
        <v>2895402.9375</v>
      </c>
      <c r="AN59" s="89">
        <f t="shared" si="53"/>
        <v>2900025.265625</v>
      </c>
      <c r="AO59" s="89">
        <f t="shared" si="53"/>
        <v>2904647.59375</v>
      </c>
      <c r="AP59" s="89">
        <f t="shared" si="53"/>
        <v>2909269.921875</v>
      </c>
      <c r="AQ59" s="89">
        <f t="shared" si="53"/>
        <v>2946432.3917499995</v>
      </c>
      <c r="AR59" s="89">
        <f t="shared" si="53"/>
        <v>2951100.9431562498</v>
      </c>
      <c r="AS59" s="89">
        <f t="shared" si="53"/>
        <v>2955769.4945624992</v>
      </c>
      <c r="AT59" s="89">
        <f t="shared" si="53"/>
        <v>2960438.0459687496</v>
      </c>
      <c r="AU59" s="89">
        <f t="shared" si="53"/>
        <v>2965106.5973749999</v>
      </c>
      <c r="AV59" s="89">
        <f t="shared" si="53"/>
        <v>2969775.1487812498</v>
      </c>
      <c r="AW59" s="89">
        <f t="shared" si="53"/>
        <v>2974443.7001874992</v>
      </c>
      <c r="AX59" s="89">
        <f t="shared" si="53"/>
        <v>2979112.25159375</v>
      </c>
      <c r="AY59" s="89">
        <f t="shared" si="53"/>
        <v>2983780.8029999998</v>
      </c>
      <c r="AZ59" s="89">
        <f t="shared" si="53"/>
        <v>2988449.3544062497</v>
      </c>
      <c r="BA59" s="89">
        <f t="shared" si="53"/>
        <v>2993117.9058124996</v>
      </c>
      <c r="BB59" s="89">
        <f t="shared" si="53"/>
        <v>2997786.4572187494</v>
      </c>
      <c r="BC59" s="89">
        <f t="shared" si="53"/>
        <v>3035959.0060040001</v>
      </c>
      <c r="BD59" s="89">
        <f t="shared" si="53"/>
        <v>3040674.2429243126</v>
      </c>
      <c r="BE59" s="89">
        <f t="shared" si="53"/>
        <v>3045389.4798446251</v>
      </c>
      <c r="BF59" s="89">
        <f t="shared" si="53"/>
        <v>3050104.7167649372</v>
      </c>
      <c r="BG59" s="89">
        <f t="shared" si="53"/>
        <v>3054819.9536852501</v>
      </c>
      <c r="BH59" s="89">
        <f t="shared" si="53"/>
        <v>3059535.1906055626</v>
      </c>
      <c r="BI59" s="89">
        <f t="shared" si="53"/>
        <v>37810064.262795463</v>
      </c>
      <c r="BJ59" s="89">
        <f t="shared" ref="BJ59" si="54">SUM(BJ56:BJ58)</f>
        <v>38924502.913640589</v>
      </c>
      <c r="BK59" s="89">
        <f t="shared" ref="BK59" si="55">SUM(BK56:BK58)</f>
        <v>40058017.380505674</v>
      </c>
      <c r="BL59" s="89">
        <f t="shared" ref="BL59" si="56">SUM(BL56:BL58)</f>
        <v>41210890.800982937</v>
      </c>
      <c r="BM59" s="89">
        <f t="shared" ref="BM59" si="57">SUM(BM56:BM58)</f>
        <v>42383410.368332937</v>
      </c>
      <c r="BN59" s="89">
        <f t="shared" ref="BN59" si="58">SUM(BN56:BN58)</f>
        <v>43575867.391195714</v>
      </c>
      <c r="BO59" s="89">
        <f t="shared" ref="BO59" si="59">SUM(BO56:BO58)</f>
        <v>44788557.354249433</v>
      </c>
    </row>
    <row r="60" spans="1:67">
      <c r="A60" s="11"/>
      <c r="B60" s="11"/>
      <c r="C60" s="11"/>
      <c r="D60" s="33"/>
      <c r="E60" s="33"/>
      <c r="F60" s="4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row>
    <row r="61" spans="1:67">
      <c r="A61" s="18" t="s">
        <v>1670</v>
      </c>
      <c r="B61" s="18"/>
      <c r="C61" s="18"/>
      <c r="D61" s="39"/>
      <c r="E61" s="39"/>
      <c r="F61" s="39"/>
      <c r="G61" s="40"/>
      <c r="H61" s="40"/>
      <c r="I61" s="40"/>
      <c r="J61" s="40"/>
      <c r="K61" s="40"/>
      <c r="L61" s="40"/>
      <c r="M61" s="40"/>
      <c r="N61" s="40"/>
      <c r="O61" s="40"/>
      <c r="P61" s="40"/>
      <c r="Q61" s="40"/>
      <c r="R61" s="40"/>
      <c r="S61" s="40"/>
      <c r="T61" s="40"/>
      <c r="U61" s="40"/>
      <c r="V61" s="40"/>
      <c r="W61" s="40"/>
      <c r="X61" s="40"/>
      <c r="Y61" s="40"/>
      <c r="Z61" s="40"/>
      <c r="AA61" s="40"/>
      <c r="AB61" s="40"/>
      <c r="AC61" s="40"/>
      <c r="AD61" s="40"/>
      <c r="AE61" s="40"/>
      <c r="AF61" s="40"/>
      <c r="AG61" s="40"/>
      <c r="AH61" s="40"/>
      <c r="AI61" s="40"/>
      <c r="AJ61" s="40"/>
      <c r="AK61" s="40"/>
      <c r="AL61" s="40"/>
      <c r="AM61" s="40"/>
      <c r="AN61" s="40"/>
      <c r="AO61" s="40"/>
      <c r="AP61" s="40"/>
      <c r="AQ61" s="40"/>
      <c r="AR61" s="40"/>
      <c r="AS61" s="40"/>
      <c r="AT61" s="40"/>
      <c r="AU61" s="40"/>
      <c r="AV61" s="40"/>
      <c r="AW61" s="40"/>
      <c r="AX61" s="40"/>
      <c r="AY61" s="40"/>
      <c r="AZ61" s="40"/>
      <c r="BA61" s="40"/>
      <c r="BB61" s="40"/>
      <c r="BC61" s="40"/>
      <c r="BD61" s="40"/>
      <c r="BE61" s="40"/>
      <c r="BF61" s="40"/>
      <c r="BG61" s="40"/>
      <c r="BH61" s="40"/>
      <c r="BI61" s="40"/>
      <c r="BJ61" s="40"/>
      <c r="BK61" s="40"/>
      <c r="BL61" s="40"/>
      <c r="BM61" s="40"/>
      <c r="BN61" s="40"/>
      <c r="BO61" s="40"/>
    </row>
    <row r="62" spans="1:67">
      <c r="A62" s="11"/>
      <c r="B62" s="11"/>
      <c r="C62" s="11" t="s">
        <v>419</v>
      </c>
      <c r="D62" s="33"/>
      <c r="E62" s="33"/>
      <c r="F62" s="10" t="s">
        <v>175</v>
      </c>
      <c r="G62" s="90">
        <f>(1+'01 Major Assumptions'!$D$60)^INT('02 Oil Price Analysis'!G$57/'01 Major Assumptions'!$D$61)</f>
        <v>1</v>
      </c>
      <c r="H62" s="90">
        <f>(1+'01 Major Assumptions'!$D$60)^INT('02 Oil Price Analysis'!H$57/'01 Major Assumptions'!$D$61)</f>
        <v>1</v>
      </c>
      <c r="I62" s="90">
        <f>(1+'01 Major Assumptions'!$D$60)^INT('02 Oil Price Analysis'!I$57/'01 Major Assumptions'!$D$61)</f>
        <v>1</v>
      </c>
      <c r="J62" s="90">
        <f>(1+'01 Major Assumptions'!$D$60)^INT('02 Oil Price Analysis'!J$57/'01 Major Assumptions'!$D$61)</f>
        <v>1</v>
      </c>
      <c r="K62" s="90">
        <f>(1+'01 Major Assumptions'!$D$60)^INT('02 Oil Price Analysis'!K$57/'01 Major Assumptions'!$D$61)</f>
        <v>1</v>
      </c>
      <c r="L62" s="90">
        <f>(1+'01 Major Assumptions'!$D$60)^INT('02 Oil Price Analysis'!L$57/'01 Major Assumptions'!$D$61)</f>
        <v>1</v>
      </c>
      <c r="M62" s="90">
        <f>(1+'01 Major Assumptions'!$D$60)^INT('02 Oil Price Analysis'!M$57/'01 Major Assumptions'!$D$61)</f>
        <v>1</v>
      </c>
      <c r="N62" s="90">
        <f>(1+'01 Major Assumptions'!$D$60)^INT('02 Oil Price Analysis'!N$57/'01 Major Assumptions'!$D$61)</f>
        <v>1</v>
      </c>
      <c r="O62" s="90">
        <f>(1+'01 Major Assumptions'!$D$60)^INT('02 Oil Price Analysis'!O$57/'01 Major Assumptions'!$D$61)</f>
        <v>1</v>
      </c>
      <c r="P62" s="90">
        <f>(1+'01 Major Assumptions'!$D$60)^INT('02 Oil Price Analysis'!P$57/'01 Major Assumptions'!$D$61)</f>
        <v>1</v>
      </c>
      <c r="Q62" s="90">
        <f>(1+'01 Major Assumptions'!$D$60)^INT('02 Oil Price Analysis'!Q$57/'01 Major Assumptions'!$D$61)</f>
        <v>1</v>
      </c>
      <c r="R62" s="90">
        <f>(1+'01 Major Assumptions'!$D$60)^INT('02 Oil Price Analysis'!R$57/'01 Major Assumptions'!$D$61)</f>
        <v>1</v>
      </c>
      <c r="S62" s="90">
        <f>(1+'01 Major Assumptions'!$D$60)^INT('02 Oil Price Analysis'!S$57/'01 Major Assumptions'!$D$61)</f>
        <v>1</v>
      </c>
      <c r="T62" s="90">
        <f>(1+'01 Major Assumptions'!$D$60)^INT('02 Oil Price Analysis'!T$57/'01 Major Assumptions'!$D$61)</f>
        <v>1</v>
      </c>
      <c r="U62" s="90">
        <f>(1+'01 Major Assumptions'!$D$60)^INT('02 Oil Price Analysis'!U$57/'01 Major Assumptions'!$D$61)</f>
        <v>1</v>
      </c>
      <c r="V62" s="90">
        <f>(1+'01 Major Assumptions'!$D$60)^INT('02 Oil Price Analysis'!V$57/'01 Major Assumptions'!$D$61)</f>
        <v>1</v>
      </c>
      <c r="W62" s="90">
        <f>(1+'01 Major Assumptions'!$D$60)^INT('02 Oil Price Analysis'!W$57/'01 Major Assumptions'!$D$61)</f>
        <v>1</v>
      </c>
      <c r="X62" s="90">
        <f>(1+'01 Major Assumptions'!$D$60)^INT('02 Oil Price Analysis'!X$57/'01 Major Assumptions'!$D$61)</f>
        <v>1</v>
      </c>
      <c r="Y62" s="90">
        <f>(1+'01 Major Assumptions'!$D$60)^INT('02 Oil Price Analysis'!Y$57/'01 Major Assumptions'!$D$61)</f>
        <v>1</v>
      </c>
      <c r="Z62" s="90">
        <f>(1+'01 Major Assumptions'!$D$60)^INT('02 Oil Price Analysis'!Z$57/'01 Major Assumptions'!$D$61)</f>
        <v>1</v>
      </c>
      <c r="AA62" s="90">
        <f>(1+'01 Major Assumptions'!$D$60)^INT('02 Oil Price Analysis'!AA$57/'01 Major Assumptions'!$D$61)</f>
        <v>1</v>
      </c>
      <c r="AB62" s="90">
        <f>(1+'01 Major Assumptions'!$D$60)^INT('02 Oil Price Analysis'!AB$57/'01 Major Assumptions'!$D$61)</f>
        <v>1</v>
      </c>
      <c r="AC62" s="90">
        <f>(1+'01 Major Assumptions'!$D$60)^INT('02 Oil Price Analysis'!AC$57/'01 Major Assumptions'!$D$61)</f>
        <v>1</v>
      </c>
      <c r="AD62" s="90">
        <f>(1+'01 Major Assumptions'!$D$60)^INT('02 Oil Price Analysis'!AD$57/'01 Major Assumptions'!$D$61)</f>
        <v>1</v>
      </c>
      <c r="AE62" s="90">
        <f>(1+'01 Major Assumptions'!$D$60)^INT('02 Oil Price Analysis'!AE$57/'01 Major Assumptions'!$D$61)</f>
        <v>1</v>
      </c>
      <c r="AF62" s="90">
        <f>(1+'01 Major Assumptions'!$D$60)^INT('02 Oil Price Analysis'!AF$57/'01 Major Assumptions'!$D$61)</f>
        <v>1</v>
      </c>
      <c r="AG62" s="90">
        <f>(1+'01 Major Assumptions'!$D$60)^INT('02 Oil Price Analysis'!AG$57/'01 Major Assumptions'!$D$61)</f>
        <v>1</v>
      </c>
      <c r="AH62" s="90">
        <f>(1+'01 Major Assumptions'!$D$60)^INT('02 Oil Price Analysis'!AH$57/'01 Major Assumptions'!$D$61)</f>
        <v>1</v>
      </c>
      <c r="AI62" s="90">
        <f>(1+'01 Major Assumptions'!$D$60)^INT('02 Oil Price Analysis'!AI$57/'01 Major Assumptions'!$D$61)</f>
        <v>1</v>
      </c>
      <c r="AJ62" s="90">
        <f>(1+'01 Major Assumptions'!$D$60)^INT('02 Oil Price Analysis'!AJ$57/'01 Major Assumptions'!$D$61)</f>
        <v>1</v>
      </c>
      <c r="AK62" s="90">
        <f>(1+'01 Major Assumptions'!$D$60)^INT('02 Oil Price Analysis'!AK$57/'01 Major Assumptions'!$D$61)</f>
        <v>1</v>
      </c>
      <c r="AL62" s="90">
        <f>(1+'01 Major Assumptions'!$D$60)^INT('02 Oil Price Analysis'!AL$57/'01 Major Assumptions'!$D$61)</f>
        <v>1</v>
      </c>
      <c r="AM62" s="90">
        <f>(1+'01 Major Assumptions'!$D$60)^INT('02 Oil Price Analysis'!AM$57/'01 Major Assumptions'!$D$61)</f>
        <v>1</v>
      </c>
      <c r="AN62" s="90">
        <f>(1+'01 Major Assumptions'!$D$60)^INT('02 Oil Price Analysis'!AN$57/'01 Major Assumptions'!$D$61)</f>
        <v>1</v>
      </c>
      <c r="AO62" s="90">
        <f>(1+'01 Major Assumptions'!$D$60)^INT('02 Oil Price Analysis'!AO$57/'01 Major Assumptions'!$D$61)</f>
        <v>1</v>
      </c>
      <c r="AP62" s="90">
        <f>(1+'01 Major Assumptions'!$D$60)^INT('02 Oil Price Analysis'!AP$57/'01 Major Assumptions'!$D$61)</f>
        <v>1</v>
      </c>
      <c r="AQ62" s="90">
        <f>(1+'01 Major Assumptions'!$D$60)^INT('02 Oil Price Analysis'!AQ$57/'01 Major Assumptions'!$D$61)</f>
        <v>1</v>
      </c>
      <c r="AR62" s="90">
        <f>(1+'01 Major Assumptions'!$D$60)^INT('02 Oil Price Analysis'!AR$57/'01 Major Assumptions'!$D$61)</f>
        <v>1</v>
      </c>
      <c r="AS62" s="90">
        <f>(1+'01 Major Assumptions'!$D$60)^INT('02 Oil Price Analysis'!AS$57/'01 Major Assumptions'!$D$61)</f>
        <v>1</v>
      </c>
      <c r="AT62" s="90">
        <f>(1+'01 Major Assumptions'!$D$60)^INT('02 Oil Price Analysis'!AT$57/'01 Major Assumptions'!$D$61)</f>
        <v>1</v>
      </c>
      <c r="AU62" s="90">
        <f>(1+'01 Major Assumptions'!$D$60)^INT('02 Oil Price Analysis'!AU$57/'01 Major Assumptions'!$D$61)</f>
        <v>1</v>
      </c>
      <c r="AV62" s="90">
        <f>(1+'01 Major Assumptions'!$D$60)^INT('02 Oil Price Analysis'!AV$57/'01 Major Assumptions'!$D$61)</f>
        <v>1</v>
      </c>
      <c r="AW62" s="90">
        <f>(1+'01 Major Assumptions'!$D$60)^INT('02 Oil Price Analysis'!AW$57/'01 Major Assumptions'!$D$61)</f>
        <v>1</v>
      </c>
      <c r="AX62" s="90">
        <f>(1+'01 Major Assumptions'!$D$60)^INT('02 Oil Price Analysis'!AX$57/'01 Major Assumptions'!$D$61)</f>
        <v>1</v>
      </c>
      <c r="AY62" s="90">
        <f>(1+'01 Major Assumptions'!$D$60)^INT('02 Oil Price Analysis'!AY$57/'01 Major Assumptions'!$D$61)</f>
        <v>1</v>
      </c>
      <c r="AZ62" s="90">
        <f>(1+'01 Major Assumptions'!$D$60)^INT('02 Oil Price Analysis'!AZ$57/'01 Major Assumptions'!$D$61)</f>
        <v>1</v>
      </c>
      <c r="BA62" s="90">
        <f>(1+'01 Major Assumptions'!$D$60)^INT('02 Oil Price Analysis'!BA$57/'01 Major Assumptions'!$D$61)</f>
        <v>1</v>
      </c>
      <c r="BB62" s="90">
        <f>(1+'01 Major Assumptions'!$D$60)^INT('02 Oil Price Analysis'!BB$57/'01 Major Assumptions'!$D$61)</f>
        <v>1</v>
      </c>
      <c r="BC62" s="90">
        <f>(1+'01 Major Assumptions'!$D$60)^INT('02 Oil Price Analysis'!BC$57/'01 Major Assumptions'!$D$61)</f>
        <v>1</v>
      </c>
      <c r="BD62" s="90">
        <f>(1+'01 Major Assumptions'!$D$60)^INT('02 Oil Price Analysis'!BD$57/'01 Major Assumptions'!$D$61)</f>
        <v>1</v>
      </c>
      <c r="BE62" s="90">
        <f>(1+'01 Major Assumptions'!$D$60)^INT('02 Oil Price Analysis'!BE$57/'01 Major Assumptions'!$D$61)</f>
        <v>1</v>
      </c>
      <c r="BF62" s="90">
        <f>(1+'01 Major Assumptions'!$D$60)^INT('02 Oil Price Analysis'!BF$57/'01 Major Assumptions'!$D$61)</f>
        <v>1</v>
      </c>
      <c r="BG62" s="90">
        <f>(1+'01 Major Assumptions'!$D$60)^INT('02 Oil Price Analysis'!BG$57/'01 Major Assumptions'!$D$61)</f>
        <v>1</v>
      </c>
      <c r="BH62" s="90">
        <f>(1+'01 Major Assumptions'!$D$60)^INT('02 Oil Price Analysis'!BH$57/'01 Major Assumptions'!$D$61)</f>
        <v>1</v>
      </c>
      <c r="BI62" s="63">
        <f>(1+'01 Major Assumptions'!$D$60)^INT('02 Oil Price Analysis'!BI$57/'01 Major Assumptions'!$D$61)</f>
        <v>1.07</v>
      </c>
      <c r="BJ62" s="63">
        <f>(1+'01 Major Assumptions'!$D$60)^INT('02 Oil Price Analysis'!BJ$57/'01 Major Assumptions'!$D$61)</f>
        <v>1.07</v>
      </c>
      <c r="BK62" s="63">
        <f>(1+'01 Major Assumptions'!$D$60)^INT('02 Oil Price Analysis'!BK$57/'01 Major Assumptions'!$D$61)</f>
        <v>1.07</v>
      </c>
      <c r="BL62" s="63">
        <f>(1+'01 Major Assumptions'!$D$60)^INT('02 Oil Price Analysis'!BL$57/'01 Major Assumptions'!$D$61)</f>
        <v>1.07</v>
      </c>
      <c r="BM62" s="63">
        <f>(1+'01 Major Assumptions'!$D$60)^INT('02 Oil Price Analysis'!BM$57/'01 Major Assumptions'!$D$61)</f>
        <v>1.07</v>
      </c>
      <c r="BN62" s="63">
        <f>(1+'01 Major Assumptions'!$D$60)^INT('02 Oil Price Analysis'!BN$57/'01 Major Assumptions'!$D$61)</f>
        <v>1.1449</v>
      </c>
      <c r="BO62" s="63">
        <f>(1+'01 Major Assumptions'!$D$60)^INT('02 Oil Price Analysis'!BO$57/'01 Major Assumptions'!$D$61)</f>
        <v>1.1449</v>
      </c>
    </row>
    <row r="63" spans="1:67">
      <c r="A63" s="11"/>
      <c r="B63" s="11"/>
      <c r="C63" s="11" t="s">
        <v>420</v>
      </c>
      <c r="D63" s="33"/>
      <c r="E63" s="33"/>
      <c r="F63" s="10" t="s">
        <v>13</v>
      </c>
      <c r="G63" s="90">
        <f>IF('01 Major Assumptions'!G$15=0,0,'01 Major Assumptions'!$D$58*'01 Major Assumptions'!$D$59*'01 Major Assumptions'!G$14*G62)</f>
        <v>0</v>
      </c>
      <c r="H63" s="90">
        <f>IF('01 Major Assumptions'!H$15=0,0,'01 Major Assumptions'!$D$58*'01 Major Assumptions'!$D$59*'01 Major Assumptions'!H$14*H62)</f>
        <v>0</v>
      </c>
      <c r="I63" s="90">
        <f>IF('01 Major Assumptions'!I$15=0,0,'01 Major Assumptions'!$D$58*'01 Major Assumptions'!$D$59*'01 Major Assumptions'!I$14*I62)</f>
        <v>0</v>
      </c>
      <c r="J63" s="90">
        <f>IF('01 Major Assumptions'!J$15=0,0,'01 Major Assumptions'!$D$58*'01 Major Assumptions'!$D$59*'01 Major Assumptions'!J$14*J62)</f>
        <v>0</v>
      </c>
      <c r="K63" s="90">
        <f>IF('01 Major Assumptions'!K$15=0,0,'01 Major Assumptions'!$D$58*'01 Major Assumptions'!$D$59*'01 Major Assumptions'!K$14*K62)</f>
        <v>0</v>
      </c>
      <c r="L63" s="90">
        <f>IF('01 Major Assumptions'!L$15=0,0,'01 Major Assumptions'!$D$58*'01 Major Assumptions'!$D$59*'01 Major Assumptions'!L$14*L62)</f>
        <v>0</v>
      </c>
      <c r="M63" s="90">
        <f>IF('01 Major Assumptions'!M$15=0,0,'01 Major Assumptions'!$D$58*'01 Major Assumptions'!$D$59*'01 Major Assumptions'!M$14*M62)</f>
        <v>0</v>
      </c>
      <c r="N63" s="90">
        <f>IF('01 Major Assumptions'!N$15=0,0,'01 Major Assumptions'!$D$58*'01 Major Assumptions'!$D$59*'01 Major Assumptions'!N$14*N62)</f>
        <v>0</v>
      </c>
      <c r="O63" s="90">
        <f>IF('01 Major Assumptions'!O$15=0,0,'01 Major Assumptions'!$D$58*'01 Major Assumptions'!$D$59*'01 Major Assumptions'!O$14*O62)</f>
        <v>0</v>
      </c>
      <c r="P63" s="90">
        <f>IF('01 Major Assumptions'!P$15=0,0,'01 Major Assumptions'!$D$58*'01 Major Assumptions'!$D$59*'01 Major Assumptions'!P$14*P62)</f>
        <v>0</v>
      </c>
      <c r="Q63" s="90">
        <f>IF('01 Major Assumptions'!Q$15=0,0,'01 Major Assumptions'!$D$58*'01 Major Assumptions'!$D$59*'01 Major Assumptions'!Q$14*Q62)</f>
        <v>0</v>
      </c>
      <c r="R63" s="90">
        <f>IF('01 Major Assumptions'!R$15=0,0,'01 Major Assumptions'!$D$58*'01 Major Assumptions'!$D$59*'01 Major Assumptions'!R$14*R62)</f>
        <v>0</v>
      </c>
      <c r="S63" s="90">
        <f>IF('01 Major Assumptions'!S$15=0,0,'01 Major Assumptions'!$D$58*'01 Major Assumptions'!$D$59*'01 Major Assumptions'!S$14*S62)</f>
        <v>0</v>
      </c>
      <c r="T63" s="90">
        <f>IF('01 Major Assumptions'!T$15=0,0,'01 Major Assumptions'!$D$58*'01 Major Assumptions'!$D$59*'01 Major Assumptions'!T$14*T62)</f>
        <v>0</v>
      </c>
      <c r="U63" s="90">
        <f>IF('01 Major Assumptions'!U$15=0,0,'01 Major Assumptions'!$D$58*'01 Major Assumptions'!$D$59*'01 Major Assumptions'!U$14*U62)</f>
        <v>0</v>
      </c>
      <c r="V63" s="90">
        <f>IF('01 Major Assumptions'!V$15=0,0,'01 Major Assumptions'!$D$58*'01 Major Assumptions'!$D$59*'01 Major Assumptions'!V$14*V62)</f>
        <v>0</v>
      </c>
      <c r="W63" s="90">
        <f>IF('01 Major Assumptions'!W$15=0,0,'01 Major Assumptions'!$D$58*'01 Major Assumptions'!$D$59*'01 Major Assumptions'!W$14*W62)</f>
        <v>0</v>
      </c>
      <c r="X63" s="90">
        <f>IF('01 Major Assumptions'!X$15=0,0,'01 Major Assumptions'!$D$58*'01 Major Assumptions'!$D$59*'01 Major Assumptions'!X$14*X62)</f>
        <v>0</v>
      </c>
      <c r="Y63" s="90">
        <f>IF('01 Major Assumptions'!Y$15=0,0,'01 Major Assumptions'!$D$58*'01 Major Assumptions'!$D$59*'01 Major Assumptions'!Y$14*Y62)</f>
        <v>0</v>
      </c>
      <c r="Z63" s="90">
        <f>IF('01 Major Assumptions'!Z$15=0,0,'01 Major Assumptions'!$D$58*'01 Major Assumptions'!$D$59*'01 Major Assumptions'!Z$14*Z62)</f>
        <v>0</v>
      </c>
      <c r="AA63" s="90">
        <f>IF('01 Major Assumptions'!AA$15=0,0,'01 Major Assumptions'!$D$58*'01 Major Assumptions'!$D$59*'01 Major Assumptions'!AA$14*AA62)</f>
        <v>0</v>
      </c>
      <c r="AB63" s="90">
        <f>IF('01 Major Assumptions'!AB$15=0,0,'01 Major Assumptions'!$D$58*'01 Major Assumptions'!$D$59*'01 Major Assumptions'!AB$14*AB62)</f>
        <v>447000</v>
      </c>
      <c r="AC63" s="90">
        <f>IF('01 Major Assumptions'!AC$15=0,0,'01 Major Assumptions'!$D$58*'01 Major Assumptions'!$D$59*'01 Major Assumptions'!AC$14*AC62)</f>
        <v>447000</v>
      </c>
      <c r="AD63" s="90">
        <f>IF('01 Major Assumptions'!AD$15=0,0,'01 Major Assumptions'!$D$58*'01 Major Assumptions'!$D$59*'01 Major Assumptions'!AD$14*AD62)</f>
        <v>447000</v>
      </c>
      <c r="AE63" s="90">
        <f>IF('01 Major Assumptions'!AE$15=0,0,'01 Major Assumptions'!$D$58*'01 Major Assumptions'!$D$59*'01 Major Assumptions'!AE$14*AE62)</f>
        <v>447000</v>
      </c>
      <c r="AF63" s="90">
        <f>IF('01 Major Assumptions'!AF$15=0,0,'01 Major Assumptions'!$D$58*'01 Major Assumptions'!$D$59*'01 Major Assumptions'!AF$14*AF62)</f>
        <v>447000</v>
      </c>
      <c r="AG63" s="90">
        <f>IF('01 Major Assumptions'!AG$15=0,0,'01 Major Assumptions'!$D$58*'01 Major Assumptions'!$D$59*'01 Major Assumptions'!AG$14*AG62)</f>
        <v>447000</v>
      </c>
      <c r="AH63" s="90">
        <f>IF('01 Major Assumptions'!AH$15=0,0,'01 Major Assumptions'!$D$58*'01 Major Assumptions'!$D$59*'01 Major Assumptions'!AH$14*AH62)</f>
        <v>447000</v>
      </c>
      <c r="AI63" s="90">
        <f>IF('01 Major Assumptions'!AI$15=0,0,'01 Major Assumptions'!$D$58*'01 Major Assumptions'!$D$59*'01 Major Assumptions'!AI$14*AI62)</f>
        <v>447000</v>
      </c>
      <c r="AJ63" s="90">
        <f>IF('01 Major Assumptions'!AJ$15=0,0,'01 Major Assumptions'!$D$58*'01 Major Assumptions'!$D$59*'01 Major Assumptions'!AJ$14*AJ62)</f>
        <v>447000</v>
      </c>
      <c r="AK63" s="90">
        <f>IF('01 Major Assumptions'!AK$15=0,0,'01 Major Assumptions'!$D$58*'01 Major Assumptions'!$D$59*'01 Major Assumptions'!AK$14*AK62)</f>
        <v>447000</v>
      </c>
      <c r="AL63" s="90">
        <f>IF('01 Major Assumptions'!AL$15=0,0,'01 Major Assumptions'!$D$58*'01 Major Assumptions'!$D$59*'01 Major Assumptions'!AL$14*AL62)</f>
        <v>447000</v>
      </c>
      <c r="AM63" s="90">
        <f>IF('01 Major Assumptions'!AM$15=0,0,'01 Major Assumptions'!$D$58*'01 Major Assumptions'!$D$59*'01 Major Assumptions'!AM$14*AM62)</f>
        <v>447000</v>
      </c>
      <c r="AN63" s="90">
        <f>IF('01 Major Assumptions'!AN$15=0,0,'01 Major Assumptions'!$D$58*'01 Major Assumptions'!$D$59*'01 Major Assumptions'!AN$14*AN62)</f>
        <v>447000</v>
      </c>
      <c r="AO63" s="90">
        <f>IF('01 Major Assumptions'!AO$15=0,0,'01 Major Assumptions'!$D$58*'01 Major Assumptions'!$D$59*'01 Major Assumptions'!AO$14*AO62)</f>
        <v>447000</v>
      </c>
      <c r="AP63" s="90">
        <f>IF('01 Major Assumptions'!AP$15=0,0,'01 Major Assumptions'!$D$58*'01 Major Assumptions'!$D$59*'01 Major Assumptions'!AP$14*AP62)</f>
        <v>447000</v>
      </c>
      <c r="AQ63" s="90">
        <f>IF('01 Major Assumptions'!AQ$15=0,0,'01 Major Assumptions'!$D$58*'01 Major Assumptions'!$D$59*'01 Major Assumptions'!AQ$14*AQ62)</f>
        <v>447000</v>
      </c>
      <c r="AR63" s="90">
        <f>IF('01 Major Assumptions'!AR$15=0,0,'01 Major Assumptions'!$D$58*'01 Major Assumptions'!$D$59*'01 Major Assumptions'!AR$14*AR62)</f>
        <v>447000</v>
      </c>
      <c r="AS63" s="90">
        <f>IF('01 Major Assumptions'!AS$15=0,0,'01 Major Assumptions'!$D$58*'01 Major Assumptions'!$D$59*'01 Major Assumptions'!AS$14*AS62)</f>
        <v>447000</v>
      </c>
      <c r="AT63" s="90">
        <f>IF('01 Major Assumptions'!AT$15=0,0,'01 Major Assumptions'!$D$58*'01 Major Assumptions'!$D$59*'01 Major Assumptions'!AT$14*AT62)</f>
        <v>447000</v>
      </c>
      <c r="AU63" s="90">
        <f>IF('01 Major Assumptions'!AU$15=0,0,'01 Major Assumptions'!$D$58*'01 Major Assumptions'!$D$59*'01 Major Assumptions'!AU$14*AU62)</f>
        <v>447000</v>
      </c>
      <c r="AV63" s="90">
        <f>IF('01 Major Assumptions'!AV$15=0,0,'01 Major Assumptions'!$D$58*'01 Major Assumptions'!$D$59*'01 Major Assumptions'!AV$14*AV62)</f>
        <v>447000</v>
      </c>
      <c r="AW63" s="90">
        <f>IF('01 Major Assumptions'!AW$15=0,0,'01 Major Assumptions'!$D$58*'01 Major Assumptions'!$D$59*'01 Major Assumptions'!AW$14*AW62)</f>
        <v>447000</v>
      </c>
      <c r="AX63" s="90">
        <f>IF('01 Major Assumptions'!AX$15=0,0,'01 Major Assumptions'!$D$58*'01 Major Assumptions'!$D$59*'01 Major Assumptions'!AX$14*AX62)</f>
        <v>447000</v>
      </c>
      <c r="AY63" s="90">
        <f>IF('01 Major Assumptions'!AY$15=0,0,'01 Major Assumptions'!$D$58*'01 Major Assumptions'!$D$59*'01 Major Assumptions'!AY$14*AY62)</f>
        <v>447000</v>
      </c>
      <c r="AZ63" s="90">
        <f>IF('01 Major Assumptions'!AZ$15=0,0,'01 Major Assumptions'!$D$58*'01 Major Assumptions'!$D$59*'01 Major Assumptions'!AZ$14*AZ62)</f>
        <v>447000</v>
      </c>
      <c r="BA63" s="90">
        <f>IF('01 Major Assumptions'!BA$15=0,0,'01 Major Assumptions'!$D$58*'01 Major Assumptions'!$D$59*'01 Major Assumptions'!BA$14*BA62)</f>
        <v>447000</v>
      </c>
      <c r="BB63" s="90">
        <f>IF('01 Major Assumptions'!BB$15=0,0,'01 Major Assumptions'!$D$58*'01 Major Assumptions'!$D$59*'01 Major Assumptions'!BB$14*BB62)</f>
        <v>447000</v>
      </c>
      <c r="BC63" s="90">
        <f>IF('01 Major Assumptions'!BC$15=0,0,'01 Major Assumptions'!$D$58*'01 Major Assumptions'!$D$59*'01 Major Assumptions'!BC$14*BC62)</f>
        <v>447000</v>
      </c>
      <c r="BD63" s="90">
        <f>IF('01 Major Assumptions'!BD$15=0,0,'01 Major Assumptions'!$D$58*'01 Major Assumptions'!$D$59*'01 Major Assumptions'!BD$14*BD62)</f>
        <v>447000</v>
      </c>
      <c r="BE63" s="90">
        <f>IF('01 Major Assumptions'!BE$15=0,0,'01 Major Assumptions'!$D$58*'01 Major Assumptions'!$D$59*'01 Major Assumptions'!BE$14*BE62)</f>
        <v>447000</v>
      </c>
      <c r="BF63" s="90">
        <f>IF('01 Major Assumptions'!BF$15=0,0,'01 Major Assumptions'!$D$58*'01 Major Assumptions'!$D$59*'01 Major Assumptions'!BF$14*BF62)</f>
        <v>447000</v>
      </c>
      <c r="BG63" s="90">
        <f>IF('01 Major Assumptions'!BG$15=0,0,'01 Major Assumptions'!$D$58*'01 Major Assumptions'!$D$59*'01 Major Assumptions'!BG$14*BG62)</f>
        <v>447000</v>
      </c>
      <c r="BH63" s="90">
        <f>IF('01 Major Assumptions'!BH$15=0,0,'01 Major Assumptions'!$D$58*'01 Major Assumptions'!$D$59*'01 Major Assumptions'!BH$14*BH62)</f>
        <v>447000</v>
      </c>
      <c r="BI63" s="90">
        <f>IF('01 Major Assumptions'!BI$15=0,0,'01 Major Assumptions'!$D$58*'01 Major Assumptions'!$D$59*'01 Major Assumptions'!BI$14*BI62)</f>
        <v>5739480</v>
      </c>
      <c r="BJ63" s="90">
        <f>IF('01 Major Assumptions'!BJ$15=0,0,'01 Major Assumptions'!$D$58*'01 Major Assumptions'!$D$59*'01 Major Assumptions'!BJ$14*BJ62)</f>
        <v>5739480</v>
      </c>
      <c r="BK63" s="90">
        <f>IF('01 Major Assumptions'!BK$15=0,0,'01 Major Assumptions'!$D$58*'01 Major Assumptions'!$D$59*'01 Major Assumptions'!BK$14*BK62)</f>
        <v>5739480</v>
      </c>
      <c r="BL63" s="90">
        <f>IF('01 Major Assumptions'!BL$15=0,0,'01 Major Assumptions'!$D$58*'01 Major Assumptions'!$D$59*'01 Major Assumptions'!BL$14*BL62)</f>
        <v>5739480</v>
      </c>
      <c r="BM63" s="90">
        <f>IF('01 Major Assumptions'!BM$15=0,0,'01 Major Assumptions'!$D$58*'01 Major Assumptions'!$D$59*'01 Major Assumptions'!BM$14*BM62)</f>
        <v>5739480</v>
      </c>
      <c r="BN63" s="90">
        <f>IF('01 Major Assumptions'!BN$15=0,0,'01 Major Assumptions'!$D$58*'01 Major Assumptions'!$D$59*'01 Major Assumptions'!BN$14*BN62)</f>
        <v>6141243.6000000006</v>
      </c>
      <c r="BO63" s="90">
        <f>IF('01 Major Assumptions'!BO$15=0,0,'01 Major Assumptions'!$D$58*'01 Major Assumptions'!$D$59*'01 Major Assumptions'!BO$14*BO62)</f>
        <v>6141243.6000000006</v>
      </c>
    </row>
    <row r="64" spans="1:67">
      <c r="A64" s="11"/>
      <c r="B64" s="11"/>
      <c r="C64" s="11" t="s">
        <v>1689</v>
      </c>
      <c r="D64" s="33"/>
      <c r="E64" s="33"/>
      <c r="F64" s="10" t="s">
        <v>13</v>
      </c>
      <c r="G64" s="90">
        <f>IF('01 Major Assumptions'!G$15=0,0,'01 Major Assumptions'!$D$64/('01 Major Assumptions'!$D$61*12)*'01 Major Assumptions'!G$14*G62)</f>
        <v>0</v>
      </c>
      <c r="H64" s="90">
        <f>IF('01 Major Assumptions'!H$15=0,0,'01 Major Assumptions'!$D$64/('01 Major Assumptions'!$D$61*12)*'01 Major Assumptions'!H$14*H62)</f>
        <v>0</v>
      </c>
      <c r="I64" s="90">
        <f>IF('01 Major Assumptions'!I$15=0,0,'01 Major Assumptions'!$D$64/('01 Major Assumptions'!$D$61*12)*'01 Major Assumptions'!I$14*I62)</f>
        <v>0</v>
      </c>
      <c r="J64" s="90">
        <f>IF('01 Major Assumptions'!J$15=0,0,'01 Major Assumptions'!$D$64/('01 Major Assumptions'!$D$61*12)*'01 Major Assumptions'!J$14*J62)</f>
        <v>0</v>
      </c>
      <c r="K64" s="90">
        <f>IF('01 Major Assumptions'!K$15=0,0,'01 Major Assumptions'!$D$64/('01 Major Assumptions'!$D$61*12)*'01 Major Assumptions'!K$14*K62)</f>
        <v>0</v>
      </c>
      <c r="L64" s="90">
        <f>IF('01 Major Assumptions'!L$15=0,0,'01 Major Assumptions'!$D$64/('01 Major Assumptions'!$D$61*12)*'01 Major Assumptions'!L$14*L62)</f>
        <v>0</v>
      </c>
      <c r="M64" s="90">
        <f>IF('01 Major Assumptions'!M$15=0,0,'01 Major Assumptions'!$D$64/('01 Major Assumptions'!$D$61*12)*'01 Major Assumptions'!M$14*M62)</f>
        <v>0</v>
      </c>
      <c r="N64" s="90">
        <f>IF('01 Major Assumptions'!N$15=0,0,'01 Major Assumptions'!$D$64/('01 Major Assumptions'!$D$61*12)*'01 Major Assumptions'!N$14*N62)</f>
        <v>0</v>
      </c>
      <c r="O64" s="90">
        <f>IF('01 Major Assumptions'!O$15=0,0,'01 Major Assumptions'!$D$64/('01 Major Assumptions'!$D$61*12)*'01 Major Assumptions'!O$14*O62)</f>
        <v>0</v>
      </c>
      <c r="P64" s="90">
        <f>IF('01 Major Assumptions'!P$15=0,0,'01 Major Assumptions'!$D$64/('01 Major Assumptions'!$D$61*12)*'01 Major Assumptions'!P$14*P62)</f>
        <v>0</v>
      </c>
      <c r="Q64" s="90">
        <f>IF('01 Major Assumptions'!Q$15=0,0,'01 Major Assumptions'!$D$64/('01 Major Assumptions'!$D$61*12)*'01 Major Assumptions'!Q$14*Q62)</f>
        <v>0</v>
      </c>
      <c r="R64" s="90">
        <f>IF('01 Major Assumptions'!R$15=0,0,'01 Major Assumptions'!$D$64/('01 Major Assumptions'!$D$61*12)*'01 Major Assumptions'!R$14*R62)</f>
        <v>0</v>
      </c>
      <c r="S64" s="90">
        <f>IF('01 Major Assumptions'!S$15=0,0,'01 Major Assumptions'!$D$64/('01 Major Assumptions'!$D$61*12)*'01 Major Assumptions'!S$14*S62)</f>
        <v>0</v>
      </c>
      <c r="T64" s="90">
        <f>IF('01 Major Assumptions'!T$15=0,0,'01 Major Assumptions'!$D$64/('01 Major Assumptions'!$D$61*12)*'01 Major Assumptions'!T$14*T62)</f>
        <v>0</v>
      </c>
      <c r="U64" s="90">
        <f>IF('01 Major Assumptions'!U$15=0,0,'01 Major Assumptions'!$D$64/('01 Major Assumptions'!$D$61*12)*'01 Major Assumptions'!U$14*U62)</f>
        <v>0</v>
      </c>
      <c r="V64" s="90">
        <f>IF('01 Major Assumptions'!V$15=0,0,'01 Major Assumptions'!$D$64/('01 Major Assumptions'!$D$61*12)*'01 Major Assumptions'!V$14*V62)</f>
        <v>0</v>
      </c>
      <c r="W64" s="90">
        <f>IF('01 Major Assumptions'!W$15=0,0,'01 Major Assumptions'!$D$64/('01 Major Assumptions'!$D$61*12)*'01 Major Assumptions'!W$14*W62)</f>
        <v>0</v>
      </c>
      <c r="X64" s="90">
        <f>IF('01 Major Assumptions'!X$15=0,0,'01 Major Assumptions'!$D$64/('01 Major Assumptions'!$D$61*12)*'01 Major Assumptions'!X$14*X62)</f>
        <v>0</v>
      </c>
      <c r="Y64" s="90">
        <f>IF('01 Major Assumptions'!Y$15=0,0,'01 Major Assumptions'!$D$64/('01 Major Assumptions'!$D$61*12)*'01 Major Assumptions'!Y$14*Y62)</f>
        <v>0</v>
      </c>
      <c r="Z64" s="90">
        <f>IF('01 Major Assumptions'!Z$15=0,0,'01 Major Assumptions'!$D$64/('01 Major Assumptions'!$D$61*12)*'01 Major Assumptions'!Z$14*Z62)</f>
        <v>0</v>
      </c>
      <c r="AA64" s="90">
        <f>IF('01 Major Assumptions'!AA$15=0,0,'01 Major Assumptions'!$D$64/('01 Major Assumptions'!$D$61*12)*'01 Major Assumptions'!AA$14*AA62)</f>
        <v>0</v>
      </c>
      <c r="AB64" s="90">
        <f>IF('01 Major Assumptions'!AB$15=0,0,'01 Major Assumptions'!$D$64/('01 Major Assumptions'!$D$61*12)*'01 Major Assumptions'!AB$14*AB62)</f>
        <v>0</v>
      </c>
      <c r="AC64" s="90">
        <f>IF('01 Major Assumptions'!AC$15=0,0,'01 Major Assumptions'!$D$64/('01 Major Assumptions'!$D$61*12)*'01 Major Assumptions'!AC$14*AC62)</f>
        <v>0</v>
      </c>
      <c r="AD64" s="90">
        <f>IF('01 Major Assumptions'!AD$15=0,0,'01 Major Assumptions'!$D$64/('01 Major Assumptions'!$D$61*12)*'01 Major Assumptions'!AD$14*AD62)</f>
        <v>0</v>
      </c>
      <c r="AE64" s="90">
        <f>IF('01 Major Assumptions'!AE$15=0,0,'01 Major Assumptions'!$D$64/('01 Major Assumptions'!$D$61*12)*'01 Major Assumptions'!AE$14*AE62)</f>
        <v>0</v>
      </c>
      <c r="AF64" s="90">
        <f>IF('01 Major Assumptions'!AF$15=0,0,'01 Major Assumptions'!$D$64/('01 Major Assumptions'!$D$61*12)*'01 Major Assumptions'!AF$14*AF62)</f>
        <v>0</v>
      </c>
      <c r="AG64" s="90">
        <f>IF('01 Major Assumptions'!AG$15=0,0,'01 Major Assumptions'!$D$64/('01 Major Assumptions'!$D$61*12)*'01 Major Assumptions'!AG$14*AG62)</f>
        <v>0</v>
      </c>
      <c r="AH64" s="90">
        <f>IF('01 Major Assumptions'!AH$15=0,0,'01 Major Assumptions'!$D$64/('01 Major Assumptions'!$D$61*12)*'01 Major Assumptions'!AH$14*AH62)</f>
        <v>0</v>
      </c>
      <c r="AI64" s="90">
        <f>IF('01 Major Assumptions'!AI$15=0,0,'01 Major Assumptions'!$D$64/('01 Major Assumptions'!$D$61*12)*'01 Major Assumptions'!AI$14*AI62)</f>
        <v>0</v>
      </c>
      <c r="AJ64" s="90">
        <f>IF('01 Major Assumptions'!AJ$15=0,0,'01 Major Assumptions'!$D$64/('01 Major Assumptions'!$D$61*12)*'01 Major Assumptions'!AJ$14*AJ62)</f>
        <v>0</v>
      </c>
      <c r="AK64" s="90">
        <f>IF('01 Major Assumptions'!AK$15=0,0,'01 Major Assumptions'!$D$64/('01 Major Assumptions'!$D$61*12)*'01 Major Assumptions'!AK$14*AK62)</f>
        <v>0</v>
      </c>
      <c r="AL64" s="90">
        <f>IF('01 Major Assumptions'!AL$15=0,0,'01 Major Assumptions'!$D$64/('01 Major Assumptions'!$D$61*12)*'01 Major Assumptions'!AL$14*AL62)</f>
        <v>0</v>
      </c>
      <c r="AM64" s="90">
        <f>IF('01 Major Assumptions'!AM$15=0,0,'01 Major Assumptions'!$D$64/('01 Major Assumptions'!$D$61*12)*'01 Major Assumptions'!AM$14*AM62)</f>
        <v>0</v>
      </c>
      <c r="AN64" s="90">
        <f>IF('01 Major Assumptions'!AN$15=0,0,'01 Major Assumptions'!$D$64/('01 Major Assumptions'!$D$61*12)*'01 Major Assumptions'!AN$14*AN62)</f>
        <v>0</v>
      </c>
      <c r="AO64" s="90">
        <f>IF('01 Major Assumptions'!AO$15=0,0,'01 Major Assumptions'!$D$64/('01 Major Assumptions'!$D$61*12)*'01 Major Assumptions'!AO$14*AO62)</f>
        <v>0</v>
      </c>
      <c r="AP64" s="90">
        <f>IF('01 Major Assumptions'!AP$15=0,0,'01 Major Assumptions'!$D$64/('01 Major Assumptions'!$D$61*12)*'01 Major Assumptions'!AP$14*AP62)</f>
        <v>0</v>
      </c>
      <c r="AQ64" s="90">
        <f>IF('01 Major Assumptions'!AQ$15=0,0,'01 Major Assumptions'!$D$64/('01 Major Assumptions'!$D$61*12)*'01 Major Assumptions'!AQ$14*AQ62)</f>
        <v>0</v>
      </c>
      <c r="AR64" s="90">
        <f>IF('01 Major Assumptions'!AR$15=0,0,'01 Major Assumptions'!$D$64/('01 Major Assumptions'!$D$61*12)*'01 Major Assumptions'!AR$14*AR62)</f>
        <v>0</v>
      </c>
      <c r="AS64" s="90">
        <f>IF('01 Major Assumptions'!AS$15=0,0,'01 Major Assumptions'!$D$64/('01 Major Assumptions'!$D$61*12)*'01 Major Assumptions'!AS$14*AS62)</f>
        <v>0</v>
      </c>
      <c r="AT64" s="90">
        <f>IF('01 Major Assumptions'!AT$15=0,0,'01 Major Assumptions'!$D$64/('01 Major Assumptions'!$D$61*12)*'01 Major Assumptions'!AT$14*AT62)</f>
        <v>0</v>
      </c>
      <c r="AU64" s="90">
        <f>IF('01 Major Assumptions'!AU$15=0,0,'01 Major Assumptions'!$D$64/('01 Major Assumptions'!$D$61*12)*'01 Major Assumptions'!AU$14*AU62)</f>
        <v>0</v>
      </c>
      <c r="AV64" s="90">
        <f>IF('01 Major Assumptions'!AV$15=0,0,'01 Major Assumptions'!$D$64/('01 Major Assumptions'!$D$61*12)*'01 Major Assumptions'!AV$14*AV62)</f>
        <v>0</v>
      </c>
      <c r="AW64" s="90">
        <f>IF('01 Major Assumptions'!AW$15=0,0,'01 Major Assumptions'!$D$64/('01 Major Assumptions'!$D$61*12)*'01 Major Assumptions'!AW$14*AW62)</f>
        <v>0</v>
      </c>
      <c r="AX64" s="90">
        <f>IF('01 Major Assumptions'!AX$15=0,0,'01 Major Assumptions'!$D$64/('01 Major Assumptions'!$D$61*12)*'01 Major Assumptions'!AX$14*AX62)</f>
        <v>0</v>
      </c>
      <c r="AY64" s="90">
        <f>IF('01 Major Assumptions'!AY$15=0,0,'01 Major Assumptions'!$D$64/('01 Major Assumptions'!$D$61*12)*'01 Major Assumptions'!AY$14*AY62)</f>
        <v>0</v>
      </c>
      <c r="AZ64" s="90">
        <f>IF('01 Major Assumptions'!AZ$15=0,0,'01 Major Assumptions'!$D$64/('01 Major Assumptions'!$D$61*12)*'01 Major Assumptions'!AZ$14*AZ62)</f>
        <v>0</v>
      </c>
      <c r="BA64" s="90">
        <f>IF('01 Major Assumptions'!BA$15=0,0,'01 Major Assumptions'!$D$64/('01 Major Assumptions'!$D$61*12)*'01 Major Assumptions'!BA$14*BA62)</f>
        <v>0</v>
      </c>
      <c r="BB64" s="90">
        <f>IF('01 Major Assumptions'!BB$15=0,0,'01 Major Assumptions'!$D$64/('01 Major Assumptions'!$D$61*12)*'01 Major Assumptions'!BB$14*BB62)</f>
        <v>0</v>
      </c>
      <c r="BC64" s="90">
        <f>IF('01 Major Assumptions'!BC$15=0,0,'01 Major Assumptions'!$D$64/('01 Major Assumptions'!$D$61*12)*'01 Major Assumptions'!BC$14*BC62)</f>
        <v>0</v>
      </c>
      <c r="BD64" s="90">
        <f>IF('01 Major Assumptions'!BD$15=0,0,'01 Major Assumptions'!$D$64/('01 Major Assumptions'!$D$61*12)*'01 Major Assumptions'!BD$14*BD62)</f>
        <v>0</v>
      </c>
      <c r="BE64" s="90">
        <f>IF('01 Major Assumptions'!BE$15=0,0,'01 Major Assumptions'!$D$64/('01 Major Assumptions'!$D$61*12)*'01 Major Assumptions'!BE$14*BE62)</f>
        <v>0</v>
      </c>
      <c r="BF64" s="90">
        <f>IF('01 Major Assumptions'!BF$15=0,0,'01 Major Assumptions'!$D$64/('01 Major Assumptions'!$D$61*12)*'01 Major Assumptions'!BF$14*BF62)</f>
        <v>0</v>
      </c>
      <c r="BG64" s="90">
        <f>IF('01 Major Assumptions'!BG$15=0,0,'01 Major Assumptions'!$D$64/('01 Major Assumptions'!$D$61*12)*'01 Major Assumptions'!BG$14*BG62)</f>
        <v>0</v>
      </c>
      <c r="BH64" s="90">
        <f>IF('01 Major Assumptions'!BH$15=0,0,'01 Major Assumptions'!$D$64/('01 Major Assumptions'!$D$61*12)*'01 Major Assumptions'!BH$14*BH62)</f>
        <v>0</v>
      </c>
      <c r="BI64" s="90">
        <f>IF('01 Major Assumptions'!BI$15=0,0,'01 Major Assumptions'!$D$64/('01 Major Assumptions'!$D$61*12)*'01 Major Assumptions'!BI$14*BI62)</f>
        <v>0</v>
      </c>
      <c r="BJ64" s="90">
        <f>IF('01 Major Assumptions'!BJ$15=0,0,'01 Major Assumptions'!$D$64/('01 Major Assumptions'!$D$61*12)*'01 Major Assumptions'!BJ$14*BJ62)</f>
        <v>0</v>
      </c>
      <c r="BK64" s="90">
        <f>IF('01 Major Assumptions'!BK$15=0,0,'01 Major Assumptions'!$D$64/('01 Major Assumptions'!$D$61*12)*'01 Major Assumptions'!BK$14*BK62)</f>
        <v>0</v>
      </c>
      <c r="BL64" s="90">
        <f>IF('01 Major Assumptions'!BL$15=0,0,'01 Major Assumptions'!$D$64/('01 Major Assumptions'!$D$61*12)*'01 Major Assumptions'!BL$14*BL62)</f>
        <v>0</v>
      </c>
      <c r="BM64" s="90">
        <f>IF('01 Major Assumptions'!BM$15=0,0,'01 Major Assumptions'!$D$64/('01 Major Assumptions'!$D$61*12)*'01 Major Assumptions'!BM$14*BM62)</f>
        <v>0</v>
      </c>
      <c r="BN64" s="90">
        <f>IF('01 Major Assumptions'!BN$15=0,0,'01 Major Assumptions'!$D$64/('01 Major Assumptions'!$D$61*12)*'01 Major Assumptions'!BN$14*BN62)</f>
        <v>0</v>
      </c>
      <c r="BO64" s="90">
        <f>IF('01 Major Assumptions'!BO$15=0,0,'01 Major Assumptions'!$D$64/('01 Major Assumptions'!$D$61*12)*'01 Major Assumptions'!BO$14*BO62)</f>
        <v>0</v>
      </c>
    </row>
    <row r="65" spans="1:67">
      <c r="A65" s="11"/>
      <c r="B65" s="22" t="s">
        <v>421</v>
      </c>
      <c r="C65" s="11"/>
      <c r="D65" s="33"/>
      <c r="E65" s="33"/>
      <c r="F65" s="10" t="s">
        <v>13</v>
      </c>
      <c r="G65" s="89">
        <f>SUM(G63:G64)</f>
        <v>0</v>
      </c>
      <c r="H65" s="89">
        <f t="shared" ref="H65:BI65" si="60">SUM(H63:H64)</f>
        <v>0</v>
      </c>
      <c r="I65" s="89">
        <f t="shared" si="60"/>
        <v>0</v>
      </c>
      <c r="J65" s="89">
        <f t="shared" si="60"/>
        <v>0</v>
      </c>
      <c r="K65" s="89">
        <f t="shared" si="60"/>
        <v>0</v>
      </c>
      <c r="L65" s="89">
        <f t="shared" si="60"/>
        <v>0</v>
      </c>
      <c r="M65" s="89">
        <f t="shared" si="60"/>
        <v>0</v>
      </c>
      <c r="N65" s="89">
        <f t="shared" si="60"/>
        <v>0</v>
      </c>
      <c r="O65" s="89">
        <f t="shared" si="60"/>
        <v>0</v>
      </c>
      <c r="P65" s="89">
        <f t="shared" si="60"/>
        <v>0</v>
      </c>
      <c r="Q65" s="89">
        <f t="shared" si="60"/>
        <v>0</v>
      </c>
      <c r="R65" s="89">
        <f t="shared" si="60"/>
        <v>0</v>
      </c>
      <c r="S65" s="89">
        <f t="shared" si="60"/>
        <v>0</v>
      </c>
      <c r="T65" s="89">
        <f t="shared" si="60"/>
        <v>0</v>
      </c>
      <c r="U65" s="89">
        <f t="shared" si="60"/>
        <v>0</v>
      </c>
      <c r="V65" s="89">
        <f t="shared" si="60"/>
        <v>0</v>
      </c>
      <c r="W65" s="89">
        <f t="shared" si="60"/>
        <v>0</v>
      </c>
      <c r="X65" s="89">
        <f t="shared" si="60"/>
        <v>0</v>
      </c>
      <c r="Y65" s="89">
        <f t="shared" si="60"/>
        <v>0</v>
      </c>
      <c r="Z65" s="89">
        <f t="shared" si="60"/>
        <v>0</v>
      </c>
      <c r="AA65" s="89">
        <f t="shared" si="60"/>
        <v>0</v>
      </c>
      <c r="AB65" s="89">
        <f t="shared" si="60"/>
        <v>447000</v>
      </c>
      <c r="AC65" s="89">
        <f t="shared" si="60"/>
        <v>447000</v>
      </c>
      <c r="AD65" s="89">
        <f t="shared" si="60"/>
        <v>447000</v>
      </c>
      <c r="AE65" s="89">
        <f t="shared" si="60"/>
        <v>447000</v>
      </c>
      <c r="AF65" s="89">
        <f t="shared" si="60"/>
        <v>447000</v>
      </c>
      <c r="AG65" s="89">
        <f t="shared" si="60"/>
        <v>447000</v>
      </c>
      <c r="AH65" s="89">
        <f t="shared" si="60"/>
        <v>447000</v>
      </c>
      <c r="AI65" s="89">
        <f t="shared" si="60"/>
        <v>447000</v>
      </c>
      <c r="AJ65" s="89">
        <f t="shared" si="60"/>
        <v>447000</v>
      </c>
      <c r="AK65" s="89">
        <f t="shared" si="60"/>
        <v>447000</v>
      </c>
      <c r="AL65" s="89">
        <f t="shared" si="60"/>
        <v>447000</v>
      </c>
      <c r="AM65" s="89">
        <f t="shared" si="60"/>
        <v>447000</v>
      </c>
      <c r="AN65" s="89">
        <f t="shared" si="60"/>
        <v>447000</v>
      </c>
      <c r="AO65" s="89">
        <f t="shared" si="60"/>
        <v>447000</v>
      </c>
      <c r="AP65" s="89">
        <f t="shared" si="60"/>
        <v>447000</v>
      </c>
      <c r="AQ65" s="89">
        <f t="shared" si="60"/>
        <v>447000</v>
      </c>
      <c r="AR65" s="89">
        <f t="shared" si="60"/>
        <v>447000</v>
      </c>
      <c r="AS65" s="89">
        <f t="shared" si="60"/>
        <v>447000</v>
      </c>
      <c r="AT65" s="89">
        <f t="shared" si="60"/>
        <v>447000</v>
      </c>
      <c r="AU65" s="89">
        <f t="shared" si="60"/>
        <v>447000</v>
      </c>
      <c r="AV65" s="89">
        <f t="shared" si="60"/>
        <v>447000</v>
      </c>
      <c r="AW65" s="89">
        <f t="shared" si="60"/>
        <v>447000</v>
      </c>
      <c r="AX65" s="89">
        <f t="shared" si="60"/>
        <v>447000</v>
      </c>
      <c r="AY65" s="89">
        <f t="shared" si="60"/>
        <v>447000</v>
      </c>
      <c r="AZ65" s="89">
        <f t="shared" si="60"/>
        <v>447000</v>
      </c>
      <c r="BA65" s="89">
        <f t="shared" si="60"/>
        <v>447000</v>
      </c>
      <c r="BB65" s="89">
        <f t="shared" si="60"/>
        <v>447000</v>
      </c>
      <c r="BC65" s="89">
        <f t="shared" si="60"/>
        <v>447000</v>
      </c>
      <c r="BD65" s="89">
        <f t="shared" si="60"/>
        <v>447000</v>
      </c>
      <c r="BE65" s="89">
        <f t="shared" si="60"/>
        <v>447000</v>
      </c>
      <c r="BF65" s="89">
        <f t="shared" si="60"/>
        <v>447000</v>
      </c>
      <c r="BG65" s="89">
        <f t="shared" si="60"/>
        <v>447000</v>
      </c>
      <c r="BH65" s="89">
        <f t="shared" si="60"/>
        <v>447000</v>
      </c>
      <c r="BI65" s="89">
        <f t="shared" si="60"/>
        <v>5739480</v>
      </c>
      <c r="BJ65" s="89">
        <f t="shared" ref="BJ65" si="61">SUM(BJ63:BJ64)</f>
        <v>5739480</v>
      </c>
      <c r="BK65" s="89">
        <f t="shared" ref="BK65" si="62">SUM(BK63:BK64)</f>
        <v>5739480</v>
      </c>
      <c r="BL65" s="89">
        <f t="shared" ref="BL65" si="63">SUM(BL63:BL64)</f>
        <v>5739480</v>
      </c>
      <c r="BM65" s="89">
        <f t="shared" ref="BM65" si="64">SUM(BM63:BM64)</f>
        <v>5739480</v>
      </c>
      <c r="BN65" s="89">
        <f t="shared" ref="BN65" si="65">SUM(BN63:BN64)</f>
        <v>6141243.6000000006</v>
      </c>
      <c r="BO65" s="89">
        <f t="shared" ref="BO65" si="66">SUM(BO63:BO64)</f>
        <v>6141243.6000000006</v>
      </c>
    </row>
    <row r="66" spans="1:67">
      <c r="A66" s="11"/>
      <c r="B66" s="11"/>
      <c r="C66" s="11"/>
      <c r="D66" s="33"/>
      <c r="E66" s="33"/>
      <c r="F66" s="43"/>
      <c r="G66" s="33"/>
      <c r="H66" s="33"/>
      <c r="I66" s="33"/>
      <c r="J66" s="33"/>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c r="BE66" s="33"/>
      <c r="BF66" s="33"/>
      <c r="BG66" s="33"/>
      <c r="BH66" s="33"/>
      <c r="BI66" s="33"/>
      <c r="BJ66" s="33"/>
      <c r="BK66" s="33"/>
      <c r="BL66" s="33"/>
      <c r="BM66" s="33"/>
      <c r="BN66" s="33"/>
      <c r="BO66" s="33"/>
    </row>
    <row r="67" spans="1:67">
      <c r="A67" s="18" t="s">
        <v>422</v>
      </c>
      <c r="B67" s="18"/>
      <c r="C67" s="18"/>
      <c r="D67" s="39"/>
      <c r="E67" s="39"/>
      <c r="F67" s="39"/>
      <c r="G67" s="39"/>
      <c r="H67" s="39"/>
      <c r="I67" s="39"/>
      <c r="J67" s="39"/>
      <c r="K67" s="39"/>
      <c r="L67" s="39"/>
      <c r="M67" s="39"/>
      <c r="N67" s="39"/>
      <c r="O67" s="39"/>
      <c r="P67" s="39"/>
      <c r="Q67" s="39"/>
      <c r="R67" s="39"/>
      <c r="S67" s="39"/>
      <c r="T67" s="39"/>
      <c r="U67" s="39"/>
      <c r="V67" s="39"/>
      <c r="W67" s="39"/>
      <c r="X67" s="39"/>
      <c r="Y67" s="39"/>
      <c r="Z67" s="39"/>
      <c r="AA67" s="39"/>
      <c r="AB67" s="39"/>
      <c r="AC67" s="39"/>
      <c r="AD67" s="39"/>
      <c r="AE67" s="39"/>
      <c r="AF67" s="39"/>
      <c r="AG67" s="39"/>
      <c r="AH67" s="39"/>
      <c r="AI67" s="39"/>
      <c r="AJ67" s="39"/>
      <c r="AK67" s="39"/>
      <c r="AL67" s="39"/>
      <c r="AM67" s="39"/>
      <c r="AN67" s="39"/>
      <c r="AO67" s="39"/>
      <c r="AP67" s="39"/>
      <c r="AQ67" s="39"/>
      <c r="AR67" s="39"/>
      <c r="AS67" s="39"/>
      <c r="AT67" s="39"/>
      <c r="AU67" s="39"/>
      <c r="AV67" s="39"/>
      <c r="AW67" s="39"/>
      <c r="AX67" s="39"/>
      <c r="AY67" s="39"/>
      <c r="AZ67" s="39"/>
      <c r="BA67" s="39"/>
      <c r="BB67" s="39"/>
      <c r="BC67" s="39"/>
      <c r="BD67" s="39"/>
      <c r="BE67" s="39"/>
      <c r="BF67" s="39"/>
      <c r="BG67" s="39"/>
      <c r="BH67" s="39"/>
      <c r="BI67" s="39"/>
      <c r="BJ67" s="39"/>
      <c r="BK67" s="39"/>
      <c r="BL67" s="39"/>
      <c r="BM67" s="39"/>
      <c r="BN67" s="39"/>
      <c r="BO67" s="39"/>
    </row>
    <row r="68" spans="1:67">
      <c r="A68" s="11"/>
      <c r="B68" s="11"/>
      <c r="C68" s="11" t="s">
        <v>146</v>
      </c>
      <c r="D68" s="33"/>
      <c r="E68" s="33"/>
      <c r="F68" s="10" t="s">
        <v>13</v>
      </c>
      <c r="G68" s="90">
        <f>'04 Operating Model'!G$85*'01 Major Assumptions'!$D$113*(1+'01 Major Assumptions'!$D$23)^'02 Oil Price Analysis'!G$57</f>
        <v>0</v>
      </c>
      <c r="H68" s="90">
        <f>'04 Operating Model'!H$85*'01 Major Assumptions'!$D$113*(1+'01 Major Assumptions'!$D$23)^'02 Oil Price Analysis'!H$57</f>
        <v>0</v>
      </c>
      <c r="I68" s="90">
        <f>'04 Operating Model'!I$85*'01 Major Assumptions'!$D$113*(1+'01 Major Assumptions'!$D$23)^'02 Oil Price Analysis'!I$57</f>
        <v>0</v>
      </c>
      <c r="J68" s="90">
        <f>'04 Operating Model'!J$85*'01 Major Assumptions'!$D$113*(1+'01 Major Assumptions'!$D$23)^'02 Oil Price Analysis'!J$57</f>
        <v>0</v>
      </c>
      <c r="K68" s="90">
        <f>'04 Operating Model'!K$85*'01 Major Assumptions'!$D$113*(1+'01 Major Assumptions'!$D$23)^'02 Oil Price Analysis'!K$57</f>
        <v>0</v>
      </c>
      <c r="L68" s="90">
        <f>'04 Operating Model'!L$85*'01 Major Assumptions'!$D$113*(1+'01 Major Assumptions'!$D$23)^'02 Oil Price Analysis'!L$57</f>
        <v>0</v>
      </c>
      <c r="M68" s="90">
        <f>'04 Operating Model'!M$85*'01 Major Assumptions'!$D$113*(1+'01 Major Assumptions'!$D$23)^'02 Oil Price Analysis'!M$57</f>
        <v>0</v>
      </c>
      <c r="N68" s="90">
        <f>'04 Operating Model'!N$85*'01 Major Assumptions'!$D$113*(1+'01 Major Assumptions'!$D$23)^'02 Oil Price Analysis'!N$57</f>
        <v>0</v>
      </c>
      <c r="O68" s="90">
        <f>'04 Operating Model'!O$85*'01 Major Assumptions'!$D$113*(1+'01 Major Assumptions'!$D$23)^'02 Oil Price Analysis'!O$57</f>
        <v>0</v>
      </c>
      <c r="P68" s="90">
        <f>'04 Operating Model'!P$85*'01 Major Assumptions'!$D$113*(1+'01 Major Assumptions'!$D$23)^'02 Oil Price Analysis'!P$57</f>
        <v>0</v>
      </c>
      <c r="Q68" s="90">
        <f>'04 Operating Model'!Q$85*'01 Major Assumptions'!$D$113*(1+'01 Major Assumptions'!$D$23)^'02 Oil Price Analysis'!Q$57</f>
        <v>0</v>
      </c>
      <c r="R68" s="90">
        <f>'04 Operating Model'!R$85*'01 Major Assumptions'!$D$113*(1+'01 Major Assumptions'!$D$23)^'02 Oil Price Analysis'!R$57</f>
        <v>0</v>
      </c>
      <c r="S68" s="90">
        <f>'04 Operating Model'!S$85*'01 Major Assumptions'!$D$113*(1+'01 Major Assumptions'!$D$23)^'02 Oil Price Analysis'!S$57</f>
        <v>0</v>
      </c>
      <c r="T68" s="90">
        <f>'04 Operating Model'!T$85*'01 Major Assumptions'!$D$113*(1+'01 Major Assumptions'!$D$23)^'02 Oil Price Analysis'!T$57</f>
        <v>0</v>
      </c>
      <c r="U68" s="90">
        <f>'04 Operating Model'!U$85*'01 Major Assumptions'!$D$113*(1+'01 Major Assumptions'!$D$23)^'02 Oil Price Analysis'!U$57</f>
        <v>0</v>
      </c>
      <c r="V68" s="90">
        <f>'04 Operating Model'!V$85*'01 Major Assumptions'!$D$113*(1+'01 Major Assumptions'!$D$23)^'02 Oil Price Analysis'!V$57</f>
        <v>0</v>
      </c>
      <c r="W68" s="90">
        <f>'04 Operating Model'!W$85*'01 Major Assumptions'!$D$113*(1+'01 Major Assumptions'!$D$23)^'02 Oil Price Analysis'!W$57</f>
        <v>0</v>
      </c>
      <c r="X68" s="90">
        <f>'04 Operating Model'!X$85*'01 Major Assumptions'!$D$113*(1+'01 Major Assumptions'!$D$23)^'02 Oil Price Analysis'!X$57</f>
        <v>0</v>
      </c>
      <c r="Y68" s="90">
        <f>'04 Operating Model'!Y$85*'01 Major Assumptions'!$D$113*(1+'01 Major Assumptions'!$D$23)^'02 Oil Price Analysis'!Y$57</f>
        <v>0</v>
      </c>
      <c r="Z68" s="90">
        <f>'04 Operating Model'!Z$85*'01 Major Assumptions'!$D$113*(1+'01 Major Assumptions'!$D$23)^'02 Oil Price Analysis'!Z$57</f>
        <v>0</v>
      </c>
      <c r="AA68" s="90">
        <f>'04 Operating Model'!AA$85*'01 Major Assumptions'!$D$113*(1+'01 Major Assumptions'!$D$23)^'02 Oil Price Analysis'!AA$57</f>
        <v>0</v>
      </c>
      <c r="AB68" s="90">
        <f>'04 Operating Model'!AB$85*'01 Major Assumptions'!$D$113*(1+'01 Major Assumptions'!$D$23)^'02 Oil Price Analysis'!AB$57</f>
        <v>329447.32919999998</v>
      </c>
      <c r="AC68" s="90">
        <f>'04 Operating Model'!AC$85*'01 Major Assumptions'!$D$113*(1+'01 Major Assumptions'!$D$23)^'02 Oil Price Analysis'!AC$57</f>
        <v>436517.71118999983</v>
      </c>
      <c r="AD68" s="90">
        <f>'04 Operating Model'!AD$85*'01 Major Assumptions'!$D$113*(1+'01 Major Assumptions'!$D$23)^'02 Oil Price Analysis'!AD$57</f>
        <v>543588.09318000008</v>
      </c>
      <c r="AE68" s="90">
        <f>'04 Operating Model'!AE$85*'01 Major Assumptions'!$D$113*(1+'01 Major Assumptions'!$D$23)^'02 Oil Price Analysis'!AE$57</f>
        <v>665623.62009891018</v>
      </c>
      <c r="AF68" s="90">
        <f>'04 Operating Model'!AF$85*'01 Major Assumptions'!$D$113*(1+'01 Major Assumptions'!$D$23)^'02 Oil Price Analysis'!AF$57</f>
        <v>775156.62087468</v>
      </c>
      <c r="AG68" s="90">
        <f>'04 Operating Model'!AG$85*'01 Major Assumptions'!$D$113*(1+'01 Major Assumptions'!$D$23)^'02 Oil Price Analysis'!AG$57</f>
        <v>884689.62165044993</v>
      </c>
      <c r="AH68" s="90">
        <f>'04 Operating Model'!AH$85*'01 Major Assumptions'!$D$113*(1+'01 Major Assumptions'!$D$23)^'02 Oil Price Analysis'!AH$57</f>
        <v>994222.62242621963</v>
      </c>
      <c r="AI68" s="90">
        <f>'04 Operating Model'!AI$85*'01 Major Assumptions'!$D$113*(1+'01 Major Assumptions'!$D$23)^'02 Oil Price Analysis'!AI$57</f>
        <v>1103755.6232019896</v>
      </c>
      <c r="AJ68" s="90">
        <f>'04 Operating Model'!AJ$85*'01 Major Assumptions'!$D$113*(1+'01 Major Assumptions'!$D$23)^'02 Oil Price Analysis'!AJ$57</f>
        <v>1213288.6239777601</v>
      </c>
      <c r="AK68" s="90">
        <f>'04 Operating Model'!AK$85*'01 Major Assumptions'!$D$113*(1+'01 Major Assumptions'!$D$23)^'02 Oil Price Analysis'!AK$57</f>
        <v>1322821.6247535301</v>
      </c>
      <c r="AL68" s="90">
        <f>'04 Operating Model'!AL$85*'01 Major Assumptions'!$D$113*(1+'01 Major Assumptions'!$D$23)^'02 Oil Price Analysis'!AL$57</f>
        <v>1432354.6255292997</v>
      </c>
      <c r="AM68" s="90">
        <f>'04 Operating Model'!AM$85*'01 Major Assumptions'!$D$113*(1+'01 Major Assumptions'!$D$23)^'02 Oil Price Analysis'!AM$57</f>
        <v>1541887.6263050698</v>
      </c>
      <c r="AN68" s="90">
        <f>'04 Operating Model'!AN$85*'01 Major Assumptions'!$D$113*(1+'01 Major Assumptions'!$D$23)^'02 Oil Price Analysis'!AN$57</f>
        <v>1651420.6270808396</v>
      </c>
      <c r="AO68" s="90">
        <f>'04 Operating Model'!AO$85*'01 Major Assumptions'!$D$113*(1+'01 Major Assumptions'!$D$23)^'02 Oil Price Analysis'!AO$57</f>
        <v>1651420.6270808396</v>
      </c>
      <c r="AP68" s="90">
        <f>'04 Operating Model'!AP$85*'01 Major Assumptions'!$D$113*(1+'01 Major Assumptions'!$D$23)^'02 Oil Price Analysis'!AP$57</f>
        <v>1651420.6270808396</v>
      </c>
      <c r="AQ68" s="90">
        <f>'04 Operating Model'!AQ$85*'01 Major Assumptions'!$D$113*(1+'01 Major Assumptions'!$D$23)^'02 Oil Price Analysis'!AQ$57</f>
        <v>1689403.3015036988</v>
      </c>
      <c r="AR68" s="90">
        <f>'04 Operating Model'!AR$85*'01 Major Assumptions'!$D$113*(1+'01 Major Assumptions'!$D$23)^'02 Oil Price Analysis'!AR$57</f>
        <v>1689403.3015036988</v>
      </c>
      <c r="AS68" s="90">
        <f>'04 Operating Model'!AS$85*'01 Major Assumptions'!$D$113*(1+'01 Major Assumptions'!$D$23)^'02 Oil Price Analysis'!AS$57</f>
        <v>1689403.3015036988</v>
      </c>
      <c r="AT68" s="90">
        <f>'04 Operating Model'!AT$85*'01 Major Assumptions'!$D$113*(1+'01 Major Assumptions'!$D$23)^'02 Oil Price Analysis'!AT$57</f>
        <v>1689403.3015036988</v>
      </c>
      <c r="AU68" s="90">
        <f>'04 Operating Model'!AU$85*'01 Major Assumptions'!$D$113*(1+'01 Major Assumptions'!$D$23)^'02 Oil Price Analysis'!AU$57</f>
        <v>1689403.3015036988</v>
      </c>
      <c r="AV68" s="90">
        <f>'04 Operating Model'!AV$85*'01 Major Assumptions'!$D$113*(1+'01 Major Assumptions'!$D$23)^'02 Oil Price Analysis'!AV$57</f>
        <v>1689403.3015036988</v>
      </c>
      <c r="AW68" s="90">
        <f>'04 Operating Model'!AW$85*'01 Major Assumptions'!$D$113*(1+'01 Major Assumptions'!$D$23)^'02 Oil Price Analysis'!AW$57</f>
        <v>1689403.3015036988</v>
      </c>
      <c r="AX68" s="90">
        <f>'04 Operating Model'!AX$85*'01 Major Assumptions'!$D$113*(1+'01 Major Assumptions'!$D$23)^'02 Oil Price Analysis'!AX$57</f>
        <v>1689403.3015036988</v>
      </c>
      <c r="AY68" s="90">
        <f>'04 Operating Model'!AY$85*'01 Major Assumptions'!$D$113*(1+'01 Major Assumptions'!$D$23)^'02 Oil Price Analysis'!AY$57</f>
        <v>1689403.3015036988</v>
      </c>
      <c r="AZ68" s="90">
        <f>'04 Operating Model'!AZ$85*'01 Major Assumptions'!$D$113*(1+'01 Major Assumptions'!$D$23)^'02 Oil Price Analysis'!AZ$57</f>
        <v>1689403.3015036988</v>
      </c>
      <c r="BA68" s="90">
        <f>'04 Operating Model'!BA$85*'01 Major Assumptions'!$D$113*(1+'01 Major Assumptions'!$D$23)^'02 Oil Price Analysis'!BA$57</f>
        <v>1689403.3015036988</v>
      </c>
      <c r="BB68" s="90">
        <f>'04 Operating Model'!BB$85*'01 Major Assumptions'!$D$113*(1+'01 Major Assumptions'!$D$23)^'02 Oil Price Analysis'!BB$57</f>
        <v>1689403.3015036988</v>
      </c>
      <c r="BC68" s="90">
        <f>'04 Operating Model'!BC$85*'01 Major Assumptions'!$D$113*(1+'01 Major Assumptions'!$D$23)^'02 Oil Price Analysis'!BC$57</f>
        <v>1728259.5774382837</v>
      </c>
      <c r="BD68" s="90">
        <f>'04 Operating Model'!BD$85*'01 Major Assumptions'!$D$113*(1+'01 Major Assumptions'!$D$23)^'02 Oil Price Analysis'!BD$57</f>
        <v>1728259.5774382837</v>
      </c>
      <c r="BE68" s="90">
        <f>'04 Operating Model'!BE$85*'01 Major Assumptions'!$D$113*(1+'01 Major Assumptions'!$D$23)^'02 Oil Price Analysis'!BE$57</f>
        <v>1728259.5774382837</v>
      </c>
      <c r="BF68" s="90">
        <f>'04 Operating Model'!BF$85*'01 Major Assumptions'!$D$113*(1+'01 Major Assumptions'!$D$23)^'02 Oil Price Analysis'!BF$57</f>
        <v>1728259.5774382837</v>
      </c>
      <c r="BG68" s="90">
        <f>'04 Operating Model'!BG$85*'01 Major Assumptions'!$D$113*(1+'01 Major Assumptions'!$D$23)^'02 Oil Price Analysis'!BG$57</f>
        <v>1728259.5774382837</v>
      </c>
      <c r="BH68" s="90">
        <f>'04 Operating Model'!BH$85*'01 Major Assumptions'!$D$113*(1+'01 Major Assumptions'!$D$23)^'02 Oil Price Analysis'!BH$57</f>
        <v>1728259.5774382837</v>
      </c>
      <c r="BI68" s="90">
        <f>'04 Operating Model'!BI$85*'01 Major Assumptions'!$D$113*(1+'01 Major Assumptions'!$D$23)^'02 Oil Price Analysis'!BI$57</f>
        <v>21216114.572632369</v>
      </c>
      <c r="BJ68" s="90">
        <f>'04 Operating Model'!BJ$85*'01 Major Assumptions'!$D$113*(1+'01 Major Assumptions'!$D$23)^'02 Oil Price Analysis'!BJ$57</f>
        <v>21704085.207802914</v>
      </c>
      <c r="BK68" s="90">
        <f>'04 Operating Model'!BK$85*'01 Major Assumptions'!$D$113*(1+'01 Major Assumptions'!$D$23)^'02 Oil Price Analysis'!BK$57</f>
        <v>22203279.167582374</v>
      </c>
      <c r="BL68" s="90">
        <f>'04 Operating Model'!BL$85*'01 Major Assumptions'!$D$113*(1+'01 Major Assumptions'!$D$23)^'02 Oil Price Analysis'!BL$57</f>
        <v>22713954.588436767</v>
      </c>
      <c r="BM68" s="90">
        <f>'04 Operating Model'!BM$85*'01 Major Assumptions'!$D$113*(1+'01 Major Assumptions'!$D$23)^'02 Oil Price Analysis'!BM$57</f>
        <v>23236375.543970812</v>
      </c>
      <c r="BN68" s="90">
        <f>'04 Operating Model'!BN$85*'01 Major Assumptions'!$D$113*(1+'01 Major Assumptions'!$D$23)^'02 Oil Price Analysis'!BN$57</f>
        <v>23770812.181482136</v>
      </c>
      <c r="BO68" s="90">
        <f>'04 Operating Model'!BO$85*'01 Major Assumptions'!$D$113*(1+'01 Major Assumptions'!$D$23)^'02 Oil Price Analysis'!BO$57</f>
        <v>24317540.861656226</v>
      </c>
    </row>
    <row r="69" spans="1:67">
      <c r="A69" s="11"/>
      <c r="B69" s="11"/>
      <c r="C69" s="11" t="s">
        <v>148</v>
      </c>
      <c r="D69" s="33"/>
      <c r="E69" s="33"/>
      <c r="F69" s="10" t="s">
        <v>13</v>
      </c>
      <c r="G69" s="90">
        <f>'04 Operating Model'!G$101*'01 Major Assumptions'!$D$114</f>
        <v>0</v>
      </c>
      <c r="H69" s="90">
        <f>'04 Operating Model'!H$101*'01 Major Assumptions'!$D$114</f>
        <v>0</v>
      </c>
      <c r="I69" s="90">
        <f>'04 Operating Model'!I$101*'01 Major Assumptions'!$D$114</f>
        <v>0</v>
      </c>
      <c r="J69" s="90">
        <f>'04 Operating Model'!J$101*'01 Major Assumptions'!$D$114</f>
        <v>0</v>
      </c>
      <c r="K69" s="90">
        <f>'04 Operating Model'!K$101*'01 Major Assumptions'!$D$114</f>
        <v>0</v>
      </c>
      <c r="L69" s="90">
        <f>'04 Operating Model'!L$101*'01 Major Assumptions'!$D$114</f>
        <v>0</v>
      </c>
      <c r="M69" s="90">
        <f>'04 Operating Model'!M$101*'01 Major Assumptions'!$D$114</f>
        <v>0</v>
      </c>
      <c r="N69" s="90">
        <f>'04 Operating Model'!N$101*'01 Major Assumptions'!$D$114</f>
        <v>0</v>
      </c>
      <c r="O69" s="90">
        <f>'04 Operating Model'!O$101*'01 Major Assumptions'!$D$114</f>
        <v>0</v>
      </c>
      <c r="P69" s="90">
        <f>'04 Operating Model'!P$101*'01 Major Assumptions'!$D$114</f>
        <v>0</v>
      </c>
      <c r="Q69" s="90">
        <f>'04 Operating Model'!Q$101*'01 Major Assumptions'!$D$114</f>
        <v>0</v>
      </c>
      <c r="R69" s="90">
        <f>'04 Operating Model'!R$101*'01 Major Assumptions'!$D$114</f>
        <v>0</v>
      </c>
      <c r="S69" s="90">
        <f>'04 Operating Model'!S$101*'01 Major Assumptions'!$D$114</f>
        <v>0</v>
      </c>
      <c r="T69" s="90">
        <f>'04 Operating Model'!T$101*'01 Major Assumptions'!$D$114</f>
        <v>0</v>
      </c>
      <c r="U69" s="90">
        <f>'04 Operating Model'!U$101*'01 Major Assumptions'!$D$114</f>
        <v>0</v>
      </c>
      <c r="V69" s="90">
        <f>'04 Operating Model'!V$101*'01 Major Assumptions'!$D$114</f>
        <v>0</v>
      </c>
      <c r="W69" s="90">
        <f>'04 Operating Model'!W$101*'01 Major Assumptions'!$D$114</f>
        <v>0</v>
      </c>
      <c r="X69" s="90">
        <f>'04 Operating Model'!X$101*'01 Major Assumptions'!$D$114</f>
        <v>0</v>
      </c>
      <c r="Y69" s="90">
        <f>'04 Operating Model'!Y$101*'01 Major Assumptions'!$D$114</f>
        <v>0</v>
      </c>
      <c r="Z69" s="90">
        <f>'04 Operating Model'!Z$101*'01 Major Assumptions'!$D$114</f>
        <v>0</v>
      </c>
      <c r="AA69" s="90">
        <f>'04 Operating Model'!AA$101*'01 Major Assumptions'!$D$114</f>
        <v>0</v>
      </c>
      <c r="AB69" s="90">
        <f>'04 Operating Model'!AB$101*'01 Major Assumptions'!$D$114</f>
        <v>129742.66175197721</v>
      </c>
      <c r="AC69" s="90">
        <f>'04 Operating Model'!AC$101*'01 Major Assumptions'!$D$114</f>
        <v>171909.02682136974</v>
      </c>
      <c r="AD69" s="90">
        <f>'04 Operating Model'!AD$101*'01 Major Assumptions'!$D$114</f>
        <v>214075.39189076237</v>
      </c>
      <c r="AE69" s="90">
        <f>'04 Operating Model'!AE$101*'01 Major Assumptions'!$D$114</f>
        <v>261881.2178949115</v>
      </c>
      <c r="AF69" s="90">
        <f>'04 Operating Model'!AF$101*'01 Major Assumptions'!$D$114</f>
        <v>304975.59552318795</v>
      </c>
      <c r="AG69" s="90">
        <f>'04 Operating Model'!AG$101*'01 Major Assumptions'!$D$114</f>
        <v>348069.97315146454</v>
      </c>
      <c r="AH69" s="90">
        <f>'04 Operating Model'!AH$101*'01 Major Assumptions'!$D$114</f>
        <v>391164.35077974101</v>
      </c>
      <c r="AI69" s="90">
        <f>'04 Operating Model'!AI$101*'01 Major Assumptions'!$D$114</f>
        <v>434258.7284080176</v>
      </c>
      <c r="AJ69" s="90">
        <f>'04 Operating Model'!AJ$101*'01 Major Assumptions'!$D$114</f>
        <v>477353.10603629425</v>
      </c>
      <c r="AK69" s="90">
        <f>'04 Operating Model'!AK$101*'01 Major Assumptions'!$D$114</f>
        <v>520447.48366457078</v>
      </c>
      <c r="AL69" s="90">
        <f>'04 Operating Model'!AL$101*'01 Major Assumptions'!$D$114</f>
        <v>563541.8612928472</v>
      </c>
      <c r="AM69" s="90">
        <f>'04 Operating Model'!AM$101*'01 Major Assumptions'!$D$114</f>
        <v>606636.23892112391</v>
      </c>
      <c r="AN69" s="90">
        <f>'04 Operating Model'!AN$101*'01 Major Assumptions'!$D$114</f>
        <v>649730.61654940038</v>
      </c>
      <c r="AO69" s="90">
        <f>'04 Operating Model'!AO$101*'01 Major Assumptions'!$D$114</f>
        <v>649730.61654940038</v>
      </c>
      <c r="AP69" s="90">
        <f>'04 Operating Model'!AP$101*'01 Major Assumptions'!$D$114</f>
        <v>649730.61654940038</v>
      </c>
      <c r="AQ69" s="90">
        <f>'04 Operating Model'!AQ$101*'01 Major Assumptions'!$D$114</f>
        <v>664031.38823500625</v>
      </c>
      <c r="AR69" s="90">
        <f>'04 Operating Model'!AR$101*'01 Major Assumptions'!$D$114</f>
        <v>664031.38823500625</v>
      </c>
      <c r="AS69" s="90">
        <f>'04 Operating Model'!AS$101*'01 Major Assumptions'!$D$114</f>
        <v>664031.38823500625</v>
      </c>
      <c r="AT69" s="90">
        <f>'04 Operating Model'!AT$101*'01 Major Assumptions'!$D$114</f>
        <v>664031.38823500625</v>
      </c>
      <c r="AU69" s="90">
        <f>'04 Operating Model'!AU$101*'01 Major Assumptions'!$D$114</f>
        <v>664031.38823500625</v>
      </c>
      <c r="AV69" s="90">
        <f>'04 Operating Model'!AV$101*'01 Major Assumptions'!$D$114</f>
        <v>664031.38823500625</v>
      </c>
      <c r="AW69" s="90">
        <f>'04 Operating Model'!AW$101*'01 Major Assumptions'!$D$114</f>
        <v>664031.38823500625</v>
      </c>
      <c r="AX69" s="90">
        <f>'04 Operating Model'!AX$101*'01 Major Assumptions'!$D$114</f>
        <v>664031.38823500625</v>
      </c>
      <c r="AY69" s="90">
        <f>'04 Operating Model'!AY$101*'01 Major Assumptions'!$D$114</f>
        <v>664031.38823500625</v>
      </c>
      <c r="AZ69" s="90">
        <f>'04 Operating Model'!AZ$101*'01 Major Assumptions'!$D$114</f>
        <v>664031.38823500625</v>
      </c>
      <c r="BA69" s="90">
        <f>'04 Operating Model'!BA$101*'01 Major Assumptions'!$D$114</f>
        <v>664031.38823500625</v>
      </c>
      <c r="BB69" s="90">
        <f>'04 Operating Model'!BB$101*'01 Major Assumptions'!$D$114</f>
        <v>664031.38823500625</v>
      </c>
      <c r="BC69" s="90">
        <f>'04 Operating Model'!BC$101*'01 Major Assumptions'!$D$114</f>
        <v>678648.21701948054</v>
      </c>
      <c r="BD69" s="90">
        <f>'04 Operating Model'!BD$101*'01 Major Assumptions'!$D$114</f>
        <v>678648.21701948054</v>
      </c>
      <c r="BE69" s="90">
        <f>'04 Operating Model'!BE$101*'01 Major Assumptions'!$D$114</f>
        <v>678648.21701948054</v>
      </c>
      <c r="BF69" s="90">
        <f>'04 Operating Model'!BF$101*'01 Major Assumptions'!$D$114</f>
        <v>678648.21701948054</v>
      </c>
      <c r="BG69" s="90">
        <f>'04 Operating Model'!BG$101*'01 Major Assumptions'!$D$114</f>
        <v>678648.21701948054</v>
      </c>
      <c r="BH69" s="90">
        <f>'04 Operating Model'!BH$101*'01 Major Assumptions'!$D$114</f>
        <v>678648.21701948054</v>
      </c>
      <c r="BI69" s="90">
        <f>'04 Operating Model'!BI$101*'01 Major Assumptions'!$D$114</f>
        <v>8323057.3800371876</v>
      </c>
      <c r="BJ69" s="90">
        <f>'04 Operating Model'!BJ$101*'01 Major Assumptions'!$D$114</f>
        <v>8506299.0050422121</v>
      </c>
      <c r="BK69" s="90">
        <f>'04 Operating Model'!BK$101*'01 Major Assumptions'!$D$114</f>
        <v>8693591.4135276303</v>
      </c>
      <c r="BL69" s="90">
        <f>'04 Operating Model'!BL$101*'01 Major Assumptions'!$D$114</f>
        <v>8885024.4980356041</v>
      </c>
      <c r="BM69" s="90">
        <f>'04 Operating Model'!BM$101*'01 Major Assumptions'!$D$114</f>
        <v>9080690.153127199</v>
      </c>
      <c r="BN69" s="90">
        <f>'04 Operating Model'!BN$101*'01 Major Assumptions'!$D$114</f>
        <v>9280682.320118634</v>
      </c>
      <c r="BO69" s="90">
        <f>'04 Operating Model'!BO$101*'01 Major Assumptions'!$D$114</f>
        <v>9424823.8284129463</v>
      </c>
    </row>
    <row r="70" spans="1:67">
      <c r="A70" s="11"/>
      <c r="B70" s="22" t="s">
        <v>423</v>
      </c>
      <c r="C70" s="11"/>
      <c r="D70" s="33"/>
      <c r="E70" s="33"/>
      <c r="F70" s="10" t="s">
        <v>13</v>
      </c>
      <c r="G70" s="89">
        <f>SUM(G68:G69)</f>
        <v>0</v>
      </c>
      <c r="H70" s="89">
        <f t="shared" ref="H70:BI70" si="67">SUM(H68:H69)</f>
        <v>0</v>
      </c>
      <c r="I70" s="89">
        <f t="shared" si="67"/>
        <v>0</v>
      </c>
      <c r="J70" s="89">
        <f t="shared" si="67"/>
        <v>0</v>
      </c>
      <c r="K70" s="89">
        <f t="shared" si="67"/>
        <v>0</v>
      </c>
      <c r="L70" s="89">
        <f t="shared" si="67"/>
        <v>0</v>
      </c>
      <c r="M70" s="89">
        <f t="shared" si="67"/>
        <v>0</v>
      </c>
      <c r="N70" s="89">
        <f t="shared" si="67"/>
        <v>0</v>
      </c>
      <c r="O70" s="89">
        <f t="shared" si="67"/>
        <v>0</v>
      </c>
      <c r="P70" s="89">
        <f t="shared" si="67"/>
        <v>0</v>
      </c>
      <c r="Q70" s="89">
        <f t="shared" si="67"/>
        <v>0</v>
      </c>
      <c r="R70" s="89">
        <f t="shared" si="67"/>
        <v>0</v>
      </c>
      <c r="S70" s="89">
        <f t="shared" si="67"/>
        <v>0</v>
      </c>
      <c r="T70" s="89">
        <f t="shared" si="67"/>
        <v>0</v>
      </c>
      <c r="U70" s="89">
        <f t="shared" si="67"/>
        <v>0</v>
      </c>
      <c r="V70" s="89">
        <f t="shared" si="67"/>
        <v>0</v>
      </c>
      <c r="W70" s="89">
        <f t="shared" si="67"/>
        <v>0</v>
      </c>
      <c r="X70" s="89">
        <f t="shared" si="67"/>
        <v>0</v>
      </c>
      <c r="Y70" s="89">
        <f t="shared" si="67"/>
        <v>0</v>
      </c>
      <c r="Z70" s="89">
        <f t="shared" si="67"/>
        <v>0</v>
      </c>
      <c r="AA70" s="89">
        <f t="shared" si="67"/>
        <v>0</v>
      </c>
      <c r="AB70" s="89">
        <f t="shared" si="67"/>
        <v>459189.9909519772</v>
      </c>
      <c r="AC70" s="89">
        <f t="shared" si="67"/>
        <v>608426.7380113696</v>
      </c>
      <c r="AD70" s="89">
        <f t="shared" si="67"/>
        <v>757663.48507076246</v>
      </c>
      <c r="AE70" s="89">
        <f t="shared" si="67"/>
        <v>927504.83799382171</v>
      </c>
      <c r="AF70" s="89">
        <f t="shared" si="67"/>
        <v>1080132.216397868</v>
      </c>
      <c r="AG70" s="89">
        <f t="shared" si="67"/>
        <v>1232759.5948019144</v>
      </c>
      <c r="AH70" s="89">
        <f t="shared" si="67"/>
        <v>1385386.9732059606</v>
      </c>
      <c r="AI70" s="89">
        <f t="shared" si="67"/>
        <v>1538014.3516100072</v>
      </c>
      <c r="AJ70" s="89">
        <f t="shared" si="67"/>
        <v>1690641.7300140543</v>
      </c>
      <c r="AK70" s="89">
        <f t="shared" si="67"/>
        <v>1843269.108418101</v>
      </c>
      <c r="AL70" s="89">
        <f t="shared" si="67"/>
        <v>1995896.4868221469</v>
      </c>
      <c r="AM70" s="89">
        <f t="shared" si="67"/>
        <v>2148523.8652261938</v>
      </c>
      <c r="AN70" s="89">
        <f t="shared" si="67"/>
        <v>2301151.2436302397</v>
      </c>
      <c r="AO70" s="89">
        <f t="shared" si="67"/>
        <v>2301151.2436302397</v>
      </c>
      <c r="AP70" s="89">
        <f t="shared" si="67"/>
        <v>2301151.2436302397</v>
      </c>
      <c r="AQ70" s="89">
        <f t="shared" si="67"/>
        <v>2353434.6897387048</v>
      </c>
      <c r="AR70" s="89">
        <f t="shared" si="67"/>
        <v>2353434.6897387048</v>
      </c>
      <c r="AS70" s="89">
        <f t="shared" si="67"/>
        <v>2353434.6897387048</v>
      </c>
      <c r="AT70" s="89">
        <f t="shared" si="67"/>
        <v>2353434.6897387048</v>
      </c>
      <c r="AU70" s="89">
        <f t="shared" si="67"/>
        <v>2353434.6897387048</v>
      </c>
      <c r="AV70" s="89">
        <f t="shared" si="67"/>
        <v>2353434.6897387048</v>
      </c>
      <c r="AW70" s="89">
        <f t="shared" si="67"/>
        <v>2353434.6897387048</v>
      </c>
      <c r="AX70" s="89">
        <f t="shared" si="67"/>
        <v>2353434.6897387048</v>
      </c>
      <c r="AY70" s="89">
        <f t="shared" si="67"/>
        <v>2353434.6897387048</v>
      </c>
      <c r="AZ70" s="89">
        <f t="shared" si="67"/>
        <v>2353434.6897387048</v>
      </c>
      <c r="BA70" s="89">
        <f t="shared" si="67"/>
        <v>2353434.6897387048</v>
      </c>
      <c r="BB70" s="89">
        <f t="shared" si="67"/>
        <v>2353434.6897387048</v>
      </c>
      <c r="BC70" s="89">
        <f t="shared" si="67"/>
        <v>2406907.7944577644</v>
      </c>
      <c r="BD70" s="89">
        <f t="shared" si="67"/>
        <v>2406907.7944577644</v>
      </c>
      <c r="BE70" s="89">
        <f t="shared" si="67"/>
        <v>2406907.7944577644</v>
      </c>
      <c r="BF70" s="89">
        <f t="shared" si="67"/>
        <v>2406907.7944577644</v>
      </c>
      <c r="BG70" s="89">
        <f t="shared" si="67"/>
        <v>2406907.7944577644</v>
      </c>
      <c r="BH70" s="89">
        <f t="shared" si="67"/>
        <v>2406907.7944577644</v>
      </c>
      <c r="BI70" s="89">
        <f t="shared" si="67"/>
        <v>29539171.952669557</v>
      </c>
      <c r="BJ70" s="89">
        <f t="shared" ref="BJ70" si="68">SUM(BJ68:BJ69)</f>
        <v>30210384.212845124</v>
      </c>
      <c r="BK70" s="89">
        <f t="shared" ref="BK70" si="69">SUM(BK68:BK69)</f>
        <v>30896870.581110004</v>
      </c>
      <c r="BL70" s="89">
        <f t="shared" ref="BL70" si="70">SUM(BL68:BL69)</f>
        <v>31598979.08647237</v>
      </c>
      <c r="BM70" s="89">
        <f t="shared" ref="BM70" si="71">SUM(BM68:BM69)</f>
        <v>32317065.697098009</v>
      </c>
      <c r="BN70" s="89">
        <f t="shared" ref="BN70" si="72">SUM(BN68:BN69)</f>
        <v>33051494.501600772</v>
      </c>
      <c r="BO70" s="89">
        <f t="shared" ref="BO70" si="73">SUM(BO68:BO69)</f>
        <v>33742364.690069169</v>
      </c>
    </row>
    <row r="71" spans="1:67">
      <c r="A71" s="11"/>
      <c r="B71" s="11"/>
      <c r="C71" s="11"/>
      <c r="D71" s="33"/>
      <c r="E71" s="33"/>
      <c r="F71" s="4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row>
    <row r="72" spans="1:67">
      <c r="A72" s="18" t="s">
        <v>424</v>
      </c>
      <c r="B72" s="18"/>
      <c r="C72" s="18"/>
      <c r="D72" s="39"/>
      <c r="E72" s="39"/>
      <c r="F72" s="39"/>
      <c r="G72" s="40"/>
      <c r="H72" s="40"/>
      <c r="I72" s="40"/>
      <c r="J72" s="40"/>
      <c r="K72" s="40"/>
      <c r="L72" s="40"/>
      <c r="M72" s="40"/>
      <c r="N72" s="40"/>
      <c r="O72" s="40"/>
      <c r="P72" s="40"/>
      <c r="Q72" s="40"/>
      <c r="R72" s="40"/>
      <c r="S72" s="40"/>
      <c r="T72" s="40"/>
      <c r="U72" s="40"/>
      <c r="V72" s="40"/>
      <c r="W72" s="40"/>
      <c r="X72" s="40"/>
      <c r="Y72" s="40"/>
      <c r="Z72" s="40"/>
      <c r="AA72" s="40"/>
      <c r="AB72" s="40"/>
      <c r="AC72" s="40"/>
      <c r="AD72" s="40"/>
      <c r="AE72" s="40"/>
      <c r="AF72" s="40"/>
      <c r="AG72" s="40"/>
      <c r="AH72" s="40"/>
      <c r="AI72" s="40"/>
      <c r="AJ72" s="40"/>
      <c r="AK72" s="40"/>
      <c r="AL72" s="40"/>
      <c r="AM72" s="40"/>
      <c r="AN72" s="40"/>
      <c r="AO72" s="40"/>
      <c r="AP72" s="40"/>
      <c r="AQ72" s="40"/>
      <c r="AR72" s="40"/>
      <c r="AS72" s="40"/>
      <c r="AT72" s="40"/>
      <c r="AU72" s="40"/>
      <c r="AV72" s="40"/>
      <c r="AW72" s="40"/>
      <c r="AX72" s="40"/>
      <c r="AY72" s="40"/>
      <c r="AZ72" s="40"/>
      <c r="BA72" s="40"/>
      <c r="BB72" s="40"/>
      <c r="BC72" s="40"/>
      <c r="BD72" s="40"/>
      <c r="BE72" s="40"/>
      <c r="BF72" s="40"/>
      <c r="BG72" s="40"/>
      <c r="BH72" s="40"/>
      <c r="BI72" s="40"/>
      <c r="BJ72" s="40"/>
      <c r="BK72" s="40"/>
      <c r="BL72" s="40"/>
      <c r="BM72" s="40"/>
      <c r="BN72" s="40"/>
      <c r="BO72" s="40"/>
    </row>
    <row r="73" spans="1:67">
      <c r="A73" s="11"/>
      <c r="B73" s="11"/>
      <c r="C73" s="11" t="s">
        <v>150</v>
      </c>
      <c r="D73" s="33"/>
      <c r="E73" s="33"/>
      <c r="F73" s="10" t="s">
        <v>13</v>
      </c>
      <c r="G73" s="90">
        <f>IF('01 Major Assumptions'!G$15=0,0,'01 Major Assumptions'!$D$115*'01 Major Assumptions'!G$14*(1+'01 Major Assumptions'!$D$23)^'02 Oil Price Analysis'!G$57)</f>
        <v>0</v>
      </c>
      <c r="H73" s="90">
        <f>IF('01 Major Assumptions'!H$15=0,0,'01 Major Assumptions'!$D$115*'01 Major Assumptions'!H$14*(1+'01 Major Assumptions'!$D$23)^'02 Oil Price Analysis'!H$57)</f>
        <v>0</v>
      </c>
      <c r="I73" s="90">
        <f>IF('01 Major Assumptions'!I$15=0,0,'01 Major Assumptions'!$D$115*'01 Major Assumptions'!I$14*(1+'01 Major Assumptions'!$D$23)^'02 Oil Price Analysis'!I$57)</f>
        <v>0</v>
      </c>
      <c r="J73" s="90">
        <f>IF('01 Major Assumptions'!J$15=0,0,'01 Major Assumptions'!$D$115*'01 Major Assumptions'!J$14*(1+'01 Major Assumptions'!$D$23)^'02 Oil Price Analysis'!J$57)</f>
        <v>0</v>
      </c>
      <c r="K73" s="90">
        <f>IF('01 Major Assumptions'!K$15=0,0,'01 Major Assumptions'!$D$115*'01 Major Assumptions'!K$14*(1+'01 Major Assumptions'!$D$23)^'02 Oil Price Analysis'!K$57)</f>
        <v>0</v>
      </c>
      <c r="L73" s="90">
        <f>IF('01 Major Assumptions'!L$15=0,0,'01 Major Assumptions'!$D$115*'01 Major Assumptions'!L$14*(1+'01 Major Assumptions'!$D$23)^'02 Oil Price Analysis'!L$57)</f>
        <v>0</v>
      </c>
      <c r="M73" s="90">
        <f>IF('01 Major Assumptions'!M$15=0,0,'01 Major Assumptions'!$D$115*'01 Major Assumptions'!M$14*(1+'01 Major Assumptions'!$D$23)^'02 Oil Price Analysis'!M$57)</f>
        <v>0</v>
      </c>
      <c r="N73" s="90">
        <f>IF('01 Major Assumptions'!N$15=0,0,'01 Major Assumptions'!$D$115*'01 Major Assumptions'!N$14*(1+'01 Major Assumptions'!$D$23)^'02 Oil Price Analysis'!N$57)</f>
        <v>0</v>
      </c>
      <c r="O73" s="90">
        <f>IF('01 Major Assumptions'!O$15=0,0,'01 Major Assumptions'!$D$115*'01 Major Assumptions'!O$14*(1+'01 Major Assumptions'!$D$23)^'02 Oil Price Analysis'!O$57)</f>
        <v>0</v>
      </c>
      <c r="P73" s="90">
        <f>IF('01 Major Assumptions'!P$15=0,0,'01 Major Assumptions'!$D$115*'01 Major Assumptions'!P$14*(1+'01 Major Assumptions'!$D$23)^'02 Oil Price Analysis'!P$57)</f>
        <v>0</v>
      </c>
      <c r="Q73" s="90">
        <f>IF('01 Major Assumptions'!Q$15=0,0,'01 Major Assumptions'!$D$115*'01 Major Assumptions'!Q$14*(1+'01 Major Assumptions'!$D$23)^'02 Oil Price Analysis'!Q$57)</f>
        <v>0</v>
      </c>
      <c r="R73" s="90">
        <f>IF('01 Major Assumptions'!R$15=0,0,'01 Major Assumptions'!$D$115*'01 Major Assumptions'!R$14*(1+'01 Major Assumptions'!$D$23)^'02 Oil Price Analysis'!R$57)</f>
        <v>0</v>
      </c>
      <c r="S73" s="90">
        <f>IF('01 Major Assumptions'!S$15=0,0,'01 Major Assumptions'!$D$115*'01 Major Assumptions'!S$14*(1+'01 Major Assumptions'!$D$23)^'02 Oil Price Analysis'!S$57)</f>
        <v>0</v>
      </c>
      <c r="T73" s="90">
        <f>IF('01 Major Assumptions'!T$15=0,0,'01 Major Assumptions'!$D$115*'01 Major Assumptions'!T$14*(1+'01 Major Assumptions'!$D$23)^'02 Oil Price Analysis'!T$57)</f>
        <v>0</v>
      </c>
      <c r="U73" s="90">
        <f>IF('01 Major Assumptions'!U$15=0,0,'01 Major Assumptions'!$D$115*'01 Major Assumptions'!U$14*(1+'01 Major Assumptions'!$D$23)^'02 Oil Price Analysis'!U$57)</f>
        <v>0</v>
      </c>
      <c r="V73" s="90">
        <f>IF('01 Major Assumptions'!V$15=0,0,'01 Major Assumptions'!$D$115*'01 Major Assumptions'!V$14*(1+'01 Major Assumptions'!$D$23)^'02 Oil Price Analysis'!V$57)</f>
        <v>0</v>
      </c>
      <c r="W73" s="90">
        <f>IF('01 Major Assumptions'!W$15=0,0,'01 Major Assumptions'!$D$115*'01 Major Assumptions'!W$14*(1+'01 Major Assumptions'!$D$23)^'02 Oil Price Analysis'!W$57)</f>
        <v>0</v>
      </c>
      <c r="X73" s="90">
        <f>IF('01 Major Assumptions'!X$15=0,0,'01 Major Assumptions'!$D$115*'01 Major Assumptions'!X$14*(1+'01 Major Assumptions'!$D$23)^'02 Oil Price Analysis'!X$57)</f>
        <v>0</v>
      </c>
      <c r="Y73" s="90">
        <f>IF('01 Major Assumptions'!Y$15=0,0,'01 Major Assumptions'!$D$115*'01 Major Assumptions'!Y$14*(1+'01 Major Assumptions'!$D$23)^'02 Oil Price Analysis'!Y$57)</f>
        <v>0</v>
      </c>
      <c r="Z73" s="90">
        <f>IF('01 Major Assumptions'!Z$15=0,0,'01 Major Assumptions'!$D$115*'01 Major Assumptions'!Z$14*(1+'01 Major Assumptions'!$D$23)^'02 Oil Price Analysis'!Z$57)</f>
        <v>0</v>
      </c>
      <c r="AA73" s="90">
        <f>IF('01 Major Assumptions'!AA$15=0,0,'01 Major Assumptions'!$D$115*'01 Major Assumptions'!AA$14*(1+'01 Major Assumptions'!$D$23)^'02 Oil Price Analysis'!AA$57)</f>
        <v>0</v>
      </c>
      <c r="AB73" s="90">
        <f>IF('01 Major Assumptions'!AB$15=0,0,'01 Major Assumptions'!$D$115*'01 Major Assumptions'!AB$14*(1+'01 Major Assumptions'!$D$23)^'02 Oil Price Analysis'!AB$57)</f>
        <v>409199.99999999994</v>
      </c>
      <c r="AC73" s="90">
        <f>IF('01 Major Assumptions'!AC$15=0,0,'01 Major Assumptions'!$D$115*'01 Major Assumptions'!AC$14*(1+'01 Major Assumptions'!$D$23)^'02 Oil Price Analysis'!AC$57)</f>
        <v>409199.99999999994</v>
      </c>
      <c r="AD73" s="90">
        <f>IF('01 Major Assumptions'!AD$15=0,0,'01 Major Assumptions'!$D$115*'01 Major Assumptions'!AD$14*(1+'01 Major Assumptions'!$D$23)^'02 Oil Price Analysis'!AD$57)</f>
        <v>409199.99999999994</v>
      </c>
      <c r="AE73" s="90">
        <f>IF('01 Major Assumptions'!AE$15=0,0,'01 Major Assumptions'!$D$115*'01 Major Assumptions'!AE$14*(1+'01 Major Assumptions'!$D$23)^'02 Oil Price Analysis'!AE$57)</f>
        <v>418611.59999999992</v>
      </c>
      <c r="AF73" s="90">
        <f>IF('01 Major Assumptions'!AF$15=0,0,'01 Major Assumptions'!$D$115*'01 Major Assumptions'!AF$14*(1+'01 Major Assumptions'!$D$23)^'02 Oil Price Analysis'!AF$57)</f>
        <v>418611.59999999992</v>
      </c>
      <c r="AG73" s="90">
        <f>IF('01 Major Assumptions'!AG$15=0,0,'01 Major Assumptions'!$D$115*'01 Major Assumptions'!AG$14*(1+'01 Major Assumptions'!$D$23)^'02 Oil Price Analysis'!AG$57)</f>
        <v>418611.59999999992</v>
      </c>
      <c r="AH73" s="90">
        <f>IF('01 Major Assumptions'!AH$15=0,0,'01 Major Assumptions'!$D$115*'01 Major Assumptions'!AH$14*(1+'01 Major Assumptions'!$D$23)^'02 Oil Price Analysis'!AH$57)</f>
        <v>418611.59999999992</v>
      </c>
      <c r="AI73" s="90">
        <f>IF('01 Major Assumptions'!AI$15=0,0,'01 Major Assumptions'!$D$115*'01 Major Assumptions'!AI$14*(1+'01 Major Assumptions'!$D$23)^'02 Oil Price Analysis'!AI$57)</f>
        <v>418611.59999999992</v>
      </c>
      <c r="AJ73" s="90">
        <f>IF('01 Major Assumptions'!AJ$15=0,0,'01 Major Assumptions'!$D$115*'01 Major Assumptions'!AJ$14*(1+'01 Major Assumptions'!$D$23)^'02 Oil Price Analysis'!AJ$57)</f>
        <v>418611.59999999992</v>
      </c>
      <c r="AK73" s="90">
        <f>IF('01 Major Assumptions'!AK$15=0,0,'01 Major Assumptions'!$D$115*'01 Major Assumptions'!AK$14*(1+'01 Major Assumptions'!$D$23)^'02 Oil Price Analysis'!AK$57)</f>
        <v>418611.59999999992</v>
      </c>
      <c r="AL73" s="90">
        <f>IF('01 Major Assumptions'!AL$15=0,0,'01 Major Assumptions'!$D$115*'01 Major Assumptions'!AL$14*(1+'01 Major Assumptions'!$D$23)^'02 Oil Price Analysis'!AL$57)</f>
        <v>418611.59999999992</v>
      </c>
      <c r="AM73" s="90">
        <f>IF('01 Major Assumptions'!AM$15=0,0,'01 Major Assumptions'!$D$115*'01 Major Assumptions'!AM$14*(1+'01 Major Assumptions'!$D$23)^'02 Oil Price Analysis'!AM$57)</f>
        <v>418611.59999999992</v>
      </c>
      <c r="AN73" s="90">
        <f>IF('01 Major Assumptions'!AN$15=0,0,'01 Major Assumptions'!$D$115*'01 Major Assumptions'!AN$14*(1+'01 Major Assumptions'!$D$23)^'02 Oil Price Analysis'!AN$57)</f>
        <v>418611.59999999992</v>
      </c>
      <c r="AO73" s="90">
        <f>IF('01 Major Assumptions'!AO$15=0,0,'01 Major Assumptions'!$D$115*'01 Major Assumptions'!AO$14*(1+'01 Major Assumptions'!$D$23)^'02 Oil Price Analysis'!AO$57)</f>
        <v>418611.59999999992</v>
      </c>
      <c r="AP73" s="90">
        <f>IF('01 Major Assumptions'!AP$15=0,0,'01 Major Assumptions'!$D$115*'01 Major Assumptions'!AP$14*(1+'01 Major Assumptions'!$D$23)^'02 Oil Price Analysis'!AP$57)</f>
        <v>418611.59999999992</v>
      </c>
      <c r="AQ73" s="90">
        <f>IF('01 Major Assumptions'!AQ$15=0,0,'01 Major Assumptions'!$D$115*'01 Major Assumptions'!AQ$14*(1+'01 Major Assumptions'!$D$23)^'02 Oil Price Analysis'!AQ$57)</f>
        <v>428239.66679999989</v>
      </c>
      <c r="AR73" s="90">
        <f>IF('01 Major Assumptions'!AR$15=0,0,'01 Major Assumptions'!$D$115*'01 Major Assumptions'!AR$14*(1+'01 Major Assumptions'!$D$23)^'02 Oil Price Analysis'!AR$57)</f>
        <v>428239.66679999989</v>
      </c>
      <c r="AS73" s="90">
        <f>IF('01 Major Assumptions'!AS$15=0,0,'01 Major Assumptions'!$D$115*'01 Major Assumptions'!AS$14*(1+'01 Major Assumptions'!$D$23)^'02 Oil Price Analysis'!AS$57)</f>
        <v>428239.66679999989</v>
      </c>
      <c r="AT73" s="90">
        <f>IF('01 Major Assumptions'!AT$15=0,0,'01 Major Assumptions'!$D$115*'01 Major Assumptions'!AT$14*(1+'01 Major Assumptions'!$D$23)^'02 Oil Price Analysis'!AT$57)</f>
        <v>428239.66679999989</v>
      </c>
      <c r="AU73" s="90">
        <f>IF('01 Major Assumptions'!AU$15=0,0,'01 Major Assumptions'!$D$115*'01 Major Assumptions'!AU$14*(1+'01 Major Assumptions'!$D$23)^'02 Oil Price Analysis'!AU$57)</f>
        <v>428239.66679999989</v>
      </c>
      <c r="AV73" s="90">
        <f>IF('01 Major Assumptions'!AV$15=0,0,'01 Major Assumptions'!$D$115*'01 Major Assumptions'!AV$14*(1+'01 Major Assumptions'!$D$23)^'02 Oil Price Analysis'!AV$57)</f>
        <v>428239.66679999989</v>
      </c>
      <c r="AW73" s="90">
        <f>IF('01 Major Assumptions'!AW$15=0,0,'01 Major Assumptions'!$D$115*'01 Major Assumptions'!AW$14*(1+'01 Major Assumptions'!$D$23)^'02 Oil Price Analysis'!AW$57)</f>
        <v>428239.66679999989</v>
      </c>
      <c r="AX73" s="90">
        <f>IF('01 Major Assumptions'!AX$15=0,0,'01 Major Assumptions'!$D$115*'01 Major Assumptions'!AX$14*(1+'01 Major Assumptions'!$D$23)^'02 Oil Price Analysis'!AX$57)</f>
        <v>428239.66679999989</v>
      </c>
      <c r="AY73" s="90">
        <f>IF('01 Major Assumptions'!AY$15=0,0,'01 Major Assumptions'!$D$115*'01 Major Assumptions'!AY$14*(1+'01 Major Assumptions'!$D$23)^'02 Oil Price Analysis'!AY$57)</f>
        <v>428239.66679999989</v>
      </c>
      <c r="AZ73" s="90">
        <f>IF('01 Major Assumptions'!AZ$15=0,0,'01 Major Assumptions'!$D$115*'01 Major Assumptions'!AZ$14*(1+'01 Major Assumptions'!$D$23)^'02 Oil Price Analysis'!AZ$57)</f>
        <v>428239.66679999989</v>
      </c>
      <c r="BA73" s="90">
        <f>IF('01 Major Assumptions'!BA$15=0,0,'01 Major Assumptions'!$D$115*'01 Major Assumptions'!BA$14*(1+'01 Major Assumptions'!$D$23)^'02 Oil Price Analysis'!BA$57)</f>
        <v>428239.66679999989</v>
      </c>
      <c r="BB73" s="90">
        <f>IF('01 Major Assumptions'!BB$15=0,0,'01 Major Assumptions'!$D$115*'01 Major Assumptions'!BB$14*(1+'01 Major Assumptions'!$D$23)^'02 Oil Price Analysis'!BB$57)</f>
        <v>428239.66679999989</v>
      </c>
      <c r="BC73" s="90">
        <f>IF('01 Major Assumptions'!BC$15=0,0,'01 Major Assumptions'!$D$115*'01 Major Assumptions'!BC$14*(1+'01 Major Assumptions'!$D$23)^'02 Oil Price Analysis'!BC$57)</f>
        <v>438089.17913639982</v>
      </c>
      <c r="BD73" s="90">
        <f>IF('01 Major Assumptions'!BD$15=0,0,'01 Major Assumptions'!$D$115*'01 Major Assumptions'!BD$14*(1+'01 Major Assumptions'!$D$23)^'02 Oil Price Analysis'!BD$57)</f>
        <v>438089.17913639982</v>
      </c>
      <c r="BE73" s="90">
        <f>IF('01 Major Assumptions'!BE$15=0,0,'01 Major Assumptions'!$D$115*'01 Major Assumptions'!BE$14*(1+'01 Major Assumptions'!$D$23)^'02 Oil Price Analysis'!BE$57)</f>
        <v>438089.17913639982</v>
      </c>
      <c r="BF73" s="90">
        <f>IF('01 Major Assumptions'!BF$15=0,0,'01 Major Assumptions'!$D$115*'01 Major Assumptions'!BF$14*(1+'01 Major Assumptions'!$D$23)^'02 Oil Price Analysis'!BF$57)</f>
        <v>438089.17913639982</v>
      </c>
      <c r="BG73" s="90">
        <f>IF('01 Major Assumptions'!BG$15=0,0,'01 Major Assumptions'!$D$115*'01 Major Assumptions'!BG$14*(1+'01 Major Assumptions'!$D$23)^'02 Oil Price Analysis'!BG$57)</f>
        <v>438089.17913639982</v>
      </c>
      <c r="BH73" s="90">
        <f>IF('01 Major Assumptions'!BH$15=0,0,'01 Major Assumptions'!$D$115*'01 Major Assumptions'!BH$14*(1+'01 Major Assumptions'!$D$23)^'02 Oil Price Analysis'!BH$57)</f>
        <v>438089.17913639982</v>
      </c>
      <c r="BI73" s="90">
        <f>IF('01 Major Assumptions'!BI$15=0,0,'01 Major Assumptions'!$D$115*'01 Major Assumptions'!BI$14*(1+'01 Major Assumptions'!$D$23)^'02 Oil Price Analysis'!BI$57)</f>
        <v>5377982.7630784437</v>
      </c>
      <c r="BJ73" s="90">
        <f>IF('01 Major Assumptions'!BJ$15=0,0,'01 Major Assumptions'!$D$115*'01 Major Assumptions'!BJ$14*(1+'01 Major Assumptions'!$D$23)^'02 Oil Price Analysis'!BJ$57)</f>
        <v>5501676.3666292476</v>
      </c>
      <c r="BK73" s="90">
        <f>IF('01 Major Assumptions'!BK$15=0,0,'01 Major Assumptions'!$D$115*'01 Major Assumptions'!BK$14*(1+'01 Major Assumptions'!$D$23)^'02 Oil Price Analysis'!BK$57)</f>
        <v>5628214.9230617192</v>
      </c>
      <c r="BL73" s="90">
        <f>IF('01 Major Assumptions'!BL$15=0,0,'01 Major Assumptions'!$D$115*'01 Major Assumptions'!BL$14*(1+'01 Major Assumptions'!$D$23)^'02 Oil Price Analysis'!BL$57)</f>
        <v>5757663.8662921386</v>
      </c>
      <c r="BM73" s="90">
        <f>IF('01 Major Assumptions'!BM$15=0,0,'01 Major Assumptions'!$D$115*'01 Major Assumptions'!BM$14*(1+'01 Major Assumptions'!$D$23)^'02 Oil Price Analysis'!BM$57)</f>
        <v>5890090.1352168573</v>
      </c>
      <c r="BN73" s="90">
        <f>IF('01 Major Assumptions'!BN$15=0,0,'01 Major Assumptions'!$D$115*'01 Major Assumptions'!BN$14*(1+'01 Major Assumptions'!$D$23)^'02 Oil Price Analysis'!BN$57)</f>
        <v>6025562.2083268445</v>
      </c>
      <c r="BO73" s="90">
        <f>IF('01 Major Assumptions'!BO$15=0,0,'01 Major Assumptions'!$D$115*'01 Major Assumptions'!BO$14*(1+'01 Major Assumptions'!$D$23)^'02 Oil Price Analysis'!BO$57)</f>
        <v>6164150.1391183613</v>
      </c>
    </row>
    <row r="74" spans="1:67">
      <c r="A74" s="11"/>
      <c r="B74" s="11"/>
      <c r="C74" s="11" t="s">
        <v>151</v>
      </c>
      <c r="D74" s="33"/>
      <c r="E74" s="33"/>
      <c r="F74" s="10" t="s">
        <v>13</v>
      </c>
      <c r="G74" s="90">
        <f>IF('01 Major Assumptions'!G$15=0,0,'01 Major Assumptions'!$D$116*'01 Major Assumptions'!G$14*(1+'01 Major Assumptions'!$D$23)^'02 Oil Price Analysis'!G$57)</f>
        <v>0</v>
      </c>
      <c r="H74" s="90">
        <f>IF('01 Major Assumptions'!H$15=0,0,'01 Major Assumptions'!$D$116*'01 Major Assumptions'!H$14*(1+'01 Major Assumptions'!$D$23)^'02 Oil Price Analysis'!H$57)</f>
        <v>0</v>
      </c>
      <c r="I74" s="90">
        <f>IF('01 Major Assumptions'!I$15=0,0,'01 Major Assumptions'!$D$116*'01 Major Assumptions'!I$14*(1+'01 Major Assumptions'!$D$23)^'02 Oil Price Analysis'!I$57)</f>
        <v>0</v>
      </c>
      <c r="J74" s="90">
        <f>IF('01 Major Assumptions'!J$15=0,0,'01 Major Assumptions'!$D$116*'01 Major Assumptions'!J$14*(1+'01 Major Assumptions'!$D$23)^'02 Oil Price Analysis'!J$57)</f>
        <v>0</v>
      </c>
      <c r="K74" s="90">
        <f>IF('01 Major Assumptions'!K$15=0,0,'01 Major Assumptions'!$D$116*'01 Major Assumptions'!K$14*(1+'01 Major Assumptions'!$D$23)^'02 Oil Price Analysis'!K$57)</f>
        <v>0</v>
      </c>
      <c r="L74" s="90">
        <f>IF('01 Major Assumptions'!L$15=0,0,'01 Major Assumptions'!$D$116*'01 Major Assumptions'!L$14*(1+'01 Major Assumptions'!$D$23)^'02 Oil Price Analysis'!L$57)</f>
        <v>0</v>
      </c>
      <c r="M74" s="90">
        <f>IF('01 Major Assumptions'!M$15=0,0,'01 Major Assumptions'!$D$116*'01 Major Assumptions'!M$14*(1+'01 Major Assumptions'!$D$23)^'02 Oil Price Analysis'!M$57)</f>
        <v>0</v>
      </c>
      <c r="N74" s="90">
        <f>IF('01 Major Assumptions'!N$15=0,0,'01 Major Assumptions'!$D$116*'01 Major Assumptions'!N$14*(1+'01 Major Assumptions'!$D$23)^'02 Oil Price Analysis'!N$57)</f>
        <v>0</v>
      </c>
      <c r="O74" s="90">
        <f>IF('01 Major Assumptions'!O$15=0,0,'01 Major Assumptions'!$D$116*'01 Major Assumptions'!O$14*(1+'01 Major Assumptions'!$D$23)^'02 Oil Price Analysis'!O$57)</f>
        <v>0</v>
      </c>
      <c r="P74" s="90">
        <f>IF('01 Major Assumptions'!P$15=0,0,'01 Major Assumptions'!$D$116*'01 Major Assumptions'!P$14*(1+'01 Major Assumptions'!$D$23)^'02 Oil Price Analysis'!P$57)</f>
        <v>0</v>
      </c>
      <c r="Q74" s="90">
        <f>IF('01 Major Assumptions'!Q$15=0,0,'01 Major Assumptions'!$D$116*'01 Major Assumptions'!Q$14*(1+'01 Major Assumptions'!$D$23)^'02 Oil Price Analysis'!Q$57)</f>
        <v>0</v>
      </c>
      <c r="R74" s="90">
        <f>IF('01 Major Assumptions'!R$15=0,0,'01 Major Assumptions'!$D$116*'01 Major Assumptions'!R$14*(1+'01 Major Assumptions'!$D$23)^'02 Oil Price Analysis'!R$57)</f>
        <v>0</v>
      </c>
      <c r="S74" s="90">
        <f>IF('01 Major Assumptions'!S$15=0,0,'01 Major Assumptions'!$D$116*'01 Major Assumptions'!S$14*(1+'01 Major Assumptions'!$D$23)^'02 Oil Price Analysis'!S$57)</f>
        <v>0</v>
      </c>
      <c r="T74" s="90">
        <f>IF('01 Major Assumptions'!T$15=0,0,'01 Major Assumptions'!$D$116*'01 Major Assumptions'!T$14*(1+'01 Major Assumptions'!$D$23)^'02 Oil Price Analysis'!T$57)</f>
        <v>0</v>
      </c>
      <c r="U74" s="90">
        <f>IF('01 Major Assumptions'!U$15=0,0,'01 Major Assumptions'!$D$116*'01 Major Assumptions'!U$14*(1+'01 Major Assumptions'!$D$23)^'02 Oil Price Analysis'!U$57)</f>
        <v>0</v>
      </c>
      <c r="V74" s="90">
        <f>IF('01 Major Assumptions'!V$15=0,0,'01 Major Assumptions'!$D$116*'01 Major Assumptions'!V$14*(1+'01 Major Assumptions'!$D$23)^'02 Oil Price Analysis'!V$57)</f>
        <v>0</v>
      </c>
      <c r="W74" s="90">
        <f>IF('01 Major Assumptions'!W$15=0,0,'01 Major Assumptions'!$D$116*'01 Major Assumptions'!W$14*(1+'01 Major Assumptions'!$D$23)^'02 Oil Price Analysis'!W$57)</f>
        <v>0</v>
      </c>
      <c r="X74" s="90">
        <f>IF('01 Major Assumptions'!X$15=0,0,'01 Major Assumptions'!$D$116*'01 Major Assumptions'!X$14*(1+'01 Major Assumptions'!$D$23)^'02 Oil Price Analysis'!X$57)</f>
        <v>0</v>
      </c>
      <c r="Y74" s="90">
        <f>IF('01 Major Assumptions'!Y$15=0,0,'01 Major Assumptions'!$D$116*'01 Major Assumptions'!Y$14*(1+'01 Major Assumptions'!$D$23)^'02 Oil Price Analysis'!Y$57)</f>
        <v>0</v>
      </c>
      <c r="Z74" s="90">
        <f>IF('01 Major Assumptions'!Z$15=0,0,'01 Major Assumptions'!$D$116*'01 Major Assumptions'!Z$14*(1+'01 Major Assumptions'!$D$23)^'02 Oil Price Analysis'!Z$57)</f>
        <v>0</v>
      </c>
      <c r="AA74" s="90">
        <f>IF('01 Major Assumptions'!AA$15=0,0,'01 Major Assumptions'!$D$116*'01 Major Assumptions'!AA$14*(1+'01 Major Assumptions'!$D$23)^'02 Oil Price Analysis'!AA$57)</f>
        <v>0</v>
      </c>
      <c r="AB74" s="90">
        <f>IF('01 Major Assumptions'!AB$15=0,0,'01 Major Assumptions'!$D$116*'01 Major Assumptions'!AB$14*(1+'01 Major Assumptions'!$D$23)^'02 Oil Price Analysis'!AB$57)</f>
        <v>153450</v>
      </c>
      <c r="AC74" s="90">
        <f>IF('01 Major Assumptions'!AC$15=0,0,'01 Major Assumptions'!$D$116*'01 Major Assumptions'!AC$14*(1+'01 Major Assumptions'!$D$23)^'02 Oil Price Analysis'!AC$57)</f>
        <v>153450</v>
      </c>
      <c r="AD74" s="90">
        <f>IF('01 Major Assumptions'!AD$15=0,0,'01 Major Assumptions'!$D$116*'01 Major Assumptions'!AD$14*(1+'01 Major Assumptions'!$D$23)^'02 Oil Price Analysis'!AD$57)</f>
        <v>153450</v>
      </c>
      <c r="AE74" s="90">
        <f>IF('01 Major Assumptions'!AE$15=0,0,'01 Major Assumptions'!$D$116*'01 Major Assumptions'!AE$14*(1+'01 Major Assumptions'!$D$23)^'02 Oil Price Analysis'!AE$57)</f>
        <v>156979.34999999998</v>
      </c>
      <c r="AF74" s="90">
        <f>IF('01 Major Assumptions'!AF$15=0,0,'01 Major Assumptions'!$D$116*'01 Major Assumptions'!AF$14*(1+'01 Major Assumptions'!$D$23)^'02 Oil Price Analysis'!AF$57)</f>
        <v>156979.34999999998</v>
      </c>
      <c r="AG74" s="90">
        <f>IF('01 Major Assumptions'!AG$15=0,0,'01 Major Assumptions'!$D$116*'01 Major Assumptions'!AG$14*(1+'01 Major Assumptions'!$D$23)^'02 Oil Price Analysis'!AG$57)</f>
        <v>156979.34999999998</v>
      </c>
      <c r="AH74" s="90">
        <f>IF('01 Major Assumptions'!AH$15=0,0,'01 Major Assumptions'!$D$116*'01 Major Assumptions'!AH$14*(1+'01 Major Assumptions'!$D$23)^'02 Oil Price Analysis'!AH$57)</f>
        <v>156979.34999999998</v>
      </c>
      <c r="AI74" s="90">
        <f>IF('01 Major Assumptions'!AI$15=0,0,'01 Major Assumptions'!$D$116*'01 Major Assumptions'!AI$14*(1+'01 Major Assumptions'!$D$23)^'02 Oil Price Analysis'!AI$57)</f>
        <v>156979.34999999998</v>
      </c>
      <c r="AJ74" s="90">
        <f>IF('01 Major Assumptions'!AJ$15=0,0,'01 Major Assumptions'!$D$116*'01 Major Assumptions'!AJ$14*(1+'01 Major Assumptions'!$D$23)^'02 Oil Price Analysis'!AJ$57)</f>
        <v>156979.34999999998</v>
      </c>
      <c r="AK74" s="90">
        <f>IF('01 Major Assumptions'!AK$15=0,0,'01 Major Assumptions'!$D$116*'01 Major Assumptions'!AK$14*(1+'01 Major Assumptions'!$D$23)^'02 Oil Price Analysis'!AK$57)</f>
        <v>156979.34999999998</v>
      </c>
      <c r="AL74" s="90">
        <f>IF('01 Major Assumptions'!AL$15=0,0,'01 Major Assumptions'!$D$116*'01 Major Assumptions'!AL$14*(1+'01 Major Assumptions'!$D$23)^'02 Oil Price Analysis'!AL$57)</f>
        <v>156979.34999999998</v>
      </c>
      <c r="AM74" s="90">
        <f>IF('01 Major Assumptions'!AM$15=0,0,'01 Major Assumptions'!$D$116*'01 Major Assumptions'!AM$14*(1+'01 Major Assumptions'!$D$23)^'02 Oil Price Analysis'!AM$57)</f>
        <v>156979.34999999998</v>
      </c>
      <c r="AN74" s="90">
        <f>IF('01 Major Assumptions'!AN$15=0,0,'01 Major Assumptions'!$D$116*'01 Major Assumptions'!AN$14*(1+'01 Major Assumptions'!$D$23)^'02 Oil Price Analysis'!AN$57)</f>
        <v>156979.34999999998</v>
      </c>
      <c r="AO74" s="90">
        <f>IF('01 Major Assumptions'!AO$15=0,0,'01 Major Assumptions'!$D$116*'01 Major Assumptions'!AO$14*(1+'01 Major Assumptions'!$D$23)^'02 Oil Price Analysis'!AO$57)</f>
        <v>156979.34999999998</v>
      </c>
      <c r="AP74" s="90">
        <f>IF('01 Major Assumptions'!AP$15=0,0,'01 Major Assumptions'!$D$116*'01 Major Assumptions'!AP$14*(1+'01 Major Assumptions'!$D$23)^'02 Oil Price Analysis'!AP$57)</f>
        <v>156979.34999999998</v>
      </c>
      <c r="AQ74" s="90">
        <f>IF('01 Major Assumptions'!AQ$15=0,0,'01 Major Assumptions'!$D$116*'01 Major Assumptions'!AQ$14*(1+'01 Major Assumptions'!$D$23)^'02 Oil Price Analysis'!AQ$57)</f>
        <v>160589.87504999994</v>
      </c>
      <c r="AR74" s="90">
        <f>IF('01 Major Assumptions'!AR$15=0,0,'01 Major Assumptions'!$D$116*'01 Major Assumptions'!AR$14*(1+'01 Major Assumptions'!$D$23)^'02 Oil Price Analysis'!AR$57)</f>
        <v>160589.87504999994</v>
      </c>
      <c r="AS74" s="90">
        <f>IF('01 Major Assumptions'!AS$15=0,0,'01 Major Assumptions'!$D$116*'01 Major Assumptions'!AS$14*(1+'01 Major Assumptions'!$D$23)^'02 Oil Price Analysis'!AS$57)</f>
        <v>160589.87504999994</v>
      </c>
      <c r="AT74" s="90">
        <f>IF('01 Major Assumptions'!AT$15=0,0,'01 Major Assumptions'!$D$116*'01 Major Assumptions'!AT$14*(1+'01 Major Assumptions'!$D$23)^'02 Oil Price Analysis'!AT$57)</f>
        <v>160589.87504999994</v>
      </c>
      <c r="AU74" s="90">
        <f>IF('01 Major Assumptions'!AU$15=0,0,'01 Major Assumptions'!$D$116*'01 Major Assumptions'!AU$14*(1+'01 Major Assumptions'!$D$23)^'02 Oil Price Analysis'!AU$57)</f>
        <v>160589.87504999994</v>
      </c>
      <c r="AV74" s="90">
        <f>IF('01 Major Assumptions'!AV$15=0,0,'01 Major Assumptions'!$D$116*'01 Major Assumptions'!AV$14*(1+'01 Major Assumptions'!$D$23)^'02 Oil Price Analysis'!AV$57)</f>
        <v>160589.87504999994</v>
      </c>
      <c r="AW74" s="90">
        <f>IF('01 Major Assumptions'!AW$15=0,0,'01 Major Assumptions'!$D$116*'01 Major Assumptions'!AW$14*(1+'01 Major Assumptions'!$D$23)^'02 Oil Price Analysis'!AW$57)</f>
        <v>160589.87504999994</v>
      </c>
      <c r="AX74" s="90">
        <f>IF('01 Major Assumptions'!AX$15=0,0,'01 Major Assumptions'!$D$116*'01 Major Assumptions'!AX$14*(1+'01 Major Assumptions'!$D$23)^'02 Oil Price Analysis'!AX$57)</f>
        <v>160589.87504999994</v>
      </c>
      <c r="AY74" s="90">
        <f>IF('01 Major Assumptions'!AY$15=0,0,'01 Major Assumptions'!$D$116*'01 Major Assumptions'!AY$14*(1+'01 Major Assumptions'!$D$23)^'02 Oil Price Analysis'!AY$57)</f>
        <v>160589.87504999994</v>
      </c>
      <c r="AZ74" s="90">
        <f>IF('01 Major Assumptions'!AZ$15=0,0,'01 Major Assumptions'!$D$116*'01 Major Assumptions'!AZ$14*(1+'01 Major Assumptions'!$D$23)^'02 Oil Price Analysis'!AZ$57)</f>
        <v>160589.87504999994</v>
      </c>
      <c r="BA74" s="90">
        <f>IF('01 Major Assumptions'!BA$15=0,0,'01 Major Assumptions'!$D$116*'01 Major Assumptions'!BA$14*(1+'01 Major Assumptions'!$D$23)^'02 Oil Price Analysis'!BA$57)</f>
        <v>160589.87504999994</v>
      </c>
      <c r="BB74" s="90">
        <f>IF('01 Major Assumptions'!BB$15=0,0,'01 Major Assumptions'!$D$116*'01 Major Assumptions'!BB$14*(1+'01 Major Assumptions'!$D$23)^'02 Oil Price Analysis'!BB$57)</f>
        <v>160589.87504999994</v>
      </c>
      <c r="BC74" s="90">
        <f>IF('01 Major Assumptions'!BC$15=0,0,'01 Major Assumptions'!$D$116*'01 Major Assumptions'!BC$14*(1+'01 Major Assumptions'!$D$23)^'02 Oil Price Analysis'!BC$57)</f>
        <v>164283.44217614995</v>
      </c>
      <c r="BD74" s="90">
        <f>IF('01 Major Assumptions'!BD$15=0,0,'01 Major Assumptions'!$D$116*'01 Major Assumptions'!BD$14*(1+'01 Major Assumptions'!$D$23)^'02 Oil Price Analysis'!BD$57)</f>
        <v>164283.44217614995</v>
      </c>
      <c r="BE74" s="90">
        <f>IF('01 Major Assumptions'!BE$15=0,0,'01 Major Assumptions'!$D$116*'01 Major Assumptions'!BE$14*(1+'01 Major Assumptions'!$D$23)^'02 Oil Price Analysis'!BE$57)</f>
        <v>164283.44217614995</v>
      </c>
      <c r="BF74" s="90">
        <f>IF('01 Major Assumptions'!BF$15=0,0,'01 Major Assumptions'!$D$116*'01 Major Assumptions'!BF$14*(1+'01 Major Assumptions'!$D$23)^'02 Oil Price Analysis'!BF$57)</f>
        <v>164283.44217614995</v>
      </c>
      <c r="BG74" s="90">
        <f>IF('01 Major Assumptions'!BG$15=0,0,'01 Major Assumptions'!$D$116*'01 Major Assumptions'!BG$14*(1+'01 Major Assumptions'!$D$23)^'02 Oil Price Analysis'!BG$57)</f>
        <v>164283.44217614995</v>
      </c>
      <c r="BH74" s="90">
        <f>IF('01 Major Assumptions'!BH$15=0,0,'01 Major Assumptions'!$D$116*'01 Major Assumptions'!BH$14*(1+'01 Major Assumptions'!$D$23)^'02 Oil Price Analysis'!BH$57)</f>
        <v>164283.44217614995</v>
      </c>
      <c r="BI74" s="90">
        <f>IF('01 Major Assumptions'!BI$15=0,0,'01 Major Assumptions'!$D$116*'01 Major Assumptions'!BI$14*(1+'01 Major Assumptions'!$D$23)^'02 Oil Price Analysis'!BI$57)</f>
        <v>2016743.5361544164</v>
      </c>
      <c r="BJ74" s="90">
        <f>IF('01 Major Assumptions'!BJ$15=0,0,'01 Major Assumptions'!$D$116*'01 Major Assumptions'!BJ$14*(1+'01 Major Assumptions'!$D$23)^'02 Oil Price Analysis'!BJ$57)</f>
        <v>2063128.6374859679</v>
      </c>
      <c r="BK74" s="90">
        <f>IF('01 Major Assumptions'!BK$15=0,0,'01 Major Assumptions'!$D$116*'01 Major Assumptions'!BK$14*(1+'01 Major Assumptions'!$D$23)^'02 Oil Price Analysis'!BK$57)</f>
        <v>2110580.5961481449</v>
      </c>
      <c r="BL74" s="90">
        <f>IF('01 Major Assumptions'!BL$15=0,0,'01 Major Assumptions'!$D$116*'01 Major Assumptions'!BL$14*(1+'01 Major Assumptions'!$D$23)^'02 Oil Price Analysis'!BL$57)</f>
        <v>2159123.9498595521</v>
      </c>
      <c r="BM74" s="90">
        <f>IF('01 Major Assumptions'!BM$15=0,0,'01 Major Assumptions'!$D$116*'01 Major Assumptions'!BM$14*(1+'01 Major Assumptions'!$D$23)^'02 Oil Price Analysis'!BM$57)</f>
        <v>2208783.8007063214</v>
      </c>
      <c r="BN74" s="90">
        <f>IF('01 Major Assumptions'!BN$15=0,0,'01 Major Assumptions'!$D$116*'01 Major Assumptions'!BN$14*(1+'01 Major Assumptions'!$D$23)^'02 Oil Price Analysis'!BN$57)</f>
        <v>2259585.8281225665</v>
      </c>
      <c r="BO74" s="90">
        <f>IF('01 Major Assumptions'!BO$15=0,0,'01 Major Assumptions'!$D$116*'01 Major Assumptions'!BO$14*(1+'01 Major Assumptions'!$D$23)^'02 Oil Price Analysis'!BO$57)</f>
        <v>2311556.3021693854</v>
      </c>
    </row>
    <row r="75" spans="1:67">
      <c r="A75" s="11"/>
      <c r="B75" s="11"/>
      <c r="C75" s="11" t="s">
        <v>152</v>
      </c>
      <c r="D75" s="33"/>
      <c r="E75" s="33"/>
      <c r="F75" s="10" t="s">
        <v>13</v>
      </c>
      <c r="G75" s="90">
        <f>IF('01 Major Assumptions'!G$15=0,0,'01 Major Assumptions'!$D$117*'01 Major Assumptions'!G$14*(1+'01 Major Assumptions'!$D$23)^'02 Oil Price Analysis'!G$57)</f>
        <v>0</v>
      </c>
      <c r="H75" s="90">
        <f>IF('01 Major Assumptions'!H$15=0,0,'01 Major Assumptions'!$D$117*'01 Major Assumptions'!H$14*(1+'01 Major Assumptions'!$D$23)^'02 Oil Price Analysis'!H$57)</f>
        <v>0</v>
      </c>
      <c r="I75" s="90">
        <f>IF('01 Major Assumptions'!I$15=0,0,'01 Major Assumptions'!$D$117*'01 Major Assumptions'!I$14*(1+'01 Major Assumptions'!$D$23)^'02 Oil Price Analysis'!I$57)</f>
        <v>0</v>
      </c>
      <c r="J75" s="90">
        <f>IF('01 Major Assumptions'!J$15=0,0,'01 Major Assumptions'!$D$117*'01 Major Assumptions'!J$14*(1+'01 Major Assumptions'!$D$23)^'02 Oil Price Analysis'!J$57)</f>
        <v>0</v>
      </c>
      <c r="K75" s="90">
        <f>IF('01 Major Assumptions'!K$15=0,0,'01 Major Assumptions'!$D$117*'01 Major Assumptions'!K$14*(1+'01 Major Assumptions'!$D$23)^'02 Oil Price Analysis'!K$57)</f>
        <v>0</v>
      </c>
      <c r="L75" s="90">
        <f>IF('01 Major Assumptions'!L$15=0,0,'01 Major Assumptions'!$D$117*'01 Major Assumptions'!L$14*(1+'01 Major Assumptions'!$D$23)^'02 Oil Price Analysis'!L$57)</f>
        <v>0</v>
      </c>
      <c r="M75" s="90">
        <f>IF('01 Major Assumptions'!M$15=0,0,'01 Major Assumptions'!$D$117*'01 Major Assumptions'!M$14*(1+'01 Major Assumptions'!$D$23)^'02 Oil Price Analysis'!M$57)</f>
        <v>0</v>
      </c>
      <c r="N75" s="90">
        <f>IF('01 Major Assumptions'!N$15=0,0,'01 Major Assumptions'!$D$117*'01 Major Assumptions'!N$14*(1+'01 Major Assumptions'!$D$23)^'02 Oil Price Analysis'!N$57)</f>
        <v>0</v>
      </c>
      <c r="O75" s="90">
        <f>IF('01 Major Assumptions'!O$15=0,0,'01 Major Assumptions'!$D$117*'01 Major Assumptions'!O$14*(1+'01 Major Assumptions'!$D$23)^'02 Oil Price Analysis'!O$57)</f>
        <v>0</v>
      </c>
      <c r="P75" s="90">
        <f>IF('01 Major Assumptions'!P$15=0,0,'01 Major Assumptions'!$D$117*'01 Major Assumptions'!P$14*(1+'01 Major Assumptions'!$D$23)^'02 Oil Price Analysis'!P$57)</f>
        <v>0</v>
      </c>
      <c r="Q75" s="90">
        <f>IF('01 Major Assumptions'!Q$15=0,0,'01 Major Assumptions'!$D$117*'01 Major Assumptions'!Q$14*(1+'01 Major Assumptions'!$D$23)^'02 Oil Price Analysis'!Q$57)</f>
        <v>0</v>
      </c>
      <c r="R75" s="90">
        <f>IF('01 Major Assumptions'!R$15=0,0,'01 Major Assumptions'!$D$117*'01 Major Assumptions'!R$14*(1+'01 Major Assumptions'!$D$23)^'02 Oil Price Analysis'!R$57)</f>
        <v>0</v>
      </c>
      <c r="S75" s="90">
        <f>IF('01 Major Assumptions'!S$15=0,0,'01 Major Assumptions'!$D$117*'01 Major Assumptions'!S$14*(1+'01 Major Assumptions'!$D$23)^'02 Oil Price Analysis'!S$57)</f>
        <v>0</v>
      </c>
      <c r="T75" s="90">
        <f>IF('01 Major Assumptions'!T$15=0,0,'01 Major Assumptions'!$D$117*'01 Major Assumptions'!T$14*(1+'01 Major Assumptions'!$D$23)^'02 Oil Price Analysis'!T$57)</f>
        <v>0</v>
      </c>
      <c r="U75" s="90">
        <f>IF('01 Major Assumptions'!U$15=0,0,'01 Major Assumptions'!$D$117*'01 Major Assumptions'!U$14*(1+'01 Major Assumptions'!$D$23)^'02 Oil Price Analysis'!U$57)</f>
        <v>0</v>
      </c>
      <c r="V75" s="90">
        <f>IF('01 Major Assumptions'!V$15=0,0,'01 Major Assumptions'!$D$117*'01 Major Assumptions'!V$14*(1+'01 Major Assumptions'!$D$23)^'02 Oil Price Analysis'!V$57)</f>
        <v>0</v>
      </c>
      <c r="W75" s="90">
        <f>IF('01 Major Assumptions'!W$15=0,0,'01 Major Assumptions'!$D$117*'01 Major Assumptions'!W$14*(1+'01 Major Assumptions'!$D$23)^'02 Oil Price Analysis'!W$57)</f>
        <v>0</v>
      </c>
      <c r="X75" s="90">
        <f>IF('01 Major Assumptions'!X$15=0,0,'01 Major Assumptions'!$D$117*'01 Major Assumptions'!X$14*(1+'01 Major Assumptions'!$D$23)^'02 Oil Price Analysis'!X$57)</f>
        <v>0</v>
      </c>
      <c r="Y75" s="90">
        <f>IF('01 Major Assumptions'!Y$15=0,0,'01 Major Assumptions'!$D$117*'01 Major Assumptions'!Y$14*(1+'01 Major Assumptions'!$D$23)^'02 Oil Price Analysis'!Y$57)</f>
        <v>0</v>
      </c>
      <c r="Z75" s="90">
        <f>IF('01 Major Assumptions'!Z$15=0,0,'01 Major Assumptions'!$D$117*'01 Major Assumptions'!Z$14*(1+'01 Major Assumptions'!$D$23)^'02 Oil Price Analysis'!Z$57)</f>
        <v>0</v>
      </c>
      <c r="AA75" s="90">
        <f>IF('01 Major Assumptions'!AA$15=0,0,'01 Major Assumptions'!$D$117*'01 Major Assumptions'!AA$14*(1+'01 Major Assumptions'!$D$23)^'02 Oil Price Analysis'!AA$57)</f>
        <v>0</v>
      </c>
      <c r="AB75" s="90">
        <f>IF('01 Major Assumptions'!AB$15=0,0,'01 Major Assumptions'!$D$117*'01 Major Assumptions'!AB$14*(1+'01 Major Assumptions'!$D$23)^'02 Oil Price Analysis'!AB$57)</f>
        <v>358049.99999999994</v>
      </c>
      <c r="AC75" s="90">
        <f>IF('01 Major Assumptions'!AC$15=0,0,'01 Major Assumptions'!$D$117*'01 Major Assumptions'!AC$14*(1+'01 Major Assumptions'!$D$23)^'02 Oil Price Analysis'!AC$57)</f>
        <v>358049.99999999994</v>
      </c>
      <c r="AD75" s="90">
        <f>IF('01 Major Assumptions'!AD$15=0,0,'01 Major Assumptions'!$D$117*'01 Major Assumptions'!AD$14*(1+'01 Major Assumptions'!$D$23)^'02 Oil Price Analysis'!AD$57)</f>
        <v>358049.99999999994</v>
      </c>
      <c r="AE75" s="90">
        <f>IF('01 Major Assumptions'!AE$15=0,0,'01 Major Assumptions'!$D$117*'01 Major Assumptions'!AE$14*(1+'01 Major Assumptions'!$D$23)^'02 Oil Price Analysis'!AE$57)</f>
        <v>366285.14999999997</v>
      </c>
      <c r="AF75" s="90">
        <f>IF('01 Major Assumptions'!AF$15=0,0,'01 Major Assumptions'!$D$117*'01 Major Assumptions'!AF$14*(1+'01 Major Assumptions'!$D$23)^'02 Oil Price Analysis'!AF$57)</f>
        <v>366285.14999999997</v>
      </c>
      <c r="AG75" s="90">
        <f>IF('01 Major Assumptions'!AG$15=0,0,'01 Major Assumptions'!$D$117*'01 Major Assumptions'!AG$14*(1+'01 Major Assumptions'!$D$23)^'02 Oil Price Analysis'!AG$57)</f>
        <v>366285.14999999997</v>
      </c>
      <c r="AH75" s="90">
        <f>IF('01 Major Assumptions'!AH$15=0,0,'01 Major Assumptions'!$D$117*'01 Major Assumptions'!AH$14*(1+'01 Major Assumptions'!$D$23)^'02 Oil Price Analysis'!AH$57)</f>
        <v>366285.14999999997</v>
      </c>
      <c r="AI75" s="90">
        <f>IF('01 Major Assumptions'!AI$15=0,0,'01 Major Assumptions'!$D$117*'01 Major Assumptions'!AI$14*(1+'01 Major Assumptions'!$D$23)^'02 Oil Price Analysis'!AI$57)</f>
        <v>366285.14999999997</v>
      </c>
      <c r="AJ75" s="90">
        <f>IF('01 Major Assumptions'!AJ$15=0,0,'01 Major Assumptions'!$D$117*'01 Major Assumptions'!AJ$14*(1+'01 Major Assumptions'!$D$23)^'02 Oil Price Analysis'!AJ$57)</f>
        <v>366285.14999999997</v>
      </c>
      <c r="AK75" s="90">
        <f>IF('01 Major Assumptions'!AK$15=0,0,'01 Major Assumptions'!$D$117*'01 Major Assumptions'!AK$14*(1+'01 Major Assumptions'!$D$23)^'02 Oil Price Analysis'!AK$57)</f>
        <v>366285.14999999997</v>
      </c>
      <c r="AL75" s="90">
        <f>IF('01 Major Assumptions'!AL$15=0,0,'01 Major Assumptions'!$D$117*'01 Major Assumptions'!AL$14*(1+'01 Major Assumptions'!$D$23)^'02 Oil Price Analysis'!AL$57)</f>
        <v>366285.14999999997</v>
      </c>
      <c r="AM75" s="90">
        <f>IF('01 Major Assumptions'!AM$15=0,0,'01 Major Assumptions'!$D$117*'01 Major Assumptions'!AM$14*(1+'01 Major Assumptions'!$D$23)^'02 Oil Price Analysis'!AM$57)</f>
        <v>366285.14999999997</v>
      </c>
      <c r="AN75" s="90">
        <f>IF('01 Major Assumptions'!AN$15=0,0,'01 Major Assumptions'!$D$117*'01 Major Assumptions'!AN$14*(1+'01 Major Assumptions'!$D$23)^'02 Oil Price Analysis'!AN$57)</f>
        <v>366285.14999999997</v>
      </c>
      <c r="AO75" s="90">
        <f>IF('01 Major Assumptions'!AO$15=0,0,'01 Major Assumptions'!$D$117*'01 Major Assumptions'!AO$14*(1+'01 Major Assumptions'!$D$23)^'02 Oil Price Analysis'!AO$57)</f>
        <v>366285.14999999997</v>
      </c>
      <c r="AP75" s="90">
        <f>IF('01 Major Assumptions'!AP$15=0,0,'01 Major Assumptions'!$D$117*'01 Major Assumptions'!AP$14*(1+'01 Major Assumptions'!$D$23)^'02 Oil Price Analysis'!AP$57)</f>
        <v>366285.14999999997</v>
      </c>
      <c r="AQ75" s="90">
        <f>IF('01 Major Assumptions'!AQ$15=0,0,'01 Major Assumptions'!$D$117*'01 Major Assumptions'!AQ$14*(1+'01 Major Assumptions'!$D$23)^'02 Oil Price Analysis'!AQ$57)</f>
        <v>374709.70844999992</v>
      </c>
      <c r="AR75" s="90">
        <f>IF('01 Major Assumptions'!AR$15=0,0,'01 Major Assumptions'!$D$117*'01 Major Assumptions'!AR$14*(1+'01 Major Assumptions'!$D$23)^'02 Oil Price Analysis'!AR$57)</f>
        <v>374709.70844999992</v>
      </c>
      <c r="AS75" s="90">
        <f>IF('01 Major Assumptions'!AS$15=0,0,'01 Major Assumptions'!$D$117*'01 Major Assumptions'!AS$14*(1+'01 Major Assumptions'!$D$23)^'02 Oil Price Analysis'!AS$57)</f>
        <v>374709.70844999992</v>
      </c>
      <c r="AT75" s="90">
        <f>IF('01 Major Assumptions'!AT$15=0,0,'01 Major Assumptions'!$D$117*'01 Major Assumptions'!AT$14*(1+'01 Major Assumptions'!$D$23)^'02 Oil Price Analysis'!AT$57)</f>
        <v>374709.70844999992</v>
      </c>
      <c r="AU75" s="90">
        <f>IF('01 Major Assumptions'!AU$15=0,0,'01 Major Assumptions'!$D$117*'01 Major Assumptions'!AU$14*(1+'01 Major Assumptions'!$D$23)^'02 Oil Price Analysis'!AU$57)</f>
        <v>374709.70844999992</v>
      </c>
      <c r="AV75" s="90">
        <f>IF('01 Major Assumptions'!AV$15=0,0,'01 Major Assumptions'!$D$117*'01 Major Assumptions'!AV$14*(1+'01 Major Assumptions'!$D$23)^'02 Oil Price Analysis'!AV$57)</f>
        <v>374709.70844999992</v>
      </c>
      <c r="AW75" s="90">
        <f>IF('01 Major Assumptions'!AW$15=0,0,'01 Major Assumptions'!$D$117*'01 Major Assumptions'!AW$14*(1+'01 Major Assumptions'!$D$23)^'02 Oil Price Analysis'!AW$57)</f>
        <v>374709.70844999992</v>
      </c>
      <c r="AX75" s="90">
        <f>IF('01 Major Assumptions'!AX$15=0,0,'01 Major Assumptions'!$D$117*'01 Major Assumptions'!AX$14*(1+'01 Major Assumptions'!$D$23)^'02 Oil Price Analysis'!AX$57)</f>
        <v>374709.70844999992</v>
      </c>
      <c r="AY75" s="90">
        <f>IF('01 Major Assumptions'!AY$15=0,0,'01 Major Assumptions'!$D$117*'01 Major Assumptions'!AY$14*(1+'01 Major Assumptions'!$D$23)^'02 Oil Price Analysis'!AY$57)</f>
        <v>374709.70844999992</v>
      </c>
      <c r="AZ75" s="90">
        <f>IF('01 Major Assumptions'!AZ$15=0,0,'01 Major Assumptions'!$D$117*'01 Major Assumptions'!AZ$14*(1+'01 Major Assumptions'!$D$23)^'02 Oil Price Analysis'!AZ$57)</f>
        <v>374709.70844999992</v>
      </c>
      <c r="BA75" s="90">
        <f>IF('01 Major Assumptions'!BA$15=0,0,'01 Major Assumptions'!$D$117*'01 Major Assumptions'!BA$14*(1+'01 Major Assumptions'!$D$23)^'02 Oil Price Analysis'!BA$57)</f>
        <v>374709.70844999992</v>
      </c>
      <c r="BB75" s="90">
        <f>IF('01 Major Assumptions'!BB$15=0,0,'01 Major Assumptions'!$D$117*'01 Major Assumptions'!BB$14*(1+'01 Major Assumptions'!$D$23)^'02 Oil Price Analysis'!BB$57)</f>
        <v>374709.70844999992</v>
      </c>
      <c r="BC75" s="90">
        <f>IF('01 Major Assumptions'!BC$15=0,0,'01 Major Assumptions'!$D$117*'01 Major Assumptions'!BC$14*(1+'01 Major Assumptions'!$D$23)^'02 Oil Price Analysis'!BC$57)</f>
        <v>383328.03174434986</v>
      </c>
      <c r="BD75" s="90">
        <f>IF('01 Major Assumptions'!BD$15=0,0,'01 Major Assumptions'!$D$117*'01 Major Assumptions'!BD$14*(1+'01 Major Assumptions'!$D$23)^'02 Oil Price Analysis'!BD$57)</f>
        <v>383328.03174434986</v>
      </c>
      <c r="BE75" s="90">
        <f>IF('01 Major Assumptions'!BE$15=0,0,'01 Major Assumptions'!$D$117*'01 Major Assumptions'!BE$14*(1+'01 Major Assumptions'!$D$23)^'02 Oil Price Analysis'!BE$57)</f>
        <v>383328.03174434986</v>
      </c>
      <c r="BF75" s="90">
        <f>IF('01 Major Assumptions'!BF$15=0,0,'01 Major Assumptions'!$D$117*'01 Major Assumptions'!BF$14*(1+'01 Major Assumptions'!$D$23)^'02 Oil Price Analysis'!BF$57)</f>
        <v>383328.03174434986</v>
      </c>
      <c r="BG75" s="90">
        <f>IF('01 Major Assumptions'!BG$15=0,0,'01 Major Assumptions'!$D$117*'01 Major Assumptions'!BG$14*(1+'01 Major Assumptions'!$D$23)^'02 Oil Price Analysis'!BG$57)</f>
        <v>383328.03174434986</v>
      </c>
      <c r="BH75" s="90">
        <f>IF('01 Major Assumptions'!BH$15=0,0,'01 Major Assumptions'!$D$117*'01 Major Assumptions'!BH$14*(1+'01 Major Assumptions'!$D$23)^'02 Oil Price Analysis'!BH$57)</f>
        <v>383328.03174434986</v>
      </c>
      <c r="BI75" s="90">
        <f>IF('01 Major Assumptions'!BI$15=0,0,'01 Major Assumptions'!$D$117*'01 Major Assumptions'!BI$14*(1+'01 Major Assumptions'!$D$23)^'02 Oil Price Analysis'!BI$57)</f>
        <v>4705734.9176936382</v>
      </c>
      <c r="BJ75" s="90">
        <f>IF('01 Major Assumptions'!BJ$15=0,0,'01 Major Assumptions'!$D$117*'01 Major Assumptions'!BJ$14*(1+'01 Major Assumptions'!$D$23)^'02 Oil Price Analysis'!BJ$57)</f>
        <v>4813966.8208005922</v>
      </c>
      <c r="BK75" s="90">
        <f>IF('01 Major Assumptions'!BK$15=0,0,'01 Major Assumptions'!$D$117*'01 Major Assumptions'!BK$14*(1+'01 Major Assumptions'!$D$23)^'02 Oil Price Analysis'!BK$57)</f>
        <v>4924688.057679004</v>
      </c>
      <c r="BL75" s="90">
        <f>IF('01 Major Assumptions'!BL$15=0,0,'01 Major Assumptions'!$D$117*'01 Major Assumptions'!BL$14*(1+'01 Major Assumptions'!$D$23)^'02 Oil Price Analysis'!BL$57)</f>
        <v>5037955.8830056209</v>
      </c>
      <c r="BM75" s="90">
        <f>IF('01 Major Assumptions'!BM$15=0,0,'01 Major Assumptions'!$D$117*'01 Major Assumptions'!BM$14*(1+'01 Major Assumptions'!$D$23)^'02 Oil Price Analysis'!BM$57)</f>
        <v>5153828.8683147496</v>
      </c>
      <c r="BN75" s="90">
        <f>IF('01 Major Assumptions'!BN$15=0,0,'01 Major Assumptions'!$D$117*'01 Major Assumptions'!BN$14*(1+'01 Major Assumptions'!$D$23)^'02 Oil Price Analysis'!BN$57)</f>
        <v>5272366.9322859887</v>
      </c>
      <c r="BO75" s="90">
        <f>IF('01 Major Assumptions'!BO$15=0,0,'01 Major Assumptions'!$D$117*'01 Major Assumptions'!BO$14*(1+'01 Major Assumptions'!$D$23)^'02 Oil Price Analysis'!BO$57)</f>
        <v>5393631.3717285665</v>
      </c>
    </row>
    <row r="76" spans="1:67">
      <c r="A76" s="11"/>
      <c r="B76" s="11"/>
      <c r="C76" s="11" t="s">
        <v>153</v>
      </c>
      <c r="D76" s="33"/>
      <c r="E76" s="33"/>
      <c r="F76" s="10" t="s">
        <v>13</v>
      </c>
      <c r="G76" s="90">
        <f>IF('01 Major Assumptions'!G$15=0,0,'01 Major Assumptions'!$D$118*'01 Major Assumptions'!G$14*(1+'01 Major Assumptions'!$D$23)^'02 Oil Price Analysis'!G$57)</f>
        <v>0</v>
      </c>
      <c r="H76" s="90">
        <f>IF('01 Major Assumptions'!H$15=0,0,'01 Major Assumptions'!$D$118*'01 Major Assumptions'!H$14*(1+'01 Major Assumptions'!$D$23)^'02 Oil Price Analysis'!H$57)</f>
        <v>0</v>
      </c>
      <c r="I76" s="90">
        <f>IF('01 Major Assumptions'!I$15=0,0,'01 Major Assumptions'!$D$118*'01 Major Assumptions'!I$14*(1+'01 Major Assumptions'!$D$23)^'02 Oil Price Analysis'!I$57)</f>
        <v>0</v>
      </c>
      <c r="J76" s="90">
        <f>IF('01 Major Assumptions'!J$15=0,0,'01 Major Assumptions'!$D$118*'01 Major Assumptions'!J$14*(1+'01 Major Assumptions'!$D$23)^'02 Oil Price Analysis'!J$57)</f>
        <v>0</v>
      </c>
      <c r="K76" s="90">
        <f>IF('01 Major Assumptions'!K$15=0,0,'01 Major Assumptions'!$D$118*'01 Major Assumptions'!K$14*(1+'01 Major Assumptions'!$D$23)^'02 Oil Price Analysis'!K$57)</f>
        <v>0</v>
      </c>
      <c r="L76" s="90">
        <f>IF('01 Major Assumptions'!L$15=0,0,'01 Major Assumptions'!$D$118*'01 Major Assumptions'!L$14*(1+'01 Major Assumptions'!$D$23)^'02 Oil Price Analysis'!L$57)</f>
        <v>0</v>
      </c>
      <c r="M76" s="90">
        <f>IF('01 Major Assumptions'!M$15=0,0,'01 Major Assumptions'!$D$118*'01 Major Assumptions'!M$14*(1+'01 Major Assumptions'!$D$23)^'02 Oil Price Analysis'!M$57)</f>
        <v>0</v>
      </c>
      <c r="N76" s="90">
        <f>IF('01 Major Assumptions'!N$15=0,0,'01 Major Assumptions'!$D$118*'01 Major Assumptions'!N$14*(1+'01 Major Assumptions'!$D$23)^'02 Oil Price Analysis'!N$57)</f>
        <v>0</v>
      </c>
      <c r="O76" s="90">
        <f>IF('01 Major Assumptions'!O$15=0,0,'01 Major Assumptions'!$D$118*'01 Major Assumptions'!O$14*(1+'01 Major Assumptions'!$D$23)^'02 Oil Price Analysis'!O$57)</f>
        <v>0</v>
      </c>
      <c r="P76" s="90">
        <f>IF('01 Major Assumptions'!P$15=0,0,'01 Major Assumptions'!$D$118*'01 Major Assumptions'!P$14*(1+'01 Major Assumptions'!$D$23)^'02 Oil Price Analysis'!P$57)</f>
        <v>0</v>
      </c>
      <c r="Q76" s="90">
        <f>IF('01 Major Assumptions'!Q$15=0,0,'01 Major Assumptions'!$D$118*'01 Major Assumptions'!Q$14*(1+'01 Major Assumptions'!$D$23)^'02 Oil Price Analysis'!Q$57)</f>
        <v>0</v>
      </c>
      <c r="R76" s="90">
        <f>IF('01 Major Assumptions'!R$15=0,0,'01 Major Assumptions'!$D$118*'01 Major Assumptions'!R$14*(1+'01 Major Assumptions'!$D$23)^'02 Oil Price Analysis'!R$57)</f>
        <v>0</v>
      </c>
      <c r="S76" s="90">
        <f>IF('01 Major Assumptions'!S$15=0,0,'01 Major Assumptions'!$D$118*'01 Major Assumptions'!S$14*(1+'01 Major Assumptions'!$D$23)^'02 Oil Price Analysis'!S$57)</f>
        <v>0</v>
      </c>
      <c r="T76" s="90">
        <f>IF('01 Major Assumptions'!T$15=0,0,'01 Major Assumptions'!$D$118*'01 Major Assumptions'!T$14*(1+'01 Major Assumptions'!$D$23)^'02 Oil Price Analysis'!T$57)</f>
        <v>0</v>
      </c>
      <c r="U76" s="90">
        <f>IF('01 Major Assumptions'!U$15=0,0,'01 Major Assumptions'!$D$118*'01 Major Assumptions'!U$14*(1+'01 Major Assumptions'!$D$23)^'02 Oil Price Analysis'!U$57)</f>
        <v>0</v>
      </c>
      <c r="V76" s="90">
        <f>IF('01 Major Assumptions'!V$15=0,0,'01 Major Assumptions'!$D$118*'01 Major Assumptions'!V$14*(1+'01 Major Assumptions'!$D$23)^'02 Oil Price Analysis'!V$57)</f>
        <v>0</v>
      </c>
      <c r="W76" s="90">
        <f>IF('01 Major Assumptions'!W$15=0,0,'01 Major Assumptions'!$D$118*'01 Major Assumptions'!W$14*(1+'01 Major Assumptions'!$D$23)^'02 Oil Price Analysis'!W$57)</f>
        <v>0</v>
      </c>
      <c r="X76" s="90">
        <f>IF('01 Major Assumptions'!X$15=0,0,'01 Major Assumptions'!$D$118*'01 Major Assumptions'!X$14*(1+'01 Major Assumptions'!$D$23)^'02 Oil Price Analysis'!X$57)</f>
        <v>0</v>
      </c>
      <c r="Y76" s="90">
        <f>IF('01 Major Assumptions'!Y$15=0,0,'01 Major Assumptions'!$D$118*'01 Major Assumptions'!Y$14*(1+'01 Major Assumptions'!$D$23)^'02 Oil Price Analysis'!Y$57)</f>
        <v>0</v>
      </c>
      <c r="Z76" s="90">
        <f>IF('01 Major Assumptions'!Z$15=0,0,'01 Major Assumptions'!$D$118*'01 Major Assumptions'!Z$14*(1+'01 Major Assumptions'!$D$23)^'02 Oil Price Analysis'!Z$57)</f>
        <v>0</v>
      </c>
      <c r="AA76" s="90">
        <f>IF('01 Major Assumptions'!AA$15=0,0,'01 Major Assumptions'!$D$118*'01 Major Assumptions'!AA$14*(1+'01 Major Assumptions'!$D$23)^'02 Oil Price Analysis'!AA$57)</f>
        <v>0</v>
      </c>
      <c r="AB76" s="90">
        <f>IF('01 Major Assumptions'!AB$15=0,0,'01 Major Assumptions'!$D$118*'01 Major Assumptions'!AB$14*(1+'01 Major Assumptions'!$D$23)^'02 Oil Price Analysis'!AB$57)</f>
        <v>153450</v>
      </c>
      <c r="AC76" s="90">
        <f>IF('01 Major Assumptions'!AC$15=0,0,'01 Major Assumptions'!$D$118*'01 Major Assumptions'!AC$14*(1+'01 Major Assumptions'!$D$23)^'02 Oil Price Analysis'!AC$57)</f>
        <v>153450</v>
      </c>
      <c r="AD76" s="90">
        <f>IF('01 Major Assumptions'!AD$15=0,0,'01 Major Assumptions'!$D$118*'01 Major Assumptions'!AD$14*(1+'01 Major Assumptions'!$D$23)^'02 Oil Price Analysis'!AD$57)</f>
        <v>153450</v>
      </c>
      <c r="AE76" s="90">
        <f>IF('01 Major Assumptions'!AE$15=0,0,'01 Major Assumptions'!$D$118*'01 Major Assumptions'!AE$14*(1+'01 Major Assumptions'!$D$23)^'02 Oil Price Analysis'!AE$57)</f>
        <v>156979.34999999998</v>
      </c>
      <c r="AF76" s="90">
        <f>IF('01 Major Assumptions'!AF$15=0,0,'01 Major Assumptions'!$D$118*'01 Major Assumptions'!AF$14*(1+'01 Major Assumptions'!$D$23)^'02 Oil Price Analysis'!AF$57)</f>
        <v>156979.34999999998</v>
      </c>
      <c r="AG76" s="90">
        <f>IF('01 Major Assumptions'!AG$15=0,0,'01 Major Assumptions'!$D$118*'01 Major Assumptions'!AG$14*(1+'01 Major Assumptions'!$D$23)^'02 Oil Price Analysis'!AG$57)</f>
        <v>156979.34999999998</v>
      </c>
      <c r="AH76" s="90">
        <f>IF('01 Major Assumptions'!AH$15=0,0,'01 Major Assumptions'!$D$118*'01 Major Assumptions'!AH$14*(1+'01 Major Assumptions'!$D$23)^'02 Oil Price Analysis'!AH$57)</f>
        <v>156979.34999999998</v>
      </c>
      <c r="AI76" s="90">
        <f>IF('01 Major Assumptions'!AI$15=0,0,'01 Major Assumptions'!$D$118*'01 Major Assumptions'!AI$14*(1+'01 Major Assumptions'!$D$23)^'02 Oil Price Analysis'!AI$57)</f>
        <v>156979.34999999998</v>
      </c>
      <c r="AJ76" s="90">
        <f>IF('01 Major Assumptions'!AJ$15=0,0,'01 Major Assumptions'!$D$118*'01 Major Assumptions'!AJ$14*(1+'01 Major Assumptions'!$D$23)^'02 Oil Price Analysis'!AJ$57)</f>
        <v>156979.34999999998</v>
      </c>
      <c r="AK76" s="90">
        <f>IF('01 Major Assumptions'!AK$15=0,0,'01 Major Assumptions'!$D$118*'01 Major Assumptions'!AK$14*(1+'01 Major Assumptions'!$D$23)^'02 Oil Price Analysis'!AK$57)</f>
        <v>156979.34999999998</v>
      </c>
      <c r="AL76" s="90">
        <f>IF('01 Major Assumptions'!AL$15=0,0,'01 Major Assumptions'!$D$118*'01 Major Assumptions'!AL$14*(1+'01 Major Assumptions'!$D$23)^'02 Oil Price Analysis'!AL$57)</f>
        <v>156979.34999999998</v>
      </c>
      <c r="AM76" s="90">
        <f>IF('01 Major Assumptions'!AM$15=0,0,'01 Major Assumptions'!$D$118*'01 Major Assumptions'!AM$14*(1+'01 Major Assumptions'!$D$23)^'02 Oil Price Analysis'!AM$57)</f>
        <v>156979.34999999998</v>
      </c>
      <c r="AN76" s="90">
        <f>IF('01 Major Assumptions'!AN$15=0,0,'01 Major Assumptions'!$D$118*'01 Major Assumptions'!AN$14*(1+'01 Major Assumptions'!$D$23)^'02 Oil Price Analysis'!AN$57)</f>
        <v>156979.34999999998</v>
      </c>
      <c r="AO76" s="90">
        <f>IF('01 Major Assumptions'!AO$15=0,0,'01 Major Assumptions'!$D$118*'01 Major Assumptions'!AO$14*(1+'01 Major Assumptions'!$D$23)^'02 Oil Price Analysis'!AO$57)</f>
        <v>156979.34999999998</v>
      </c>
      <c r="AP76" s="90">
        <f>IF('01 Major Assumptions'!AP$15=0,0,'01 Major Assumptions'!$D$118*'01 Major Assumptions'!AP$14*(1+'01 Major Assumptions'!$D$23)^'02 Oil Price Analysis'!AP$57)</f>
        <v>156979.34999999998</v>
      </c>
      <c r="AQ76" s="90">
        <f>IF('01 Major Assumptions'!AQ$15=0,0,'01 Major Assumptions'!$D$118*'01 Major Assumptions'!AQ$14*(1+'01 Major Assumptions'!$D$23)^'02 Oil Price Analysis'!AQ$57)</f>
        <v>160589.87504999994</v>
      </c>
      <c r="AR76" s="90">
        <f>IF('01 Major Assumptions'!AR$15=0,0,'01 Major Assumptions'!$D$118*'01 Major Assumptions'!AR$14*(1+'01 Major Assumptions'!$D$23)^'02 Oil Price Analysis'!AR$57)</f>
        <v>160589.87504999994</v>
      </c>
      <c r="AS76" s="90">
        <f>IF('01 Major Assumptions'!AS$15=0,0,'01 Major Assumptions'!$D$118*'01 Major Assumptions'!AS$14*(1+'01 Major Assumptions'!$D$23)^'02 Oil Price Analysis'!AS$57)</f>
        <v>160589.87504999994</v>
      </c>
      <c r="AT76" s="90">
        <f>IF('01 Major Assumptions'!AT$15=0,0,'01 Major Assumptions'!$D$118*'01 Major Assumptions'!AT$14*(1+'01 Major Assumptions'!$D$23)^'02 Oil Price Analysis'!AT$57)</f>
        <v>160589.87504999994</v>
      </c>
      <c r="AU76" s="90">
        <f>IF('01 Major Assumptions'!AU$15=0,0,'01 Major Assumptions'!$D$118*'01 Major Assumptions'!AU$14*(1+'01 Major Assumptions'!$D$23)^'02 Oil Price Analysis'!AU$57)</f>
        <v>160589.87504999994</v>
      </c>
      <c r="AV76" s="90">
        <f>IF('01 Major Assumptions'!AV$15=0,0,'01 Major Assumptions'!$D$118*'01 Major Assumptions'!AV$14*(1+'01 Major Assumptions'!$D$23)^'02 Oil Price Analysis'!AV$57)</f>
        <v>160589.87504999994</v>
      </c>
      <c r="AW76" s="90">
        <f>IF('01 Major Assumptions'!AW$15=0,0,'01 Major Assumptions'!$D$118*'01 Major Assumptions'!AW$14*(1+'01 Major Assumptions'!$D$23)^'02 Oil Price Analysis'!AW$57)</f>
        <v>160589.87504999994</v>
      </c>
      <c r="AX76" s="90">
        <f>IF('01 Major Assumptions'!AX$15=0,0,'01 Major Assumptions'!$D$118*'01 Major Assumptions'!AX$14*(1+'01 Major Assumptions'!$D$23)^'02 Oil Price Analysis'!AX$57)</f>
        <v>160589.87504999994</v>
      </c>
      <c r="AY76" s="90">
        <f>IF('01 Major Assumptions'!AY$15=0,0,'01 Major Assumptions'!$D$118*'01 Major Assumptions'!AY$14*(1+'01 Major Assumptions'!$D$23)^'02 Oil Price Analysis'!AY$57)</f>
        <v>160589.87504999994</v>
      </c>
      <c r="AZ76" s="90">
        <f>IF('01 Major Assumptions'!AZ$15=0,0,'01 Major Assumptions'!$D$118*'01 Major Assumptions'!AZ$14*(1+'01 Major Assumptions'!$D$23)^'02 Oil Price Analysis'!AZ$57)</f>
        <v>160589.87504999994</v>
      </c>
      <c r="BA76" s="90">
        <f>IF('01 Major Assumptions'!BA$15=0,0,'01 Major Assumptions'!$D$118*'01 Major Assumptions'!BA$14*(1+'01 Major Assumptions'!$D$23)^'02 Oil Price Analysis'!BA$57)</f>
        <v>160589.87504999994</v>
      </c>
      <c r="BB76" s="90">
        <f>IF('01 Major Assumptions'!BB$15=0,0,'01 Major Assumptions'!$D$118*'01 Major Assumptions'!BB$14*(1+'01 Major Assumptions'!$D$23)^'02 Oil Price Analysis'!BB$57)</f>
        <v>160589.87504999994</v>
      </c>
      <c r="BC76" s="90">
        <f>IF('01 Major Assumptions'!BC$15=0,0,'01 Major Assumptions'!$D$118*'01 Major Assumptions'!BC$14*(1+'01 Major Assumptions'!$D$23)^'02 Oil Price Analysis'!BC$57)</f>
        <v>164283.44217614995</v>
      </c>
      <c r="BD76" s="90">
        <f>IF('01 Major Assumptions'!BD$15=0,0,'01 Major Assumptions'!$D$118*'01 Major Assumptions'!BD$14*(1+'01 Major Assumptions'!$D$23)^'02 Oil Price Analysis'!BD$57)</f>
        <v>164283.44217614995</v>
      </c>
      <c r="BE76" s="90">
        <f>IF('01 Major Assumptions'!BE$15=0,0,'01 Major Assumptions'!$D$118*'01 Major Assumptions'!BE$14*(1+'01 Major Assumptions'!$D$23)^'02 Oil Price Analysis'!BE$57)</f>
        <v>164283.44217614995</v>
      </c>
      <c r="BF76" s="90">
        <f>IF('01 Major Assumptions'!BF$15=0,0,'01 Major Assumptions'!$D$118*'01 Major Assumptions'!BF$14*(1+'01 Major Assumptions'!$D$23)^'02 Oil Price Analysis'!BF$57)</f>
        <v>164283.44217614995</v>
      </c>
      <c r="BG76" s="90">
        <f>IF('01 Major Assumptions'!BG$15=0,0,'01 Major Assumptions'!$D$118*'01 Major Assumptions'!BG$14*(1+'01 Major Assumptions'!$D$23)^'02 Oil Price Analysis'!BG$57)</f>
        <v>164283.44217614995</v>
      </c>
      <c r="BH76" s="90">
        <f>IF('01 Major Assumptions'!BH$15=0,0,'01 Major Assumptions'!$D$118*'01 Major Assumptions'!BH$14*(1+'01 Major Assumptions'!$D$23)^'02 Oil Price Analysis'!BH$57)</f>
        <v>164283.44217614995</v>
      </c>
      <c r="BI76" s="90">
        <f>IF('01 Major Assumptions'!BI$15=0,0,'01 Major Assumptions'!$D$118*'01 Major Assumptions'!BI$14*(1+'01 Major Assumptions'!$D$23)^'02 Oil Price Analysis'!BI$57)</f>
        <v>2016743.5361544164</v>
      </c>
      <c r="BJ76" s="90">
        <f>IF('01 Major Assumptions'!BJ$15=0,0,'01 Major Assumptions'!$D$118*'01 Major Assumptions'!BJ$14*(1+'01 Major Assumptions'!$D$23)^'02 Oil Price Analysis'!BJ$57)</f>
        <v>2063128.6374859679</v>
      </c>
      <c r="BK76" s="90">
        <f>IF('01 Major Assumptions'!BK$15=0,0,'01 Major Assumptions'!$D$118*'01 Major Assumptions'!BK$14*(1+'01 Major Assumptions'!$D$23)^'02 Oil Price Analysis'!BK$57)</f>
        <v>2110580.5961481449</v>
      </c>
      <c r="BL76" s="90">
        <f>IF('01 Major Assumptions'!BL$15=0,0,'01 Major Assumptions'!$D$118*'01 Major Assumptions'!BL$14*(1+'01 Major Assumptions'!$D$23)^'02 Oil Price Analysis'!BL$57)</f>
        <v>2159123.9498595521</v>
      </c>
      <c r="BM76" s="90">
        <f>IF('01 Major Assumptions'!BM$15=0,0,'01 Major Assumptions'!$D$118*'01 Major Assumptions'!BM$14*(1+'01 Major Assumptions'!$D$23)^'02 Oil Price Analysis'!BM$57)</f>
        <v>2208783.8007063214</v>
      </c>
      <c r="BN76" s="90">
        <f>IF('01 Major Assumptions'!BN$15=0,0,'01 Major Assumptions'!$D$118*'01 Major Assumptions'!BN$14*(1+'01 Major Assumptions'!$D$23)^'02 Oil Price Analysis'!BN$57)</f>
        <v>2259585.8281225665</v>
      </c>
      <c r="BO76" s="90">
        <f>IF('01 Major Assumptions'!BO$15=0,0,'01 Major Assumptions'!$D$118*'01 Major Assumptions'!BO$14*(1+'01 Major Assumptions'!$D$23)^'02 Oil Price Analysis'!BO$57)</f>
        <v>2311556.3021693854</v>
      </c>
    </row>
    <row r="77" spans="1:67">
      <c r="A77" s="11"/>
      <c r="B77" s="11"/>
      <c r="C77" s="11" t="s">
        <v>644</v>
      </c>
      <c r="D77" s="33"/>
      <c r="E77" s="33"/>
      <c r="F77" s="10" t="s">
        <v>13</v>
      </c>
      <c r="G77" s="90">
        <f>'08 Certification &amp; Premium'!G$64</f>
        <v>125000</v>
      </c>
      <c r="H77" s="90">
        <f>'08 Certification &amp; Premium'!H$64</f>
        <v>125000</v>
      </c>
      <c r="I77" s="90">
        <f>'08 Certification &amp; Premium'!I$64</f>
        <v>125000</v>
      </c>
      <c r="J77" s="90">
        <f>'08 Certification &amp; Premium'!J$64</f>
        <v>125000</v>
      </c>
      <c r="K77" s="90">
        <f>'08 Certification &amp; Premium'!K$64</f>
        <v>125000</v>
      </c>
      <c r="L77" s="90">
        <f>'08 Certification &amp; Premium'!L$64</f>
        <v>125000</v>
      </c>
      <c r="M77" s="90">
        <f>'08 Certification &amp; Premium'!M$64</f>
        <v>125000</v>
      </c>
      <c r="N77" s="90">
        <f>'08 Certification &amp; Premium'!N$64</f>
        <v>125000</v>
      </c>
      <c r="O77" s="90">
        <f>'08 Certification &amp; Premium'!O$64</f>
        <v>125000</v>
      </c>
      <c r="P77" s="90">
        <f>'08 Certification &amp; Premium'!P$64</f>
        <v>218750</v>
      </c>
      <c r="Q77" s="90">
        <f>'08 Certification &amp; Premium'!Q$64</f>
        <v>218750</v>
      </c>
      <c r="R77" s="90">
        <f>'08 Certification &amp; Premium'!R$64</f>
        <v>474583.33333333337</v>
      </c>
      <c r="S77" s="90">
        <f>'08 Certification &amp; Premium'!S$64</f>
        <v>366250.00000000006</v>
      </c>
      <c r="T77" s="90">
        <f>'08 Certification &amp; Premium'!T$64</f>
        <v>949583.33333333337</v>
      </c>
      <c r="U77" s="90">
        <f>'08 Certification &amp; Premium'!U$64</f>
        <v>949583.33333333337</v>
      </c>
      <c r="V77" s="90">
        <f>'08 Certification &amp; Premium'!V$64</f>
        <v>1055208.3333333335</v>
      </c>
      <c r="W77" s="90">
        <f>'08 Certification &amp; Premium'!W$64</f>
        <v>1055208.3333333335</v>
      </c>
      <c r="X77" s="90">
        <f>'08 Certification &amp; Premium'!X$64</f>
        <v>1044791.6666666667</v>
      </c>
      <c r="Y77" s="90">
        <f>'08 Certification &amp; Premium'!Y$64</f>
        <v>1044791.6666666667</v>
      </c>
      <c r="Z77" s="90">
        <f>'08 Certification &amp; Premium'!Z$64</f>
        <v>1120416.6666666667</v>
      </c>
      <c r="AA77" s="90">
        <f>'08 Certification &amp; Premium'!AA$64</f>
        <v>1120416.6666666667</v>
      </c>
      <c r="AB77" s="90">
        <f>'08 Certification &amp; Premium'!AB$64</f>
        <v>1091250</v>
      </c>
      <c r="AC77" s="90">
        <f>'08 Certification &amp; Premium'!AC$64</f>
        <v>1091250</v>
      </c>
      <c r="AD77" s="90">
        <f>'08 Certification &amp; Premium'!AD$64</f>
        <v>1016250</v>
      </c>
      <c r="AE77" s="90">
        <f>'08 Certification &amp; Premium'!AE$64</f>
        <v>1016250</v>
      </c>
      <c r="AF77" s="90">
        <f>'08 Certification &amp; Premium'!AF$64</f>
        <v>341250</v>
      </c>
      <c r="AG77" s="90">
        <f>'08 Certification &amp; Premium'!AG$64</f>
        <v>341250</v>
      </c>
      <c r="AH77" s="90">
        <f>'08 Certification &amp; Premium'!AH$64</f>
        <v>306666.66666666663</v>
      </c>
      <c r="AI77" s="90">
        <f>'08 Certification &amp; Premium'!AI$64</f>
        <v>306666.66666666663</v>
      </c>
      <c r="AJ77" s="90">
        <f>'08 Certification &amp; Premium'!AJ$64</f>
        <v>306666.66666666663</v>
      </c>
      <c r="AK77" s="90">
        <f>'08 Certification &amp; Premium'!AK$64</f>
        <v>306666.66666666663</v>
      </c>
      <c r="AL77" s="90">
        <f>'08 Certification &amp; Premium'!AL$64</f>
        <v>306666.66666666663</v>
      </c>
      <c r="AM77" s="90">
        <f>'08 Certification &amp; Premium'!AM$64</f>
        <v>306666.66666666663</v>
      </c>
      <c r="AN77" s="90">
        <f>'08 Certification &amp; Premium'!AN$64</f>
        <v>306666.66666666663</v>
      </c>
      <c r="AO77" s="90">
        <f>'08 Certification &amp; Premium'!AO$64</f>
        <v>306666.66666666663</v>
      </c>
      <c r="AP77" s="90">
        <f>'08 Certification &amp; Premium'!AP$64</f>
        <v>235833.33333333331</v>
      </c>
      <c r="AQ77" s="90">
        <f>'08 Certification &amp; Premium'!AQ$64</f>
        <v>235833.33333333331</v>
      </c>
      <c r="AR77" s="90">
        <f>'08 Certification &amp; Premium'!AR$64</f>
        <v>235833.33333333331</v>
      </c>
      <c r="AS77" s="90">
        <f>'08 Certification &amp; Premium'!AS$64</f>
        <v>235833.33333333331</v>
      </c>
      <c r="AT77" s="90">
        <f>'08 Certification &amp; Premium'!AT$64</f>
        <v>235833.33333333331</v>
      </c>
      <c r="AU77" s="90">
        <f>'08 Certification &amp; Premium'!AU$64</f>
        <v>235833.33333333331</v>
      </c>
      <c r="AV77" s="90">
        <f>'08 Certification &amp; Premium'!AV$64</f>
        <v>235833.33333333331</v>
      </c>
      <c r="AW77" s="90">
        <f>'08 Certification &amp; Premium'!AW$64</f>
        <v>235833.33333333331</v>
      </c>
      <c r="AX77" s="90">
        <f>'08 Certification &amp; Premium'!AX$64</f>
        <v>235833.33333333331</v>
      </c>
      <c r="AY77" s="90">
        <f>'08 Certification &amp; Premium'!AY$64</f>
        <v>235833.33333333331</v>
      </c>
      <c r="AZ77" s="90">
        <f>'08 Certification &amp; Premium'!AZ$64</f>
        <v>235833.33333333331</v>
      </c>
      <c r="BA77" s="90">
        <f>'08 Certification &amp; Premium'!BA$64</f>
        <v>235833.33333333331</v>
      </c>
      <c r="BB77" s="90">
        <f>'08 Certification &amp; Premium'!BB$64</f>
        <v>235833.33333333331</v>
      </c>
      <c r="BC77" s="90">
        <f>'08 Certification &amp; Premium'!BC$64</f>
        <v>235833.33333333331</v>
      </c>
      <c r="BD77" s="90">
        <f>'08 Certification &amp; Premium'!BD$64</f>
        <v>235833.33333333331</v>
      </c>
      <c r="BE77" s="90">
        <f>'08 Certification &amp; Premium'!BE$64</f>
        <v>235833.33333333331</v>
      </c>
      <c r="BF77" s="90">
        <f>'08 Certification &amp; Premium'!BF$64</f>
        <v>235833.33333333331</v>
      </c>
      <c r="BG77" s="90">
        <f>'08 Certification &amp; Premium'!BG$64</f>
        <v>235833.33333333331</v>
      </c>
      <c r="BH77" s="90">
        <f>'08 Certification &amp; Premium'!BH$64</f>
        <v>235833.33333333331</v>
      </c>
      <c r="BI77" s="90">
        <f>'08 Certification &amp; Premium'!BI$64</f>
        <v>2830000</v>
      </c>
      <c r="BJ77" s="90">
        <f>'08 Certification &amp; Premium'!BJ$64</f>
        <v>2830000</v>
      </c>
      <c r="BK77" s="90">
        <f>'08 Certification &amp; Premium'!BK$64</f>
        <v>2830000</v>
      </c>
      <c r="BL77" s="90">
        <f>'08 Certification &amp; Premium'!BL$64</f>
        <v>2830000</v>
      </c>
      <c r="BM77" s="90">
        <f>'08 Certification &amp; Premium'!BM$64</f>
        <v>2830000</v>
      </c>
      <c r="BN77" s="90">
        <f>'08 Certification &amp; Premium'!BN$64</f>
        <v>2830000</v>
      </c>
      <c r="BO77" s="90">
        <f>'08 Certification &amp; Premium'!BO$64</f>
        <v>2830000</v>
      </c>
    </row>
    <row r="78" spans="1:67">
      <c r="A78" s="11"/>
      <c r="B78" s="11"/>
      <c r="C78" s="11" t="s">
        <v>425</v>
      </c>
      <c r="D78" s="33"/>
      <c r="E78" s="33"/>
      <c r="F78" s="10" t="s">
        <v>13</v>
      </c>
      <c r="G78" s="90">
        <f>IF('01 Major Assumptions'!G$15=0,0,'03 CAPEX &amp; Depreciation'!G$151*'01 Major Assumptions'!$D$112*'01 Major Assumptions'!G$14/12)</f>
        <v>0</v>
      </c>
      <c r="H78" s="90">
        <f>IF('01 Major Assumptions'!H$15=0,0,'03 CAPEX &amp; Depreciation'!H$151*'01 Major Assumptions'!$D$112*'01 Major Assumptions'!H$14/12)</f>
        <v>0</v>
      </c>
      <c r="I78" s="90">
        <f>IF('01 Major Assumptions'!I$15=0,0,'03 CAPEX &amp; Depreciation'!I$151*'01 Major Assumptions'!$D$112*'01 Major Assumptions'!I$14/12)</f>
        <v>0</v>
      </c>
      <c r="J78" s="90">
        <f>IF('01 Major Assumptions'!J$15=0,0,'03 CAPEX &amp; Depreciation'!J$151*'01 Major Assumptions'!$D$112*'01 Major Assumptions'!J$14/12)</f>
        <v>0</v>
      </c>
      <c r="K78" s="90">
        <f>IF('01 Major Assumptions'!K$15=0,0,'03 CAPEX &amp; Depreciation'!K$151*'01 Major Assumptions'!$D$112*'01 Major Assumptions'!K$14/12)</f>
        <v>0</v>
      </c>
      <c r="L78" s="90">
        <f>IF('01 Major Assumptions'!L$15=0,0,'03 CAPEX &amp; Depreciation'!L$151*'01 Major Assumptions'!$D$112*'01 Major Assumptions'!L$14/12)</f>
        <v>0</v>
      </c>
      <c r="M78" s="90">
        <f>IF('01 Major Assumptions'!M$15=0,0,'03 CAPEX &amp; Depreciation'!M$151*'01 Major Assumptions'!$D$112*'01 Major Assumptions'!M$14/12)</f>
        <v>0</v>
      </c>
      <c r="N78" s="90">
        <f>IF('01 Major Assumptions'!N$15=0,0,'03 CAPEX &amp; Depreciation'!N$151*'01 Major Assumptions'!$D$112*'01 Major Assumptions'!N$14/12)</f>
        <v>0</v>
      </c>
      <c r="O78" s="90">
        <f>IF('01 Major Assumptions'!O$15=0,0,'03 CAPEX &amp; Depreciation'!O$151*'01 Major Assumptions'!$D$112*'01 Major Assumptions'!O$14/12)</f>
        <v>0</v>
      </c>
      <c r="P78" s="90">
        <f>IF('01 Major Assumptions'!P$15=0,0,'03 CAPEX &amp; Depreciation'!P$151*'01 Major Assumptions'!$D$112*'01 Major Assumptions'!P$14/12)</f>
        <v>0</v>
      </c>
      <c r="Q78" s="90">
        <f>IF('01 Major Assumptions'!Q$15=0,0,'03 CAPEX &amp; Depreciation'!Q$151*'01 Major Assumptions'!$D$112*'01 Major Assumptions'!Q$14/12)</f>
        <v>0</v>
      </c>
      <c r="R78" s="90">
        <f>IF('01 Major Assumptions'!R$15=0,0,'03 CAPEX &amp; Depreciation'!R$151*'01 Major Assumptions'!$D$112*'01 Major Assumptions'!R$14/12)</f>
        <v>0</v>
      </c>
      <c r="S78" s="90">
        <f>IF('01 Major Assumptions'!S$15=0,0,'03 CAPEX &amp; Depreciation'!S$151*'01 Major Assumptions'!$D$112*'01 Major Assumptions'!S$14/12)</f>
        <v>0</v>
      </c>
      <c r="T78" s="90">
        <f>IF('01 Major Assumptions'!T$15=0,0,'03 CAPEX &amp; Depreciation'!T$151*'01 Major Assumptions'!$D$112*'01 Major Assumptions'!T$14/12)</f>
        <v>0</v>
      </c>
      <c r="U78" s="90">
        <f>IF('01 Major Assumptions'!U$15=0,0,'03 CAPEX &amp; Depreciation'!U$151*'01 Major Assumptions'!$D$112*'01 Major Assumptions'!U$14/12)</f>
        <v>0</v>
      </c>
      <c r="V78" s="90">
        <f>IF('01 Major Assumptions'!V$15=0,0,'03 CAPEX &amp; Depreciation'!V$151*'01 Major Assumptions'!$D$112*'01 Major Assumptions'!V$14/12)</f>
        <v>0</v>
      </c>
      <c r="W78" s="90">
        <f>IF('01 Major Assumptions'!W$15=0,0,'03 CAPEX &amp; Depreciation'!W$151*'01 Major Assumptions'!$D$112*'01 Major Assumptions'!W$14/12)</f>
        <v>0</v>
      </c>
      <c r="X78" s="90">
        <f>IF('01 Major Assumptions'!X$15=0,0,'03 CAPEX &amp; Depreciation'!X$151*'01 Major Assumptions'!$D$112*'01 Major Assumptions'!X$14/12)</f>
        <v>0</v>
      </c>
      <c r="Y78" s="90">
        <f>IF('01 Major Assumptions'!Y$15=0,0,'03 CAPEX &amp; Depreciation'!Y$151*'01 Major Assumptions'!$D$112*'01 Major Assumptions'!Y$14/12)</f>
        <v>0</v>
      </c>
      <c r="Z78" s="90">
        <f>IF('01 Major Assumptions'!Z$15=0,0,'03 CAPEX &amp; Depreciation'!Z$151*'01 Major Assumptions'!$D$112*'01 Major Assumptions'!Z$14/12)</f>
        <v>0</v>
      </c>
      <c r="AA78" s="90">
        <f>IF('01 Major Assumptions'!AA$15=0,0,'03 CAPEX &amp; Depreciation'!AA$151*'01 Major Assumptions'!$D$112*'01 Major Assumptions'!AA$14/12)</f>
        <v>0</v>
      </c>
      <c r="AB78" s="90">
        <f>IF('01 Major Assumptions'!AB$15=0,0,'03 CAPEX &amp; Depreciation'!AB$151*'01 Major Assumptions'!$D$112*'01 Major Assumptions'!AB$14/12)</f>
        <v>423357.8125</v>
      </c>
      <c r="AC78" s="90">
        <f>IF('01 Major Assumptions'!AC$15=0,0,'03 CAPEX &amp; Depreciation'!AC$151*'01 Major Assumptions'!$D$112*'01 Major Assumptions'!AC$14/12)</f>
        <v>423886.45833333331</v>
      </c>
      <c r="AD78" s="90">
        <f>IF('01 Major Assumptions'!AD$15=0,0,'03 CAPEX &amp; Depreciation'!AD$151*'01 Major Assumptions'!$D$112*'01 Major Assumptions'!AD$14/12)</f>
        <v>424415.10416666669</v>
      </c>
      <c r="AE78" s="90">
        <f>IF('01 Major Assumptions'!AE$15=0,0,'03 CAPEX &amp; Depreciation'!AE$151*'01 Major Assumptions'!$D$112*'01 Major Assumptions'!AE$14/12)</f>
        <v>424943.75</v>
      </c>
      <c r="AF78" s="90">
        <f>IF('01 Major Assumptions'!AF$15=0,0,'03 CAPEX &amp; Depreciation'!AF$151*'01 Major Assumptions'!$D$112*'01 Major Assumptions'!AF$14/12)</f>
        <v>425472.39583333331</v>
      </c>
      <c r="AG78" s="90">
        <f>IF('01 Major Assumptions'!AG$15=0,0,'03 CAPEX &amp; Depreciation'!AG$151*'01 Major Assumptions'!$D$112*'01 Major Assumptions'!AG$14/12)</f>
        <v>426001.04166666669</v>
      </c>
      <c r="AH78" s="90">
        <f>IF('01 Major Assumptions'!AH$15=0,0,'03 CAPEX &amp; Depreciation'!AH$151*'01 Major Assumptions'!$D$112*'01 Major Assumptions'!AH$14/12)</f>
        <v>426529.6875</v>
      </c>
      <c r="AI78" s="90">
        <f>IF('01 Major Assumptions'!AI$15=0,0,'03 CAPEX &amp; Depreciation'!AI$151*'01 Major Assumptions'!$D$112*'01 Major Assumptions'!AI$14/12)</f>
        <v>427058.33333333331</v>
      </c>
      <c r="AJ78" s="90">
        <f>IF('01 Major Assumptions'!AJ$15=0,0,'03 CAPEX &amp; Depreciation'!AJ$151*'01 Major Assumptions'!$D$112*'01 Major Assumptions'!AJ$14/12)</f>
        <v>427586.97916666669</v>
      </c>
      <c r="AK78" s="90">
        <f>IF('01 Major Assumptions'!AK$15=0,0,'03 CAPEX &amp; Depreciation'!AK$151*'01 Major Assumptions'!$D$112*'01 Major Assumptions'!AK$14/12)</f>
        <v>428115.625</v>
      </c>
      <c r="AL78" s="90">
        <f>IF('01 Major Assumptions'!AL$15=0,0,'03 CAPEX &amp; Depreciation'!AL$151*'01 Major Assumptions'!$D$112*'01 Major Assumptions'!AL$14/12)</f>
        <v>428644.27083333331</v>
      </c>
      <c r="AM78" s="90">
        <f>IF('01 Major Assumptions'!AM$15=0,0,'03 CAPEX &amp; Depreciation'!AM$151*'01 Major Assumptions'!$D$112*'01 Major Assumptions'!AM$14/12)</f>
        <v>429172.91666666669</v>
      </c>
      <c r="AN78" s="90">
        <f>IF('01 Major Assumptions'!AN$15=0,0,'03 CAPEX &amp; Depreciation'!AN$151*'01 Major Assumptions'!$D$112*'01 Major Assumptions'!AN$14/12)</f>
        <v>429701.5625</v>
      </c>
      <c r="AO78" s="90">
        <f>IF('01 Major Assumptions'!AO$15=0,0,'03 CAPEX &amp; Depreciation'!AO$151*'01 Major Assumptions'!$D$112*'01 Major Assumptions'!AO$14/12)</f>
        <v>430230.20833333331</v>
      </c>
      <c r="AP78" s="90">
        <f>IF('01 Major Assumptions'!AP$15=0,0,'03 CAPEX &amp; Depreciation'!AP$151*'01 Major Assumptions'!$D$112*'01 Major Assumptions'!AP$14/12)</f>
        <v>430758.85416666669</v>
      </c>
      <c r="AQ78" s="90">
        <f>IF('01 Major Assumptions'!AQ$15=0,0,'03 CAPEX &amp; Depreciation'!AQ$151*'01 Major Assumptions'!$D$112*'01 Major Assumptions'!AQ$14/12)</f>
        <v>431287.5</v>
      </c>
      <c r="AR78" s="90">
        <f>IF('01 Major Assumptions'!AR$15=0,0,'03 CAPEX &amp; Depreciation'!AR$151*'01 Major Assumptions'!$D$112*'01 Major Assumptions'!AR$14/12)</f>
        <v>431816.14583333331</v>
      </c>
      <c r="AS78" s="90">
        <f>IF('01 Major Assumptions'!AS$15=0,0,'03 CAPEX &amp; Depreciation'!AS$151*'01 Major Assumptions'!$D$112*'01 Major Assumptions'!AS$14/12)</f>
        <v>432344.79166666669</v>
      </c>
      <c r="AT78" s="90">
        <f>IF('01 Major Assumptions'!AT$15=0,0,'03 CAPEX &amp; Depreciation'!AT$151*'01 Major Assumptions'!$D$112*'01 Major Assumptions'!AT$14/12)</f>
        <v>432873.4375</v>
      </c>
      <c r="AU78" s="90">
        <f>IF('01 Major Assumptions'!AU$15=0,0,'03 CAPEX &amp; Depreciation'!AU$151*'01 Major Assumptions'!$D$112*'01 Major Assumptions'!AU$14/12)</f>
        <v>433402.08333333331</v>
      </c>
      <c r="AV78" s="90">
        <f>IF('01 Major Assumptions'!AV$15=0,0,'03 CAPEX &amp; Depreciation'!AV$151*'01 Major Assumptions'!$D$112*'01 Major Assumptions'!AV$14/12)</f>
        <v>433930.72916666669</v>
      </c>
      <c r="AW78" s="90">
        <f>IF('01 Major Assumptions'!AW$15=0,0,'03 CAPEX &amp; Depreciation'!AW$151*'01 Major Assumptions'!$D$112*'01 Major Assumptions'!AW$14/12)</f>
        <v>434459.375</v>
      </c>
      <c r="AX78" s="90">
        <f>IF('01 Major Assumptions'!AX$15=0,0,'03 CAPEX &amp; Depreciation'!AX$151*'01 Major Assumptions'!$D$112*'01 Major Assumptions'!AX$14/12)</f>
        <v>434988.02083333331</v>
      </c>
      <c r="AY78" s="90">
        <f>IF('01 Major Assumptions'!AY$15=0,0,'03 CAPEX &amp; Depreciation'!AY$151*'01 Major Assumptions'!$D$112*'01 Major Assumptions'!AY$14/12)</f>
        <v>435516.66666666669</v>
      </c>
      <c r="AZ78" s="90">
        <f>IF('01 Major Assumptions'!AZ$15=0,0,'03 CAPEX &amp; Depreciation'!AZ$151*'01 Major Assumptions'!$D$112*'01 Major Assumptions'!AZ$14/12)</f>
        <v>436045.3125</v>
      </c>
      <c r="BA78" s="90">
        <f>IF('01 Major Assumptions'!BA$15=0,0,'03 CAPEX &amp; Depreciation'!BA$151*'01 Major Assumptions'!$D$112*'01 Major Assumptions'!BA$14/12)</f>
        <v>436573.95833333331</v>
      </c>
      <c r="BB78" s="90">
        <f>IF('01 Major Assumptions'!BB$15=0,0,'03 CAPEX &amp; Depreciation'!BB$151*'01 Major Assumptions'!$D$112*'01 Major Assumptions'!BB$14/12)</f>
        <v>437102.60416666669</v>
      </c>
      <c r="BC78" s="90">
        <f>IF('01 Major Assumptions'!BC$15=0,0,'03 CAPEX &amp; Depreciation'!BC$151*'01 Major Assumptions'!$D$112*'01 Major Assumptions'!BC$14/12)</f>
        <v>437631.25</v>
      </c>
      <c r="BD78" s="90">
        <f>IF('01 Major Assumptions'!BD$15=0,0,'03 CAPEX &amp; Depreciation'!BD$151*'01 Major Assumptions'!$D$112*'01 Major Assumptions'!BD$14/12)</f>
        <v>438159.89583333331</v>
      </c>
      <c r="BE78" s="90">
        <f>IF('01 Major Assumptions'!BE$15=0,0,'03 CAPEX &amp; Depreciation'!BE$151*'01 Major Assumptions'!$D$112*'01 Major Assumptions'!BE$14/12)</f>
        <v>438688.54166666669</v>
      </c>
      <c r="BF78" s="90">
        <f>IF('01 Major Assumptions'!BF$15=0,0,'03 CAPEX &amp; Depreciation'!BF$151*'01 Major Assumptions'!$D$112*'01 Major Assumptions'!BF$14/12)</f>
        <v>439217.1875</v>
      </c>
      <c r="BG78" s="90">
        <f>IF('01 Major Assumptions'!BG$15=0,0,'03 CAPEX &amp; Depreciation'!BG$151*'01 Major Assumptions'!$D$112*'01 Major Assumptions'!BG$14/12)</f>
        <v>439745.83333333331</v>
      </c>
      <c r="BH78" s="90">
        <f>IF('01 Major Assumptions'!BH$15=0,0,'03 CAPEX &amp; Depreciation'!BH$151*'01 Major Assumptions'!$D$112*'01 Major Assumptions'!BH$14/12)</f>
        <v>440274.47916666669</v>
      </c>
      <c r="BI78" s="90">
        <f>IF('01 Major Assumptions'!BI$15=0,0,'03 CAPEX &amp; Depreciation'!BI$151*'01 Major Assumptions'!$D$112*'01 Major Assumptions'!BI$14/12)</f>
        <v>5359418.75</v>
      </c>
      <c r="BJ78" s="90">
        <f>IF('01 Major Assumptions'!BJ$15=0,0,'03 CAPEX &amp; Depreciation'!BJ$151*'01 Major Assumptions'!$D$112*'01 Major Assumptions'!BJ$14/12)</f>
        <v>5435543.75</v>
      </c>
      <c r="BK78" s="90">
        <f>IF('01 Major Assumptions'!BK$15=0,0,'03 CAPEX &amp; Depreciation'!BK$151*'01 Major Assumptions'!$D$112*'01 Major Assumptions'!BK$14/12)</f>
        <v>5511668.75</v>
      </c>
      <c r="BL78" s="90">
        <f>IF('01 Major Assumptions'!BL$15=0,0,'03 CAPEX &amp; Depreciation'!BL$151*'01 Major Assumptions'!$D$112*'01 Major Assumptions'!BL$14/12)</f>
        <v>5587793.75</v>
      </c>
      <c r="BM78" s="90">
        <f>IF('01 Major Assumptions'!BM$15=0,0,'03 CAPEX &amp; Depreciation'!BM$151*'01 Major Assumptions'!$D$112*'01 Major Assumptions'!BM$14/12)</f>
        <v>5663918.75</v>
      </c>
      <c r="BN78" s="90">
        <f>IF('01 Major Assumptions'!BN$15=0,0,'03 CAPEX &amp; Depreciation'!BN$151*'01 Major Assumptions'!$D$112*'01 Major Assumptions'!BN$14/12)</f>
        <v>5740043.75</v>
      </c>
      <c r="BO78" s="90">
        <f>IF('01 Major Assumptions'!BO$15=0,0,'03 CAPEX &amp; Depreciation'!BO$151*'01 Major Assumptions'!$D$112*'01 Major Assumptions'!BO$14/12)</f>
        <v>5816168.75</v>
      </c>
    </row>
    <row r="79" spans="1:67">
      <c r="A79" s="11"/>
      <c r="B79" s="11"/>
      <c r="C79" s="11" t="s">
        <v>156</v>
      </c>
      <c r="D79" s="33"/>
      <c r="E79" s="33"/>
      <c r="F79" s="10" t="s">
        <v>13</v>
      </c>
      <c r="G79" s="90">
        <f>'04 Operating Model'!G$101*'01 Major Assumptions'!$D$120</f>
        <v>0</v>
      </c>
      <c r="H79" s="90">
        <f>'04 Operating Model'!H$101*'01 Major Assumptions'!$D$120</f>
        <v>0</v>
      </c>
      <c r="I79" s="90">
        <f>'04 Operating Model'!I$101*'01 Major Assumptions'!$D$120</f>
        <v>0</v>
      </c>
      <c r="J79" s="90">
        <f>'04 Operating Model'!J$101*'01 Major Assumptions'!$D$120</f>
        <v>0</v>
      </c>
      <c r="K79" s="90">
        <f>'04 Operating Model'!K$101*'01 Major Assumptions'!$D$120</f>
        <v>0</v>
      </c>
      <c r="L79" s="90">
        <f>'04 Operating Model'!L$101*'01 Major Assumptions'!$D$120</f>
        <v>0</v>
      </c>
      <c r="M79" s="90">
        <f>'04 Operating Model'!M$101*'01 Major Assumptions'!$D$120</f>
        <v>0</v>
      </c>
      <c r="N79" s="90">
        <f>'04 Operating Model'!N$101*'01 Major Assumptions'!$D$120</f>
        <v>0</v>
      </c>
      <c r="O79" s="90">
        <f>'04 Operating Model'!O$101*'01 Major Assumptions'!$D$120</f>
        <v>0</v>
      </c>
      <c r="P79" s="90">
        <f>'04 Operating Model'!P$101*'01 Major Assumptions'!$D$120</f>
        <v>0</v>
      </c>
      <c r="Q79" s="90">
        <f>'04 Operating Model'!Q$101*'01 Major Assumptions'!$D$120</f>
        <v>0</v>
      </c>
      <c r="R79" s="90">
        <f>'04 Operating Model'!R$101*'01 Major Assumptions'!$D$120</f>
        <v>0</v>
      </c>
      <c r="S79" s="90">
        <f>'04 Operating Model'!S$101*'01 Major Assumptions'!$D$120</f>
        <v>0</v>
      </c>
      <c r="T79" s="90">
        <f>'04 Operating Model'!T$101*'01 Major Assumptions'!$D$120</f>
        <v>0</v>
      </c>
      <c r="U79" s="90">
        <f>'04 Operating Model'!U$101*'01 Major Assumptions'!$D$120</f>
        <v>0</v>
      </c>
      <c r="V79" s="90">
        <f>'04 Operating Model'!V$101*'01 Major Assumptions'!$D$120</f>
        <v>0</v>
      </c>
      <c r="W79" s="90">
        <f>'04 Operating Model'!W$101*'01 Major Assumptions'!$D$120</f>
        <v>0</v>
      </c>
      <c r="X79" s="90">
        <f>'04 Operating Model'!X$101*'01 Major Assumptions'!$D$120</f>
        <v>0</v>
      </c>
      <c r="Y79" s="90">
        <f>'04 Operating Model'!Y$101*'01 Major Assumptions'!$D$120</f>
        <v>0</v>
      </c>
      <c r="Z79" s="90">
        <f>'04 Operating Model'!Z$101*'01 Major Assumptions'!$D$120</f>
        <v>0</v>
      </c>
      <c r="AA79" s="90">
        <f>'04 Operating Model'!AA$101*'01 Major Assumptions'!$D$120</f>
        <v>0</v>
      </c>
      <c r="AB79" s="90">
        <f>'04 Operating Model'!AB$101*'01 Major Assumptions'!$D$120</f>
        <v>12974.266175197721</v>
      </c>
      <c r="AC79" s="90">
        <f>'04 Operating Model'!AC$101*'01 Major Assumptions'!$D$120</f>
        <v>17190.902682136977</v>
      </c>
      <c r="AD79" s="90">
        <f>'04 Operating Model'!AD$101*'01 Major Assumptions'!$D$120</f>
        <v>21407.539189076237</v>
      </c>
      <c r="AE79" s="90">
        <f>'04 Operating Model'!AE$101*'01 Major Assumptions'!$D$120</f>
        <v>26188.12178949115</v>
      </c>
      <c r="AF79" s="90">
        <f>'04 Operating Model'!AF$101*'01 Major Assumptions'!$D$120</f>
        <v>30497.559552318799</v>
      </c>
      <c r="AG79" s="90">
        <f>'04 Operating Model'!AG$101*'01 Major Assumptions'!$D$120</f>
        <v>34806.997315146451</v>
      </c>
      <c r="AH79" s="90">
        <f>'04 Operating Model'!AH$101*'01 Major Assumptions'!$D$120</f>
        <v>39116.435077974107</v>
      </c>
      <c r="AI79" s="90">
        <f>'04 Operating Model'!AI$101*'01 Major Assumptions'!$D$120</f>
        <v>43425.872840801763</v>
      </c>
      <c r="AJ79" s="90">
        <f>'04 Operating Model'!AJ$101*'01 Major Assumptions'!$D$120</f>
        <v>47735.310603629427</v>
      </c>
      <c r="AK79" s="90">
        <f>'04 Operating Model'!AK$101*'01 Major Assumptions'!$D$120</f>
        <v>52044.748366457075</v>
      </c>
      <c r="AL79" s="90">
        <f>'04 Operating Model'!AL$101*'01 Major Assumptions'!$D$120</f>
        <v>56354.186129284717</v>
      </c>
      <c r="AM79" s="90">
        <f>'04 Operating Model'!AM$101*'01 Major Assumptions'!$D$120</f>
        <v>60663.623892112388</v>
      </c>
      <c r="AN79" s="90">
        <f>'04 Operating Model'!AN$101*'01 Major Assumptions'!$D$120</f>
        <v>64973.061654940044</v>
      </c>
      <c r="AO79" s="90">
        <f>'04 Operating Model'!AO$101*'01 Major Assumptions'!$D$120</f>
        <v>64973.061654940044</v>
      </c>
      <c r="AP79" s="90">
        <f>'04 Operating Model'!AP$101*'01 Major Assumptions'!$D$120</f>
        <v>64973.061654940044</v>
      </c>
      <c r="AQ79" s="90">
        <f>'04 Operating Model'!AQ$101*'01 Major Assumptions'!$D$120</f>
        <v>66403.138823500631</v>
      </c>
      <c r="AR79" s="90">
        <f>'04 Operating Model'!AR$101*'01 Major Assumptions'!$D$120</f>
        <v>66403.138823500631</v>
      </c>
      <c r="AS79" s="90">
        <f>'04 Operating Model'!AS$101*'01 Major Assumptions'!$D$120</f>
        <v>66403.138823500631</v>
      </c>
      <c r="AT79" s="90">
        <f>'04 Operating Model'!AT$101*'01 Major Assumptions'!$D$120</f>
        <v>66403.138823500631</v>
      </c>
      <c r="AU79" s="90">
        <f>'04 Operating Model'!AU$101*'01 Major Assumptions'!$D$120</f>
        <v>66403.138823500631</v>
      </c>
      <c r="AV79" s="90">
        <f>'04 Operating Model'!AV$101*'01 Major Assumptions'!$D$120</f>
        <v>66403.138823500631</v>
      </c>
      <c r="AW79" s="90">
        <f>'04 Operating Model'!AW$101*'01 Major Assumptions'!$D$120</f>
        <v>66403.138823500631</v>
      </c>
      <c r="AX79" s="90">
        <f>'04 Operating Model'!AX$101*'01 Major Assumptions'!$D$120</f>
        <v>66403.138823500631</v>
      </c>
      <c r="AY79" s="90">
        <f>'04 Operating Model'!AY$101*'01 Major Assumptions'!$D$120</f>
        <v>66403.138823500631</v>
      </c>
      <c r="AZ79" s="90">
        <f>'04 Operating Model'!AZ$101*'01 Major Assumptions'!$D$120</f>
        <v>66403.138823500631</v>
      </c>
      <c r="BA79" s="90">
        <f>'04 Operating Model'!BA$101*'01 Major Assumptions'!$D$120</f>
        <v>66403.138823500631</v>
      </c>
      <c r="BB79" s="90">
        <f>'04 Operating Model'!BB$101*'01 Major Assumptions'!$D$120</f>
        <v>66403.138823500631</v>
      </c>
      <c r="BC79" s="90">
        <f>'04 Operating Model'!BC$101*'01 Major Assumptions'!$D$120</f>
        <v>67864.821701948051</v>
      </c>
      <c r="BD79" s="90">
        <f>'04 Operating Model'!BD$101*'01 Major Assumptions'!$D$120</f>
        <v>67864.821701948051</v>
      </c>
      <c r="BE79" s="90">
        <f>'04 Operating Model'!BE$101*'01 Major Assumptions'!$D$120</f>
        <v>67864.821701948051</v>
      </c>
      <c r="BF79" s="90">
        <f>'04 Operating Model'!BF$101*'01 Major Assumptions'!$D$120</f>
        <v>67864.821701948051</v>
      </c>
      <c r="BG79" s="90">
        <f>'04 Operating Model'!BG$101*'01 Major Assumptions'!$D$120</f>
        <v>67864.821701948051</v>
      </c>
      <c r="BH79" s="90">
        <f>'04 Operating Model'!BH$101*'01 Major Assumptions'!$D$120</f>
        <v>67864.821701948051</v>
      </c>
      <c r="BI79" s="90">
        <f>'04 Operating Model'!BI$101*'01 Major Assumptions'!$D$120</f>
        <v>832305.73800371878</v>
      </c>
      <c r="BJ79" s="90">
        <f>'04 Operating Model'!BJ$101*'01 Major Assumptions'!$D$120</f>
        <v>850629.90050422121</v>
      </c>
      <c r="BK79" s="90">
        <f>'04 Operating Model'!BK$101*'01 Major Assumptions'!$D$120</f>
        <v>869359.14135276305</v>
      </c>
      <c r="BL79" s="90">
        <f>'04 Operating Model'!BL$101*'01 Major Assumptions'!$D$120</f>
        <v>888502.44980356039</v>
      </c>
      <c r="BM79" s="90">
        <f>'04 Operating Model'!BM$101*'01 Major Assumptions'!$D$120</f>
        <v>908069.01531271986</v>
      </c>
      <c r="BN79" s="90">
        <f>'04 Operating Model'!BN$101*'01 Major Assumptions'!$D$120</f>
        <v>928068.2320118635</v>
      </c>
      <c r="BO79" s="90">
        <f>'04 Operating Model'!BO$101*'01 Major Assumptions'!$D$120</f>
        <v>942482.38284129451</v>
      </c>
    </row>
    <row r="80" spans="1:67">
      <c r="A80" s="32"/>
      <c r="B80" s="32"/>
      <c r="C80" s="35" t="s">
        <v>1687</v>
      </c>
      <c r="D80" s="17"/>
      <c r="E80" s="17"/>
      <c r="F80" s="35" t="s">
        <v>13</v>
      </c>
      <c r="G80" s="92">
        <f>'01 Major Assumptions'!$D$121*'01 Major Assumptions'!G$14*(1+'01 Major Assumptions'!$D$23)^MAX(0,'02 Oil Price Analysis'!G$57)</f>
        <v>200000</v>
      </c>
      <c r="H80" s="92">
        <f>'01 Major Assumptions'!$D$121*'01 Major Assumptions'!H$14*(1+'01 Major Assumptions'!$D$23)^MAX(0,'02 Oil Price Analysis'!H$57)</f>
        <v>200000</v>
      </c>
      <c r="I80" s="92">
        <f>'01 Major Assumptions'!$D$121*'01 Major Assumptions'!I$14*(1+'01 Major Assumptions'!$D$23)^MAX(0,'02 Oil Price Analysis'!I$57)</f>
        <v>200000</v>
      </c>
      <c r="J80" s="92">
        <f>'01 Major Assumptions'!$D$121*'01 Major Assumptions'!J$14*(1+'01 Major Assumptions'!$D$23)^MAX(0,'02 Oil Price Analysis'!J$57)</f>
        <v>200000</v>
      </c>
      <c r="K80" s="92">
        <f>'01 Major Assumptions'!$D$121*'01 Major Assumptions'!K$14*(1+'01 Major Assumptions'!$D$23)^MAX(0,'02 Oil Price Analysis'!K$57)</f>
        <v>200000</v>
      </c>
      <c r="L80" s="92">
        <f>'01 Major Assumptions'!$D$121*'01 Major Assumptions'!L$14*(1+'01 Major Assumptions'!$D$23)^MAX(0,'02 Oil Price Analysis'!L$57)</f>
        <v>200000</v>
      </c>
      <c r="M80" s="92">
        <f>'01 Major Assumptions'!$D$121*'01 Major Assumptions'!M$14*(1+'01 Major Assumptions'!$D$23)^MAX(0,'02 Oil Price Analysis'!M$57)</f>
        <v>200000</v>
      </c>
      <c r="N80" s="92">
        <f>'01 Major Assumptions'!$D$121*'01 Major Assumptions'!N$14*(1+'01 Major Assumptions'!$D$23)^MAX(0,'02 Oil Price Analysis'!N$57)</f>
        <v>200000</v>
      </c>
      <c r="O80" s="92">
        <f>'01 Major Assumptions'!$D$121*'01 Major Assumptions'!O$14*(1+'01 Major Assumptions'!$D$23)^MAX(0,'02 Oil Price Analysis'!O$57)</f>
        <v>200000</v>
      </c>
      <c r="P80" s="92">
        <f>'01 Major Assumptions'!$D$121*'01 Major Assumptions'!P$14*(1+'01 Major Assumptions'!$D$23)^MAX(0,'02 Oil Price Analysis'!P$57)</f>
        <v>200000</v>
      </c>
      <c r="Q80" s="92">
        <f>'01 Major Assumptions'!$D$121*'01 Major Assumptions'!Q$14*(1+'01 Major Assumptions'!$D$23)^MAX(0,'02 Oil Price Analysis'!Q$57)</f>
        <v>200000</v>
      </c>
      <c r="R80" s="92">
        <f>'01 Major Assumptions'!$D$121*'01 Major Assumptions'!R$14*(1+'01 Major Assumptions'!$D$23)^MAX(0,'02 Oil Price Analysis'!R$57)</f>
        <v>200000</v>
      </c>
      <c r="S80" s="92">
        <f>'01 Major Assumptions'!$D$121*'01 Major Assumptions'!S$14*(1+'01 Major Assumptions'!$D$23)^MAX(0,'02 Oil Price Analysis'!S$57)</f>
        <v>204599.99999999997</v>
      </c>
      <c r="T80" s="92">
        <f>'01 Major Assumptions'!$D$121*'01 Major Assumptions'!T$14*(1+'01 Major Assumptions'!$D$23)^MAX(0,'02 Oil Price Analysis'!T$57)</f>
        <v>204599.99999999997</v>
      </c>
      <c r="U80" s="92">
        <f>'01 Major Assumptions'!$D$121*'01 Major Assumptions'!U$14*(1+'01 Major Assumptions'!$D$23)^MAX(0,'02 Oil Price Analysis'!U$57)</f>
        <v>204599.99999999997</v>
      </c>
      <c r="V80" s="92">
        <f>'01 Major Assumptions'!$D$121*'01 Major Assumptions'!V$14*(1+'01 Major Assumptions'!$D$23)^MAX(0,'02 Oil Price Analysis'!V$57)</f>
        <v>204599.99999999997</v>
      </c>
      <c r="W80" s="92">
        <f>'01 Major Assumptions'!$D$121*'01 Major Assumptions'!W$14*(1+'01 Major Assumptions'!$D$23)^MAX(0,'02 Oil Price Analysis'!W$57)</f>
        <v>204599.99999999997</v>
      </c>
      <c r="X80" s="92">
        <f>'01 Major Assumptions'!$D$121*'01 Major Assumptions'!X$14*(1+'01 Major Assumptions'!$D$23)^MAX(0,'02 Oil Price Analysis'!X$57)</f>
        <v>204599.99999999997</v>
      </c>
      <c r="Y80" s="92">
        <f>'01 Major Assumptions'!$D$121*'01 Major Assumptions'!Y$14*(1+'01 Major Assumptions'!$D$23)^MAX(0,'02 Oil Price Analysis'!Y$57)</f>
        <v>204599.99999999997</v>
      </c>
      <c r="Z80" s="92">
        <f>'01 Major Assumptions'!$D$121*'01 Major Assumptions'!Z$14*(1+'01 Major Assumptions'!$D$23)^MAX(0,'02 Oil Price Analysis'!Z$57)</f>
        <v>204599.99999999997</v>
      </c>
      <c r="AA80" s="92">
        <f>'01 Major Assumptions'!$D$121*'01 Major Assumptions'!AA$14*(1+'01 Major Assumptions'!$D$23)^MAX(0,'02 Oil Price Analysis'!AA$57)</f>
        <v>204599.99999999997</v>
      </c>
      <c r="AB80" s="92">
        <f>'01 Major Assumptions'!$D$121*'01 Major Assumptions'!AB$14*(1+'01 Major Assumptions'!$D$23)^MAX(0,'02 Oil Price Analysis'!AB$57)</f>
        <v>204599.99999999997</v>
      </c>
      <c r="AC80" s="92">
        <f>'01 Major Assumptions'!$D$121*'01 Major Assumptions'!AC$14*(1+'01 Major Assumptions'!$D$23)^MAX(0,'02 Oil Price Analysis'!AC$57)</f>
        <v>204599.99999999997</v>
      </c>
      <c r="AD80" s="92">
        <f>'01 Major Assumptions'!$D$121*'01 Major Assumptions'!AD$14*(1+'01 Major Assumptions'!$D$23)^MAX(0,'02 Oil Price Analysis'!AD$57)</f>
        <v>204599.99999999997</v>
      </c>
      <c r="AE80" s="92">
        <f>'01 Major Assumptions'!$D$121*'01 Major Assumptions'!AE$14*(1+'01 Major Assumptions'!$D$23)^MAX(0,'02 Oil Price Analysis'!AE$57)</f>
        <v>209305.79999999996</v>
      </c>
      <c r="AF80" s="92">
        <f>'01 Major Assumptions'!$D$121*'01 Major Assumptions'!AF$14*(1+'01 Major Assumptions'!$D$23)^MAX(0,'02 Oil Price Analysis'!AF$57)</f>
        <v>209305.79999999996</v>
      </c>
      <c r="AG80" s="92">
        <f>'01 Major Assumptions'!$D$121*'01 Major Assumptions'!AG$14*(1+'01 Major Assumptions'!$D$23)^MAX(0,'02 Oil Price Analysis'!AG$57)</f>
        <v>209305.79999999996</v>
      </c>
      <c r="AH80" s="92">
        <f>'01 Major Assumptions'!$D$121*'01 Major Assumptions'!AH$14*(1+'01 Major Assumptions'!$D$23)^MAX(0,'02 Oil Price Analysis'!AH$57)</f>
        <v>209305.79999999996</v>
      </c>
      <c r="AI80" s="92">
        <f>'01 Major Assumptions'!$D$121*'01 Major Assumptions'!AI$14*(1+'01 Major Assumptions'!$D$23)^MAX(0,'02 Oil Price Analysis'!AI$57)</f>
        <v>209305.79999999996</v>
      </c>
      <c r="AJ80" s="92">
        <f>'01 Major Assumptions'!$D$121*'01 Major Assumptions'!AJ$14*(1+'01 Major Assumptions'!$D$23)^MAX(0,'02 Oil Price Analysis'!AJ$57)</f>
        <v>209305.79999999996</v>
      </c>
      <c r="AK80" s="92">
        <f>'01 Major Assumptions'!$D$121*'01 Major Assumptions'!AK$14*(1+'01 Major Assumptions'!$D$23)^MAX(0,'02 Oil Price Analysis'!AK$57)</f>
        <v>209305.79999999996</v>
      </c>
      <c r="AL80" s="92">
        <f>'01 Major Assumptions'!$D$121*'01 Major Assumptions'!AL$14*(1+'01 Major Assumptions'!$D$23)^MAX(0,'02 Oil Price Analysis'!AL$57)</f>
        <v>209305.79999999996</v>
      </c>
      <c r="AM80" s="92">
        <f>'01 Major Assumptions'!$D$121*'01 Major Assumptions'!AM$14*(1+'01 Major Assumptions'!$D$23)^MAX(0,'02 Oil Price Analysis'!AM$57)</f>
        <v>209305.79999999996</v>
      </c>
      <c r="AN80" s="92">
        <f>'01 Major Assumptions'!$D$121*'01 Major Assumptions'!AN$14*(1+'01 Major Assumptions'!$D$23)^MAX(0,'02 Oil Price Analysis'!AN$57)</f>
        <v>209305.79999999996</v>
      </c>
      <c r="AO80" s="92">
        <f>'01 Major Assumptions'!$D$121*'01 Major Assumptions'!AO$14*(1+'01 Major Assumptions'!$D$23)^MAX(0,'02 Oil Price Analysis'!AO$57)</f>
        <v>209305.79999999996</v>
      </c>
      <c r="AP80" s="92">
        <f>'01 Major Assumptions'!$D$121*'01 Major Assumptions'!AP$14*(1+'01 Major Assumptions'!$D$23)^MAX(0,'02 Oil Price Analysis'!AP$57)</f>
        <v>209305.79999999996</v>
      </c>
      <c r="AQ80" s="92">
        <f>'01 Major Assumptions'!$D$121*'01 Major Assumptions'!AQ$14*(1+'01 Major Assumptions'!$D$23)^MAX(0,'02 Oil Price Analysis'!AQ$57)</f>
        <v>214119.83339999994</v>
      </c>
      <c r="AR80" s="92">
        <f>'01 Major Assumptions'!$D$121*'01 Major Assumptions'!AR$14*(1+'01 Major Assumptions'!$D$23)^MAX(0,'02 Oil Price Analysis'!AR$57)</f>
        <v>214119.83339999994</v>
      </c>
      <c r="AS80" s="92">
        <f>'01 Major Assumptions'!$D$121*'01 Major Assumptions'!AS$14*(1+'01 Major Assumptions'!$D$23)^MAX(0,'02 Oil Price Analysis'!AS$57)</f>
        <v>214119.83339999994</v>
      </c>
      <c r="AT80" s="92">
        <f>'01 Major Assumptions'!$D$121*'01 Major Assumptions'!AT$14*(1+'01 Major Assumptions'!$D$23)^MAX(0,'02 Oil Price Analysis'!AT$57)</f>
        <v>214119.83339999994</v>
      </c>
      <c r="AU80" s="92">
        <f>'01 Major Assumptions'!$D$121*'01 Major Assumptions'!AU$14*(1+'01 Major Assumptions'!$D$23)^MAX(0,'02 Oil Price Analysis'!AU$57)</f>
        <v>214119.83339999994</v>
      </c>
      <c r="AV80" s="92">
        <f>'01 Major Assumptions'!$D$121*'01 Major Assumptions'!AV$14*(1+'01 Major Assumptions'!$D$23)^MAX(0,'02 Oil Price Analysis'!AV$57)</f>
        <v>214119.83339999994</v>
      </c>
      <c r="AW80" s="92">
        <f>'01 Major Assumptions'!$D$121*'01 Major Assumptions'!AW$14*(1+'01 Major Assumptions'!$D$23)^MAX(0,'02 Oil Price Analysis'!AW$57)</f>
        <v>214119.83339999994</v>
      </c>
      <c r="AX80" s="92">
        <f>'01 Major Assumptions'!$D$121*'01 Major Assumptions'!AX$14*(1+'01 Major Assumptions'!$D$23)^MAX(0,'02 Oil Price Analysis'!AX$57)</f>
        <v>214119.83339999994</v>
      </c>
      <c r="AY80" s="92">
        <f>'01 Major Assumptions'!$D$121*'01 Major Assumptions'!AY$14*(1+'01 Major Assumptions'!$D$23)^MAX(0,'02 Oil Price Analysis'!AY$57)</f>
        <v>214119.83339999994</v>
      </c>
      <c r="AZ80" s="92">
        <f>'01 Major Assumptions'!$D$121*'01 Major Assumptions'!AZ$14*(1+'01 Major Assumptions'!$D$23)^MAX(0,'02 Oil Price Analysis'!AZ$57)</f>
        <v>214119.83339999994</v>
      </c>
      <c r="BA80" s="92">
        <f>'01 Major Assumptions'!$D$121*'01 Major Assumptions'!BA$14*(1+'01 Major Assumptions'!$D$23)^MAX(0,'02 Oil Price Analysis'!BA$57)</f>
        <v>214119.83339999994</v>
      </c>
      <c r="BB80" s="92">
        <f>'01 Major Assumptions'!$D$121*'01 Major Assumptions'!BB$14*(1+'01 Major Assumptions'!$D$23)^MAX(0,'02 Oil Price Analysis'!BB$57)</f>
        <v>214119.83339999994</v>
      </c>
      <c r="BC80" s="92">
        <f>'01 Major Assumptions'!$D$121*'01 Major Assumptions'!BC$14*(1+'01 Major Assumptions'!$D$23)^MAX(0,'02 Oil Price Analysis'!BC$57)</f>
        <v>219044.58956819991</v>
      </c>
      <c r="BD80" s="92">
        <f>'01 Major Assumptions'!$D$121*'01 Major Assumptions'!BD$14*(1+'01 Major Assumptions'!$D$23)^MAX(0,'02 Oil Price Analysis'!BD$57)</f>
        <v>219044.58956819991</v>
      </c>
      <c r="BE80" s="92">
        <f>'01 Major Assumptions'!$D$121*'01 Major Assumptions'!BE$14*(1+'01 Major Assumptions'!$D$23)^MAX(0,'02 Oil Price Analysis'!BE$57)</f>
        <v>219044.58956819991</v>
      </c>
      <c r="BF80" s="92">
        <f>'01 Major Assumptions'!$D$121*'01 Major Assumptions'!BF$14*(1+'01 Major Assumptions'!$D$23)^MAX(0,'02 Oil Price Analysis'!BF$57)</f>
        <v>219044.58956819991</v>
      </c>
      <c r="BG80" s="92">
        <f>'01 Major Assumptions'!$D$121*'01 Major Assumptions'!BG$14*(1+'01 Major Assumptions'!$D$23)^MAX(0,'02 Oil Price Analysis'!BG$57)</f>
        <v>219044.58956819991</v>
      </c>
      <c r="BH80" s="92">
        <f>'01 Major Assumptions'!$D$121*'01 Major Assumptions'!BH$14*(1+'01 Major Assumptions'!$D$23)^MAX(0,'02 Oil Price Analysis'!BH$57)</f>
        <v>219044.58956819991</v>
      </c>
      <c r="BI80" s="92">
        <f>'01 Major Assumptions'!$D$121*'01 Major Assumptions'!BI$14*(1+'01 Major Assumptions'!$D$23)^MAX(0,'02 Oil Price Analysis'!BI$57)</f>
        <v>2688991.3815392219</v>
      </c>
      <c r="BJ80" s="92">
        <f>'01 Major Assumptions'!$D$121*'01 Major Assumptions'!BJ$14*(1+'01 Major Assumptions'!$D$23)^MAX(0,'02 Oil Price Analysis'!BJ$57)</f>
        <v>2750838.1833146238</v>
      </c>
      <c r="BK80" s="92">
        <f>'01 Major Assumptions'!$D$121*'01 Major Assumptions'!BK$14*(1+'01 Major Assumptions'!$D$23)^MAX(0,'02 Oil Price Analysis'!BK$57)</f>
        <v>2814107.4615308596</v>
      </c>
      <c r="BL80" s="92">
        <f>'01 Major Assumptions'!$D$121*'01 Major Assumptions'!BL$14*(1+'01 Major Assumptions'!$D$23)^MAX(0,'02 Oil Price Analysis'!BL$57)</f>
        <v>2878831.9331460693</v>
      </c>
      <c r="BM80" s="92">
        <f>'01 Major Assumptions'!$D$121*'01 Major Assumptions'!BM$14*(1+'01 Major Assumptions'!$D$23)^MAX(0,'02 Oil Price Analysis'!BM$57)</f>
        <v>2945045.0676084287</v>
      </c>
      <c r="BN80" s="92">
        <f>'01 Major Assumptions'!$D$121*'01 Major Assumptions'!BN$14*(1+'01 Major Assumptions'!$D$23)^MAX(0,'02 Oil Price Analysis'!BN$57)</f>
        <v>3012781.1041634222</v>
      </c>
      <c r="BO80" s="92">
        <f>'01 Major Assumptions'!$D$121*'01 Major Assumptions'!BO$14*(1+'01 Major Assumptions'!$D$23)^MAX(0,'02 Oil Price Analysis'!BO$57)</f>
        <v>3082075.0695591806</v>
      </c>
    </row>
    <row r="81" spans="1:67">
      <c r="A81" s="11"/>
      <c r="B81" s="22" t="s">
        <v>426</v>
      </c>
      <c r="C81" s="11"/>
      <c r="D81" s="33"/>
      <c r="E81" s="33"/>
      <c r="F81" s="10" t="s">
        <v>13</v>
      </c>
      <c r="G81" s="89">
        <f>SUM(G73:G80)</f>
        <v>325000</v>
      </c>
      <c r="H81" s="89">
        <f t="shared" ref="H81:BO81" si="74">SUM(H73:H80)</f>
        <v>325000</v>
      </c>
      <c r="I81" s="89">
        <f t="shared" si="74"/>
        <v>325000</v>
      </c>
      <c r="J81" s="89">
        <f t="shared" si="74"/>
        <v>325000</v>
      </c>
      <c r="K81" s="89">
        <f t="shared" si="74"/>
        <v>325000</v>
      </c>
      <c r="L81" s="89">
        <f t="shared" si="74"/>
        <v>325000</v>
      </c>
      <c r="M81" s="89">
        <f t="shared" si="74"/>
        <v>325000</v>
      </c>
      <c r="N81" s="89">
        <f t="shared" si="74"/>
        <v>325000</v>
      </c>
      <c r="O81" s="89">
        <f t="shared" si="74"/>
        <v>325000</v>
      </c>
      <c r="P81" s="89">
        <f t="shared" si="74"/>
        <v>418750</v>
      </c>
      <c r="Q81" s="89">
        <f t="shared" si="74"/>
        <v>418750</v>
      </c>
      <c r="R81" s="89">
        <f t="shared" si="74"/>
        <v>674583.33333333337</v>
      </c>
      <c r="S81" s="89">
        <f t="shared" si="74"/>
        <v>570850</v>
      </c>
      <c r="T81" s="89">
        <f t="shared" si="74"/>
        <v>1154183.3333333333</v>
      </c>
      <c r="U81" s="89">
        <f t="shared" si="74"/>
        <v>1154183.3333333333</v>
      </c>
      <c r="V81" s="89">
        <f t="shared" si="74"/>
        <v>1259808.3333333335</v>
      </c>
      <c r="W81" s="89">
        <f t="shared" si="74"/>
        <v>1259808.3333333335</v>
      </c>
      <c r="X81" s="89">
        <f t="shared" si="74"/>
        <v>1249391.6666666667</v>
      </c>
      <c r="Y81" s="89">
        <f t="shared" si="74"/>
        <v>1249391.6666666667</v>
      </c>
      <c r="Z81" s="89">
        <f t="shared" si="74"/>
        <v>1325016.6666666667</v>
      </c>
      <c r="AA81" s="89">
        <f t="shared" si="74"/>
        <v>1325016.6666666667</v>
      </c>
      <c r="AB81" s="89">
        <f t="shared" si="74"/>
        <v>2806332.0786751979</v>
      </c>
      <c r="AC81" s="89">
        <f t="shared" si="74"/>
        <v>2811077.3610154707</v>
      </c>
      <c r="AD81" s="89">
        <f t="shared" si="74"/>
        <v>2740822.6433557426</v>
      </c>
      <c r="AE81" s="89">
        <f t="shared" si="74"/>
        <v>2775543.1217894908</v>
      </c>
      <c r="AF81" s="89">
        <f t="shared" si="74"/>
        <v>2105381.2053856519</v>
      </c>
      <c r="AG81" s="89">
        <f t="shared" si="74"/>
        <v>2110219.288981813</v>
      </c>
      <c r="AH81" s="89">
        <f t="shared" si="74"/>
        <v>2080474.0392446404</v>
      </c>
      <c r="AI81" s="89">
        <f t="shared" si="74"/>
        <v>2085312.1228408013</v>
      </c>
      <c r="AJ81" s="89">
        <f t="shared" si="74"/>
        <v>2090150.2064369624</v>
      </c>
      <c r="AK81" s="89">
        <f t="shared" si="74"/>
        <v>2094988.2900331235</v>
      </c>
      <c r="AL81" s="89">
        <f t="shared" si="74"/>
        <v>2099826.3736292841</v>
      </c>
      <c r="AM81" s="89">
        <f t="shared" si="74"/>
        <v>2104664.4572254452</v>
      </c>
      <c r="AN81" s="89">
        <f t="shared" si="74"/>
        <v>2109502.5408216063</v>
      </c>
      <c r="AO81" s="89">
        <f t="shared" si="74"/>
        <v>2110031.1866549393</v>
      </c>
      <c r="AP81" s="89">
        <f t="shared" si="74"/>
        <v>2039726.4991549398</v>
      </c>
      <c r="AQ81" s="89">
        <f t="shared" si="74"/>
        <v>2071772.9309068334</v>
      </c>
      <c r="AR81" s="89">
        <f t="shared" si="74"/>
        <v>2072301.5767401666</v>
      </c>
      <c r="AS81" s="89">
        <f t="shared" si="74"/>
        <v>2072830.2225735001</v>
      </c>
      <c r="AT81" s="89">
        <f t="shared" si="74"/>
        <v>2073358.8684068334</v>
      </c>
      <c r="AU81" s="89">
        <f t="shared" si="74"/>
        <v>2073887.5142401666</v>
      </c>
      <c r="AV81" s="89">
        <f t="shared" si="74"/>
        <v>2074416.1600735001</v>
      </c>
      <c r="AW81" s="89">
        <f t="shared" si="74"/>
        <v>2074944.8059068334</v>
      </c>
      <c r="AX81" s="89">
        <f t="shared" si="74"/>
        <v>2075473.4517401666</v>
      </c>
      <c r="AY81" s="89">
        <f t="shared" si="74"/>
        <v>2076002.0975735001</v>
      </c>
      <c r="AZ81" s="89">
        <f t="shared" si="74"/>
        <v>2076530.7434068334</v>
      </c>
      <c r="BA81" s="89">
        <f t="shared" si="74"/>
        <v>2077059.3892401666</v>
      </c>
      <c r="BB81" s="89">
        <f t="shared" si="74"/>
        <v>2077588.0350735001</v>
      </c>
      <c r="BC81" s="89">
        <f t="shared" si="74"/>
        <v>2110358.0898365309</v>
      </c>
      <c r="BD81" s="89">
        <f t="shared" si="74"/>
        <v>2110886.7356698643</v>
      </c>
      <c r="BE81" s="89">
        <f t="shared" si="74"/>
        <v>2111415.3815031978</v>
      </c>
      <c r="BF81" s="89">
        <f t="shared" si="74"/>
        <v>2111944.0273365309</v>
      </c>
      <c r="BG81" s="89">
        <f t="shared" si="74"/>
        <v>2112472.6731698643</v>
      </c>
      <c r="BH81" s="89">
        <f t="shared" si="74"/>
        <v>2113001.3190031978</v>
      </c>
      <c r="BI81" s="89">
        <f t="shared" si="74"/>
        <v>25827920.622623857</v>
      </c>
      <c r="BJ81" s="89">
        <f t="shared" si="74"/>
        <v>26308912.296220623</v>
      </c>
      <c r="BK81" s="89">
        <f t="shared" si="74"/>
        <v>26799199.525920633</v>
      </c>
      <c r="BL81" s="89">
        <f t="shared" si="74"/>
        <v>27298995.781966496</v>
      </c>
      <c r="BM81" s="89">
        <f t="shared" si="74"/>
        <v>27808519.437865399</v>
      </c>
      <c r="BN81" s="89">
        <f t="shared" si="74"/>
        <v>28327993.883033253</v>
      </c>
      <c r="BO81" s="89">
        <f t="shared" si="74"/>
        <v>28851620.317586172</v>
      </c>
    </row>
    <row r="82" spans="1:67">
      <c r="A82" s="11"/>
      <c r="B82" s="11"/>
      <c r="C82" s="11"/>
      <c r="D82" s="33"/>
      <c r="E82" s="33"/>
      <c r="F82" s="4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row>
    <row r="83" spans="1:67">
      <c r="A83" s="18" t="s">
        <v>427</v>
      </c>
      <c r="B83" s="18"/>
      <c r="C83" s="18"/>
      <c r="D83" s="39"/>
      <c r="E83" s="39"/>
      <c r="F83" s="39"/>
      <c r="G83" s="40"/>
      <c r="H83" s="40"/>
      <c r="I83" s="40"/>
      <c r="J83" s="40"/>
      <c r="K83" s="40"/>
      <c r="L83" s="40"/>
      <c r="M83" s="40"/>
      <c r="N83" s="40"/>
      <c r="O83" s="40"/>
      <c r="P83" s="40"/>
      <c r="Q83" s="40"/>
      <c r="R83" s="40"/>
      <c r="S83" s="40"/>
      <c r="T83" s="40"/>
      <c r="U83" s="40"/>
      <c r="V83" s="40"/>
      <c r="W83" s="40"/>
      <c r="X83" s="40"/>
      <c r="Y83" s="40"/>
      <c r="Z83" s="40"/>
      <c r="AA83" s="40"/>
      <c r="AB83" s="40"/>
      <c r="AC83" s="40"/>
      <c r="AD83" s="40"/>
      <c r="AE83" s="40"/>
      <c r="AF83" s="40"/>
      <c r="AG83" s="40"/>
      <c r="AH83" s="40"/>
      <c r="AI83" s="40"/>
      <c r="AJ83" s="40"/>
      <c r="AK83" s="40"/>
      <c r="AL83" s="40"/>
      <c r="AM83" s="40"/>
      <c r="AN83" s="40"/>
      <c r="AO83" s="40"/>
      <c r="AP83" s="40"/>
      <c r="AQ83" s="40"/>
      <c r="AR83" s="40"/>
      <c r="AS83" s="40"/>
      <c r="AT83" s="40"/>
      <c r="AU83" s="40"/>
      <c r="AV83" s="40"/>
      <c r="AW83" s="40"/>
      <c r="AX83" s="40"/>
      <c r="AY83" s="40"/>
      <c r="AZ83" s="40"/>
      <c r="BA83" s="40"/>
      <c r="BB83" s="40"/>
      <c r="BC83" s="40"/>
      <c r="BD83" s="40"/>
      <c r="BE83" s="40"/>
      <c r="BF83" s="40"/>
      <c r="BG83" s="40"/>
      <c r="BH83" s="40"/>
      <c r="BI83" s="40"/>
      <c r="BJ83" s="40"/>
      <c r="BK83" s="40"/>
      <c r="BL83" s="40"/>
      <c r="BM83" s="40"/>
      <c r="BN83" s="40"/>
      <c r="BO83" s="40"/>
    </row>
    <row r="84" spans="1:67">
      <c r="A84" s="11"/>
      <c r="B84" s="11"/>
      <c r="C84" s="11" t="s">
        <v>428</v>
      </c>
      <c r="D84" s="33"/>
      <c r="E84" s="33"/>
      <c r="F84" s="10" t="s">
        <v>13</v>
      </c>
      <c r="G84" s="90">
        <f>(G14+G30+G50+G59+G65)*'01 Major Assumptions'!$D$190</f>
        <v>29800</v>
      </c>
      <c r="H84" s="90">
        <f>(H14+H30+H50+H59+H65)*'01 Major Assumptions'!$D$190</f>
        <v>29800</v>
      </c>
      <c r="I84" s="90">
        <f>(I14+I30+I50+I59+I65)*'01 Major Assumptions'!$D$190</f>
        <v>29800</v>
      </c>
      <c r="J84" s="90">
        <f>(J14+J30+J50+J59+J65)*'01 Major Assumptions'!$D$190</f>
        <v>29800</v>
      </c>
      <c r="K84" s="90">
        <f>(K14+K30+K50+K59+K65)*'01 Major Assumptions'!$D$190</f>
        <v>29800</v>
      </c>
      <c r="L84" s="90">
        <f>(L14+L30+L50+L59+L65)*'01 Major Assumptions'!$D$190</f>
        <v>29800</v>
      </c>
      <c r="M84" s="90">
        <f>(M14+M30+M50+M59+M65)*'01 Major Assumptions'!$D$190</f>
        <v>29800</v>
      </c>
      <c r="N84" s="90">
        <f>(N14+N30+N50+N59+N65)*'01 Major Assumptions'!$D$190</f>
        <v>29800</v>
      </c>
      <c r="O84" s="90">
        <f>(O14+O30+O50+O59+O65)*'01 Major Assumptions'!$D$190</f>
        <v>29800</v>
      </c>
      <c r="P84" s="90">
        <f>(P14+P30+P50+P59+P65)*'01 Major Assumptions'!$D$190</f>
        <v>29800</v>
      </c>
      <c r="Q84" s="90">
        <f>(Q14+Q30+Q50+Q59+Q65)*'01 Major Assumptions'!$D$190</f>
        <v>29800</v>
      </c>
      <c r="R84" s="90">
        <f>(R14+R30+R50+R59+R65)*'01 Major Assumptions'!$D$190</f>
        <v>29800</v>
      </c>
      <c r="S84" s="90">
        <f>(S14+S30+S50+S59+S65)*'01 Major Assumptions'!$D$190</f>
        <v>30396</v>
      </c>
      <c r="T84" s="90">
        <f>(T14+T30+T50+T59+T65)*'01 Major Assumptions'!$D$190</f>
        <v>30396</v>
      </c>
      <c r="U84" s="90">
        <f>(U14+U30+U50+U59+U65)*'01 Major Assumptions'!$D$190</f>
        <v>30396</v>
      </c>
      <c r="V84" s="90">
        <f>(V14+V30+V50+V59+V65)*'01 Major Assumptions'!$D$190</f>
        <v>30396</v>
      </c>
      <c r="W84" s="90">
        <f>(W14+W30+W50+W59+W65)*'01 Major Assumptions'!$D$190</f>
        <v>30396</v>
      </c>
      <c r="X84" s="90">
        <f>(X14+X30+X50+X59+X65)*'01 Major Assumptions'!$D$190</f>
        <v>30396</v>
      </c>
      <c r="Y84" s="90">
        <f>(Y14+Y30+Y50+Y59+Y65)*'01 Major Assumptions'!$D$190</f>
        <v>30396</v>
      </c>
      <c r="Z84" s="90">
        <f>(Z14+Z30+Z50+Z59+Z65)*'01 Major Assumptions'!$D$190</f>
        <v>30396</v>
      </c>
      <c r="AA84" s="90">
        <f>(AA14+AA30+AA50+AA59+AA65)*'01 Major Assumptions'!$D$190</f>
        <v>30396</v>
      </c>
      <c r="AB84" s="90">
        <f>(AB14+AB30+AB50+AB59+AB65)*'01 Major Assumptions'!$D$190</f>
        <v>28475008.57856521</v>
      </c>
      <c r="AC84" s="90">
        <f>(AC14+AC30+AC50+AC59+AC65)*'01 Major Assumptions'!$D$190</f>
        <v>13285747.695553642</v>
      </c>
      <c r="AD84" s="90">
        <f>(AD14+AD30+AD50+AD59+AD65)*'01 Major Assumptions'!$D$190</f>
        <v>14950458.216397002</v>
      </c>
      <c r="AE84" s="90">
        <f>(AE14+AE30+AE50+AE59+AE65)*'01 Major Assumptions'!$D$190</f>
        <v>17028277.33697556</v>
      </c>
      <c r="AF84" s="90">
        <f>(AF14+AF30+AF50+AF59+AF65)*'01 Major Assumptions'!$D$190</f>
        <v>18729200.917023741</v>
      </c>
      <c r="AG84" s="90">
        <f>(AG14+AG30+AG50+AG59+AG65)*'01 Major Assumptions'!$D$190</f>
        <v>20430124.49707194</v>
      </c>
      <c r="AH84" s="90">
        <f>(AH14+AH30+AH50+AH59+AH65)*'01 Major Assumptions'!$D$190</f>
        <v>22131048.077120129</v>
      </c>
      <c r="AI84" s="90">
        <f>(AI14+AI30+AI50+AI59+AI65)*'01 Major Assumptions'!$D$190</f>
        <v>23831971.657168321</v>
      </c>
      <c r="AJ84" s="90">
        <f>(AJ14+AJ30+AJ50+AJ59+AJ65)*'01 Major Assumptions'!$D$190</f>
        <v>25532895.237216525</v>
      </c>
      <c r="AK84" s="90">
        <f>(AK14+AK30+AK50+AK59+AK65)*'01 Major Assumptions'!$D$190</f>
        <v>27233818.817264706</v>
      </c>
      <c r="AL84" s="90">
        <f>(AL14+AL30+AL50+AL59+AL65)*'01 Major Assumptions'!$D$190</f>
        <v>28934742.397312902</v>
      </c>
      <c r="AM84" s="90">
        <f>(AM14+AM30+AM50+AM59+AM65)*'01 Major Assumptions'!$D$190</f>
        <v>30635665.977361102</v>
      </c>
      <c r="AN84" s="90">
        <f>(AN14+AN30+AN50+AN59+AN65)*'01 Major Assumptions'!$D$190</f>
        <v>32336589.557409275</v>
      </c>
      <c r="AO84" s="90">
        <f>(AO14+AO30+AO50+AO59+AO65)*'01 Major Assumptions'!$D$190</f>
        <v>32341211.885534283</v>
      </c>
      <c r="AP84" s="90">
        <f>(AP14+AP30+AP50+AP59+AP65)*'01 Major Assumptions'!$D$190</f>
        <v>32345834.213659283</v>
      </c>
      <c r="AQ84" s="90">
        <f>(AQ14+AQ30+AQ50+AQ59+AQ65)*'01 Major Assumptions'!$D$190</f>
        <v>33110072.629724979</v>
      </c>
      <c r="AR84" s="90">
        <f>(AR14+AR30+AR50+AR59+AR65)*'01 Major Assumptions'!$D$190</f>
        <v>33114741.181131229</v>
      </c>
      <c r="AS84" s="90">
        <f>(AS14+AS30+AS50+AS59+AS65)*'01 Major Assumptions'!$D$190</f>
        <v>33119409.732537478</v>
      </c>
      <c r="AT84" s="90">
        <f>(AT14+AT30+AT50+AT59+AT65)*'01 Major Assumptions'!$D$190</f>
        <v>33124078.283943728</v>
      </c>
      <c r="AU84" s="90">
        <f>(AU14+AU30+AU50+AU59+AU65)*'01 Major Assumptions'!$D$190</f>
        <v>33128746.835349977</v>
      </c>
      <c r="AV84" s="90">
        <f>(AV14+AV30+AV50+AV59+AV65)*'01 Major Assumptions'!$D$190</f>
        <v>33133415.38675623</v>
      </c>
      <c r="AW84" s="90">
        <f>(AW14+AW30+AW50+AW59+AW65)*'01 Major Assumptions'!$D$190</f>
        <v>33138083.93816248</v>
      </c>
      <c r="AX84" s="90">
        <f>(AX14+AX30+AX50+AX59+AX65)*'01 Major Assumptions'!$D$190</f>
        <v>33142752.489568729</v>
      </c>
      <c r="AY84" s="90">
        <f>(AY14+AY30+AY50+AY59+AY65)*'01 Major Assumptions'!$D$190</f>
        <v>33147421.040974978</v>
      </c>
      <c r="AZ84" s="90">
        <f>(AZ14+AZ30+AZ50+AZ59+AZ65)*'01 Major Assumptions'!$D$190</f>
        <v>33152089.592381228</v>
      </c>
      <c r="BA84" s="90">
        <f>(BA14+BA30+BA50+BA59+BA65)*'01 Major Assumptions'!$D$190</f>
        <v>33156758.143787477</v>
      </c>
      <c r="BB84" s="90">
        <f>(BB14+BB30+BB50+BB59+BB65)*'01 Major Assumptions'!$D$190</f>
        <v>33161426.69519373</v>
      </c>
      <c r="BC84" s="90">
        <f>(BC14+BC30+BC50+BC59+BC65)*'01 Major Assumptions'!$D$190</f>
        <v>33947398.117290281</v>
      </c>
      <c r="BD84" s="90">
        <f>(BD14+BD30+BD50+BD59+BD65)*'01 Major Assumptions'!$D$190</f>
        <v>33952113.3542106</v>
      </c>
      <c r="BE84" s="90">
        <f>(BE14+BE30+BE50+BE59+BE65)*'01 Major Assumptions'!$D$190</f>
        <v>33956828.591130912</v>
      </c>
      <c r="BF84" s="90">
        <f>(BF14+BF30+BF50+BF59+BF65)*'01 Major Assumptions'!$D$190</f>
        <v>33961543.828051224</v>
      </c>
      <c r="BG84" s="90">
        <f>(BG14+BG30+BG50+BG59+BG65)*'01 Major Assumptions'!$D$190</f>
        <v>33966259.064971536</v>
      </c>
      <c r="BH84" s="90">
        <f>(BH14+BH30+BH50+BH59+BH65)*'01 Major Assumptions'!$D$190</f>
        <v>33970974.301891848</v>
      </c>
      <c r="BI84" s="90">
        <f>(BI14+BI30+BI50+BI59+BI65)*'01 Major Assumptions'!$D$190</f>
        <v>418353405.56482136</v>
      </c>
      <c r="BJ84" s="90">
        <f>(BJ14+BJ30+BJ50+BJ59+BJ65)*'01 Major Assumptions'!$D$190</f>
        <v>428964098.12975061</v>
      </c>
      <c r="BK84" s="90">
        <f>(BK14+BK30+BK50+BK59+BK65)*'01 Major Assumptions'!$D$190</f>
        <v>439868525.32002354</v>
      </c>
      <c r="BL84" s="90">
        <f>(BL14+BL30+BL50+BL59+BL65)*'01 Major Assumptions'!$D$190</f>
        <v>451076322.50875044</v>
      </c>
      <c r="BM84" s="90">
        <f>(BM14+BM30+BM50+BM59+BM65)*'01 Major Assumptions'!$D$190</f>
        <v>462597500.17396235</v>
      </c>
      <c r="BN84" s="90">
        <f>(BN14+BN30+BN50+BN59+BN65)*'01 Major Assumptions'!$D$190</f>
        <v>474844223.97109079</v>
      </c>
      <c r="BO84" s="90">
        <f>(BO14+BO30+BO50+BO59+BO65)*'01 Major Assumptions'!$D$190</f>
        <v>486750561.82085639</v>
      </c>
    </row>
    <row r="85" spans="1:67">
      <c r="A85" s="11"/>
      <c r="B85" s="11"/>
      <c r="C85" s="11" t="s">
        <v>429</v>
      </c>
      <c r="D85" s="33"/>
      <c r="E85" s="33"/>
      <c r="F85" s="10" t="s">
        <v>13</v>
      </c>
      <c r="G85" s="90">
        <f>SUM('03 CAPEX &amp; Depreciation'!G$155:G$162)+'03 CAPEX &amp; Depreciation'!G$165+'03 CAPEX &amp; Depreciation'!G$166</f>
        <v>0</v>
      </c>
      <c r="H85" s="90">
        <f>SUM('03 CAPEX &amp; Depreciation'!H$155:H$162)+'03 CAPEX &amp; Depreciation'!H$165+'03 CAPEX &amp; Depreciation'!H$166</f>
        <v>0</v>
      </c>
      <c r="I85" s="90">
        <f>SUM('03 CAPEX &amp; Depreciation'!I$155:I$162)+'03 CAPEX &amp; Depreciation'!I$165+'03 CAPEX &amp; Depreciation'!I$166</f>
        <v>0</v>
      </c>
      <c r="J85" s="90">
        <f>SUM('03 CAPEX &amp; Depreciation'!J$155:J$162)+'03 CAPEX &amp; Depreciation'!J$165+'03 CAPEX &amp; Depreciation'!J$166</f>
        <v>0</v>
      </c>
      <c r="K85" s="90">
        <f>SUM('03 CAPEX &amp; Depreciation'!K$155:K$162)+'03 CAPEX &amp; Depreciation'!K$165+'03 CAPEX &amp; Depreciation'!K$166</f>
        <v>0</v>
      </c>
      <c r="L85" s="90">
        <f>SUM('03 CAPEX &amp; Depreciation'!L$155:L$162)+'03 CAPEX &amp; Depreciation'!L$165+'03 CAPEX &amp; Depreciation'!L$166</f>
        <v>0</v>
      </c>
      <c r="M85" s="90">
        <f>SUM('03 CAPEX &amp; Depreciation'!M$155:M$162)+'03 CAPEX &amp; Depreciation'!M$165+'03 CAPEX &amp; Depreciation'!M$166</f>
        <v>0</v>
      </c>
      <c r="N85" s="90">
        <f>SUM('03 CAPEX &amp; Depreciation'!N$155:N$162)+'03 CAPEX &amp; Depreciation'!N$165+'03 CAPEX &amp; Depreciation'!N$166</f>
        <v>0</v>
      </c>
      <c r="O85" s="90">
        <f>SUM('03 CAPEX &amp; Depreciation'!O$155:O$162)+'03 CAPEX &amp; Depreciation'!O$165+'03 CAPEX &amp; Depreciation'!O$166</f>
        <v>0</v>
      </c>
      <c r="P85" s="90">
        <f>SUM('03 CAPEX &amp; Depreciation'!P$155:P$162)+'03 CAPEX &amp; Depreciation'!P$165+'03 CAPEX &amp; Depreciation'!P$166</f>
        <v>0</v>
      </c>
      <c r="Q85" s="90">
        <f>SUM('03 CAPEX &amp; Depreciation'!Q$155:Q$162)+'03 CAPEX &amp; Depreciation'!Q$165+'03 CAPEX &amp; Depreciation'!Q$166</f>
        <v>0</v>
      </c>
      <c r="R85" s="90">
        <f>SUM('03 CAPEX &amp; Depreciation'!R$155:R$162)+'03 CAPEX &amp; Depreciation'!R$165+'03 CAPEX &amp; Depreciation'!R$166</f>
        <v>0</v>
      </c>
      <c r="S85" s="90">
        <f>SUM('03 CAPEX &amp; Depreciation'!S$155:S$162)+'03 CAPEX &amp; Depreciation'!S$165+'03 CAPEX &amp; Depreciation'!S$166</f>
        <v>0</v>
      </c>
      <c r="T85" s="90">
        <f>SUM('03 CAPEX &amp; Depreciation'!T$155:T$162)+'03 CAPEX &amp; Depreciation'!T$165+'03 CAPEX &amp; Depreciation'!T$166</f>
        <v>0</v>
      </c>
      <c r="U85" s="90">
        <f>SUM('03 CAPEX &amp; Depreciation'!U$155:U$162)+'03 CAPEX &amp; Depreciation'!U$165+'03 CAPEX &amp; Depreciation'!U$166</f>
        <v>0</v>
      </c>
      <c r="V85" s="90">
        <f>SUM('03 CAPEX &amp; Depreciation'!V$155:V$162)+'03 CAPEX &amp; Depreciation'!V$165+'03 CAPEX &amp; Depreciation'!V$166</f>
        <v>0</v>
      </c>
      <c r="W85" s="90">
        <f>SUM('03 CAPEX &amp; Depreciation'!W$155:W$162)+'03 CAPEX &amp; Depreciation'!W$165+'03 CAPEX &amp; Depreciation'!W$166</f>
        <v>0</v>
      </c>
      <c r="X85" s="90">
        <f>SUM('03 CAPEX &amp; Depreciation'!X$155:X$162)+'03 CAPEX &amp; Depreciation'!X$165+'03 CAPEX &amp; Depreciation'!X$166</f>
        <v>0</v>
      </c>
      <c r="Y85" s="90">
        <f>SUM('03 CAPEX &amp; Depreciation'!Y$155:Y$162)+'03 CAPEX &amp; Depreciation'!Y$165+'03 CAPEX &amp; Depreciation'!Y$166</f>
        <v>0</v>
      </c>
      <c r="Z85" s="90">
        <f>SUM('03 CAPEX &amp; Depreciation'!Z$155:Z$162)+'03 CAPEX &amp; Depreciation'!Z$165+'03 CAPEX &amp; Depreciation'!Z$166</f>
        <v>0</v>
      </c>
      <c r="AA85" s="90">
        <f>SUM('03 CAPEX &amp; Depreciation'!AA$155:AA$162)+'03 CAPEX &amp; Depreciation'!AA$165+'03 CAPEX &amp; Depreciation'!AA$166</f>
        <v>0</v>
      </c>
      <c r="AB85" s="90">
        <f>SUM('03 CAPEX &amp; Depreciation'!AB$155:AB$162)+'03 CAPEX &amp; Depreciation'!AB$165+'03 CAPEX &amp; Depreciation'!AB$166</f>
        <v>8397708.3333333321</v>
      </c>
      <c r="AC85" s="90">
        <f>SUM('03 CAPEX &amp; Depreciation'!AC$155:AC$162)+'03 CAPEX &amp; Depreciation'!AC$165+'03 CAPEX &amp; Depreciation'!AC$166</f>
        <v>8407777.7777777761</v>
      </c>
      <c r="AD85" s="90">
        <f>SUM('03 CAPEX &amp; Depreciation'!AD$155:AD$162)+'03 CAPEX &amp; Depreciation'!AD$165+'03 CAPEX &amp; Depreciation'!AD$166</f>
        <v>8417847.222222222</v>
      </c>
      <c r="AE85" s="90">
        <f>SUM('03 CAPEX &amp; Depreciation'!AE$155:AE$162)+'03 CAPEX &amp; Depreciation'!AE$165+'03 CAPEX &amp; Depreciation'!AE$166</f>
        <v>8427916.666666666</v>
      </c>
      <c r="AF85" s="90">
        <f>SUM('03 CAPEX &amp; Depreciation'!AF$155:AF$162)+'03 CAPEX &amp; Depreciation'!AF$165+'03 CAPEX &amp; Depreciation'!AF$166</f>
        <v>8437986.1111111101</v>
      </c>
      <c r="AG85" s="90">
        <f>SUM('03 CAPEX &amp; Depreciation'!AG$155:AG$162)+'03 CAPEX &amp; Depreciation'!AG$165+'03 CAPEX &amp; Depreciation'!AG$166</f>
        <v>8448055.5555555541</v>
      </c>
      <c r="AH85" s="90">
        <f>SUM('03 CAPEX &amp; Depreciation'!AH$155:AH$162)+'03 CAPEX &amp; Depreciation'!AH$165+'03 CAPEX &amp; Depreciation'!AH$166</f>
        <v>8458125</v>
      </c>
      <c r="AI85" s="90">
        <f>SUM('03 CAPEX &amp; Depreciation'!AI$155:AI$162)+'03 CAPEX &amp; Depreciation'!AI$165+'03 CAPEX &amp; Depreciation'!AI$166</f>
        <v>8468194.444444444</v>
      </c>
      <c r="AJ85" s="90">
        <f>SUM('03 CAPEX &amp; Depreciation'!AJ$155:AJ$162)+'03 CAPEX &amp; Depreciation'!AJ$165+'03 CAPEX &amp; Depreciation'!AJ$166</f>
        <v>8478263.8888888881</v>
      </c>
      <c r="AK85" s="90">
        <f>SUM('03 CAPEX &amp; Depreciation'!AK$155:AK$162)+'03 CAPEX &amp; Depreciation'!AK$165+'03 CAPEX &amp; Depreciation'!AK$166</f>
        <v>8488333.3333333321</v>
      </c>
      <c r="AL85" s="90">
        <f>SUM('03 CAPEX &amp; Depreciation'!AL$155:AL$162)+'03 CAPEX &amp; Depreciation'!AL$165+'03 CAPEX &amp; Depreciation'!AL$166</f>
        <v>8498402.7777777761</v>
      </c>
      <c r="AM85" s="90">
        <f>SUM('03 CAPEX &amp; Depreciation'!AM$155:AM$162)+'03 CAPEX &amp; Depreciation'!AM$165+'03 CAPEX &amp; Depreciation'!AM$166</f>
        <v>8508472.222222222</v>
      </c>
      <c r="AN85" s="90">
        <f>SUM('03 CAPEX &amp; Depreciation'!AN$155:AN$162)+'03 CAPEX &amp; Depreciation'!AN$165+'03 CAPEX &amp; Depreciation'!AN$166</f>
        <v>8518541.666666666</v>
      </c>
      <c r="AO85" s="90">
        <f>SUM('03 CAPEX &amp; Depreciation'!AO$155:AO$162)+'03 CAPEX &amp; Depreciation'!AO$165+'03 CAPEX &amp; Depreciation'!AO$166</f>
        <v>8528611.1111111101</v>
      </c>
      <c r="AP85" s="90">
        <f>SUM('03 CAPEX &amp; Depreciation'!AP$155:AP$162)+'03 CAPEX &amp; Depreciation'!AP$165+'03 CAPEX &amp; Depreciation'!AP$166</f>
        <v>8538680.5555555541</v>
      </c>
      <c r="AQ85" s="90">
        <f>SUM('03 CAPEX &amp; Depreciation'!AQ$155:AQ$162)+'03 CAPEX &amp; Depreciation'!AQ$165+'03 CAPEX &amp; Depreciation'!AQ$166</f>
        <v>8548750</v>
      </c>
      <c r="AR85" s="90">
        <f>SUM('03 CAPEX &amp; Depreciation'!AR$155:AR$162)+'03 CAPEX &amp; Depreciation'!AR$165+'03 CAPEX &amp; Depreciation'!AR$166</f>
        <v>8558819.444444444</v>
      </c>
      <c r="AS85" s="90">
        <f>SUM('03 CAPEX &amp; Depreciation'!AS$155:AS$162)+'03 CAPEX &amp; Depreciation'!AS$165+'03 CAPEX &amp; Depreciation'!AS$166</f>
        <v>8568888.8888888881</v>
      </c>
      <c r="AT85" s="90">
        <f>SUM('03 CAPEX &amp; Depreciation'!AT$155:AT$162)+'03 CAPEX &amp; Depreciation'!AT$165+'03 CAPEX &amp; Depreciation'!AT$166</f>
        <v>8578958.3333333321</v>
      </c>
      <c r="AU85" s="90">
        <f>SUM('03 CAPEX &amp; Depreciation'!AU$155:AU$162)+'03 CAPEX &amp; Depreciation'!AU$165+'03 CAPEX &amp; Depreciation'!AU$166</f>
        <v>8589027.7777777761</v>
      </c>
      <c r="AV85" s="90">
        <f>SUM('03 CAPEX &amp; Depreciation'!AV$155:AV$162)+'03 CAPEX &amp; Depreciation'!AV$165+'03 CAPEX &amp; Depreciation'!AV$166</f>
        <v>8599097.222222222</v>
      </c>
      <c r="AW85" s="90">
        <f>SUM('03 CAPEX &amp; Depreciation'!AW$155:AW$162)+'03 CAPEX &amp; Depreciation'!AW$165+'03 CAPEX &amp; Depreciation'!AW$166</f>
        <v>8609166.666666666</v>
      </c>
      <c r="AX85" s="90">
        <f>SUM('03 CAPEX &amp; Depreciation'!AX$155:AX$162)+'03 CAPEX &amp; Depreciation'!AX$165+'03 CAPEX &amp; Depreciation'!AX$166</f>
        <v>8619236.1111111101</v>
      </c>
      <c r="AY85" s="90">
        <f>SUM('03 CAPEX &amp; Depreciation'!AY$155:AY$162)+'03 CAPEX &amp; Depreciation'!AY$165+'03 CAPEX &amp; Depreciation'!AY$166</f>
        <v>8629305.5555555541</v>
      </c>
      <c r="AZ85" s="90">
        <f>SUM('03 CAPEX &amp; Depreciation'!AZ$155:AZ$162)+'03 CAPEX &amp; Depreciation'!AZ$165+'03 CAPEX &amp; Depreciation'!AZ$166</f>
        <v>8639375</v>
      </c>
      <c r="BA85" s="90">
        <f>SUM('03 CAPEX &amp; Depreciation'!BA$155:BA$162)+'03 CAPEX &amp; Depreciation'!BA$165+'03 CAPEX &amp; Depreciation'!BA$166</f>
        <v>8649444.444444444</v>
      </c>
      <c r="BB85" s="90">
        <f>SUM('03 CAPEX &amp; Depreciation'!BB$155:BB$162)+'03 CAPEX &amp; Depreciation'!BB$165+'03 CAPEX &amp; Depreciation'!BB$166</f>
        <v>8659513.8888888881</v>
      </c>
      <c r="BC85" s="90">
        <f>SUM('03 CAPEX &amp; Depreciation'!BC$155:BC$162)+'03 CAPEX &amp; Depreciation'!BC$165+'03 CAPEX &amp; Depreciation'!BC$166</f>
        <v>8669583.3333333321</v>
      </c>
      <c r="BD85" s="90">
        <f>SUM('03 CAPEX &amp; Depreciation'!BD$155:BD$162)+'03 CAPEX &amp; Depreciation'!BD$165+'03 CAPEX &amp; Depreciation'!BD$166</f>
        <v>8679652.7777777761</v>
      </c>
      <c r="BE85" s="90">
        <f>SUM('03 CAPEX &amp; Depreciation'!BE$155:BE$162)+'03 CAPEX &amp; Depreciation'!BE$165+'03 CAPEX &amp; Depreciation'!BE$166</f>
        <v>8689722.222222222</v>
      </c>
      <c r="BF85" s="90">
        <f>SUM('03 CAPEX &amp; Depreciation'!BF$155:BF$162)+'03 CAPEX &amp; Depreciation'!BF$165+'03 CAPEX &amp; Depreciation'!BF$166</f>
        <v>8699791.666666666</v>
      </c>
      <c r="BG85" s="90">
        <f>SUM('03 CAPEX &amp; Depreciation'!BG$155:BG$162)+'03 CAPEX &amp; Depreciation'!BG$165+'03 CAPEX &amp; Depreciation'!BG$166</f>
        <v>8709861.1111111101</v>
      </c>
      <c r="BH85" s="90">
        <f>SUM('03 CAPEX &amp; Depreciation'!BH$155:BH$162)+'03 CAPEX &amp; Depreciation'!BH$165+'03 CAPEX &amp; Depreciation'!BH$166</f>
        <v>8719930.5555555541</v>
      </c>
      <c r="BI85" s="90">
        <f>SUM('03 CAPEX &amp; Depreciation'!BI$155:BI$162)+'03 CAPEX &amp; Depreciation'!BI$165+'03 CAPEX &amp; Depreciation'!BI$166</f>
        <v>106089166.66666666</v>
      </c>
      <c r="BJ85" s="90">
        <f>SUM('03 CAPEX &amp; Depreciation'!BJ$155:BJ$162)+'03 CAPEX &amp; Depreciation'!BJ$165+'03 CAPEX &amp; Depreciation'!BJ$166</f>
        <v>107539166.66666666</v>
      </c>
      <c r="BK85" s="90">
        <f>SUM('03 CAPEX &amp; Depreciation'!BK$155:BK$162)+'03 CAPEX &amp; Depreciation'!BK$165+'03 CAPEX &amp; Depreciation'!BK$166</f>
        <v>107189166.66666666</v>
      </c>
      <c r="BL85" s="90">
        <f>SUM('03 CAPEX &amp; Depreciation'!BL$155:BL$162)+'03 CAPEX &amp; Depreciation'!BL$165+'03 CAPEX &amp; Depreciation'!BL$166</f>
        <v>108039166.66666666</v>
      </c>
      <c r="BM85" s="90">
        <f>SUM('03 CAPEX &amp; Depreciation'!BM$155:BM$162)+'03 CAPEX &amp; Depreciation'!BM$165+'03 CAPEX &amp; Depreciation'!BM$166</f>
        <v>109489166.66666666</v>
      </c>
      <c r="BN85" s="90">
        <f>SUM('03 CAPEX &amp; Depreciation'!BN$155:BN$162)+'03 CAPEX &amp; Depreciation'!BN$165+'03 CAPEX &amp; Depreciation'!BN$166</f>
        <v>110939166.66666666</v>
      </c>
      <c r="BO85" s="90">
        <f>SUM('03 CAPEX &amp; Depreciation'!BO$155:BO$162)+'03 CAPEX &amp; Depreciation'!BO$165+'03 CAPEX &amp; Depreciation'!BO$166</f>
        <v>112389166.66666666</v>
      </c>
    </row>
    <row r="86" spans="1:67">
      <c r="A86" s="11"/>
      <c r="B86" s="22" t="s">
        <v>430</v>
      </c>
      <c r="C86" s="11"/>
      <c r="D86" s="33"/>
      <c r="E86" s="33"/>
      <c r="F86" s="10" t="s">
        <v>13</v>
      </c>
      <c r="G86" s="89">
        <f>G84+G85</f>
        <v>29800</v>
      </c>
      <c r="H86" s="89">
        <f t="shared" ref="H86:BI86" si="75">H84+H85</f>
        <v>29800</v>
      </c>
      <c r="I86" s="89">
        <f t="shared" si="75"/>
        <v>29800</v>
      </c>
      <c r="J86" s="89">
        <f t="shared" si="75"/>
        <v>29800</v>
      </c>
      <c r="K86" s="89">
        <f t="shared" si="75"/>
        <v>29800</v>
      </c>
      <c r="L86" s="89">
        <f t="shared" si="75"/>
        <v>29800</v>
      </c>
      <c r="M86" s="89">
        <f t="shared" si="75"/>
        <v>29800</v>
      </c>
      <c r="N86" s="89">
        <f t="shared" si="75"/>
        <v>29800</v>
      </c>
      <c r="O86" s="89">
        <f t="shared" si="75"/>
        <v>29800</v>
      </c>
      <c r="P86" s="89">
        <f t="shared" si="75"/>
        <v>29800</v>
      </c>
      <c r="Q86" s="89">
        <f t="shared" si="75"/>
        <v>29800</v>
      </c>
      <c r="R86" s="89">
        <f t="shared" si="75"/>
        <v>29800</v>
      </c>
      <c r="S86" s="89">
        <f t="shared" si="75"/>
        <v>30396</v>
      </c>
      <c r="T86" s="89">
        <f t="shared" si="75"/>
        <v>30396</v>
      </c>
      <c r="U86" s="89">
        <f t="shared" si="75"/>
        <v>30396</v>
      </c>
      <c r="V86" s="89">
        <f t="shared" si="75"/>
        <v>30396</v>
      </c>
      <c r="W86" s="89">
        <f t="shared" si="75"/>
        <v>30396</v>
      </c>
      <c r="X86" s="89">
        <f t="shared" si="75"/>
        <v>30396</v>
      </c>
      <c r="Y86" s="89">
        <f t="shared" si="75"/>
        <v>30396</v>
      </c>
      <c r="Z86" s="89">
        <f t="shared" si="75"/>
        <v>30396</v>
      </c>
      <c r="AA86" s="89">
        <f t="shared" si="75"/>
        <v>30396</v>
      </c>
      <c r="AB86" s="89">
        <f t="shared" si="75"/>
        <v>36872716.911898538</v>
      </c>
      <c r="AC86" s="89">
        <f t="shared" si="75"/>
        <v>21693525.473331418</v>
      </c>
      <c r="AD86" s="89">
        <f t="shared" si="75"/>
        <v>23368305.438619226</v>
      </c>
      <c r="AE86" s="89">
        <f t="shared" si="75"/>
        <v>25456194.003642224</v>
      </c>
      <c r="AF86" s="89">
        <f t="shared" si="75"/>
        <v>27167187.028134853</v>
      </c>
      <c r="AG86" s="89">
        <f t="shared" si="75"/>
        <v>28878180.052627496</v>
      </c>
      <c r="AH86" s="89">
        <f t="shared" si="75"/>
        <v>30589173.077120129</v>
      </c>
      <c r="AI86" s="89">
        <f t="shared" si="75"/>
        <v>32300166.101612765</v>
      </c>
      <c r="AJ86" s="89">
        <f t="shared" si="75"/>
        <v>34011159.126105413</v>
      </c>
      <c r="AK86" s="89">
        <f t="shared" si="75"/>
        <v>35722152.150598034</v>
      </c>
      <c r="AL86" s="89">
        <f t="shared" si="75"/>
        <v>37433145.175090678</v>
      </c>
      <c r="AM86" s="89">
        <f t="shared" si="75"/>
        <v>39144138.199583322</v>
      </c>
      <c r="AN86" s="89">
        <f t="shared" si="75"/>
        <v>40855131.224075943</v>
      </c>
      <c r="AO86" s="89">
        <f t="shared" si="75"/>
        <v>40869822.996645391</v>
      </c>
      <c r="AP86" s="89">
        <f t="shared" si="75"/>
        <v>40884514.769214839</v>
      </c>
      <c r="AQ86" s="89">
        <f t="shared" si="75"/>
        <v>41658822.629724979</v>
      </c>
      <c r="AR86" s="89">
        <f t="shared" si="75"/>
        <v>41673560.625575677</v>
      </c>
      <c r="AS86" s="89">
        <f t="shared" si="75"/>
        <v>41688298.621426366</v>
      </c>
      <c r="AT86" s="89">
        <f t="shared" si="75"/>
        <v>41703036.617277056</v>
      </c>
      <c r="AU86" s="89">
        <f t="shared" si="75"/>
        <v>41717774.613127753</v>
      </c>
      <c r="AV86" s="89">
        <f t="shared" si="75"/>
        <v>41732512.60897845</v>
      </c>
      <c r="AW86" s="89">
        <f t="shared" si="75"/>
        <v>41747250.604829147</v>
      </c>
      <c r="AX86" s="89">
        <f t="shared" si="75"/>
        <v>41761988.600679837</v>
      </c>
      <c r="AY86" s="89">
        <f t="shared" si="75"/>
        <v>41776726.596530534</v>
      </c>
      <c r="AZ86" s="89">
        <f t="shared" si="75"/>
        <v>41791464.592381224</v>
      </c>
      <c r="BA86" s="89">
        <f t="shared" si="75"/>
        <v>41806202.588231921</v>
      </c>
      <c r="BB86" s="89">
        <f t="shared" si="75"/>
        <v>41820940.584082618</v>
      </c>
      <c r="BC86" s="89">
        <f t="shared" si="75"/>
        <v>42616981.450623617</v>
      </c>
      <c r="BD86" s="89">
        <f t="shared" si="75"/>
        <v>42631766.131988376</v>
      </c>
      <c r="BE86" s="89">
        <f t="shared" si="75"/>
        <v>42646550.813353136</v>
      </c>
      <c r="BF86" s="89">
        <f t="shared" si="75"/>
        <v>42661335.494717889</v>
      </c>
      <c r="BG86" s="89">
        <f t="shared" si="75"/>
        <v>42676120.176082648</v>
      </c>
      <c r="BH86" s="89">
        <f t="shared" si="75"/>
        <v>42690904.857447401</v>
      </c>
      <c r="BI86" s="89">
        <f t="shared" si="75"/>
        <v>524442572.23148799</v>
      </c>
      <c r="BJ86" s="89">
        <f t="shared" ref="BJ86" si="76">BJ84+BJ85</f>
        <v>536503264.79641724</v>
      </c>
      <c r="BK86" s="89">
        <f t="shared" ref="BK86" si="77">BK84+BK85</f>
        <v>547057691.98669016</v>
      </c>
      <c r="BL86" s="89">
        <f t="shared" ref="BL86" si="78">BL84+BL85</f>
        <v>559115489.17541707</v>
      </c>
      <c r="BM86" s="89">
        <f t="shared" ref="BM86" si="79">BM84+BM85</f>
        <v>572086666.84062898</v>
      </c>
      <c r="BN86" s="89">
        <f t="shared" ref="BN86" si="80">BN84+BN85</f>
        <v>585783390.63775742</v>
      </c>
      <c r="BO86" s="89">
        <f t="shared" ref="BO86" si="81">BO84+BO85</f>
        <v>599139728.48752308</v>
      </c>
    </row>
    <row r="87" spans="1:67">
      <c r="A87" s="32"/>
      <c r="B87" s="32"/>
      <c r="C87" s="32" t="s">
        <v>1795</v>
      </c>
      <c r="D87" s="17"/>
      <c r="E87" s="17"/>
      <c r="F87" s="32" t="s">
        <v>13</v>
      </c>
      <c r="G87" s="92">
        <f>G86-G88</f>
        <v>0</v>
      </c>
      <c r="H87" s="92">
        <f t="shared" ref="H87:BO87" si="82">H86-H88</f>
        <v>0</v>
      </c>
      <c r="I87" s="92">
        <f t="shared" si="82"/>
        <v>0</v>
      </c>
      <c r="J87" s="92">
        <f t="shared" si="82"/>
        <v>0</v>
      </c>
      <c r="K87" s="92">
        <f t="shared" si="82"/>
        <v>0</v>
      </c>
      <c r="L87" s="92">
        <f t="shared" si="82"/>
        <v>0</v>
      </c>
      <c r="M87" s="92">
        <f t="shared" si="82"/>
        <v>0</v>
      </c>
      <c r="N87" s="92">
        <f t="shared" si="82"/>
        <v>0</v>
      </c>
      <c r="O87" s="92">
        <f t="shared" si="82"/>
        <v>0</v>
      </c>
      <c r="P87" s="92">
        <f t="shared" si="82"/>
        <v>0</v>
      </c>
      <c r="Q87" s="92">
        <f t="shared" si="82"/>
        <v>0</v>
      </c>
      <c r="R87" s="92">
        <f t="shared" si="82"/>
        <v>0</v>
      </c>
      <c r="S87" s="92">
        <f t="shared" si="82"/>
        <v>0</v>
      </c>
      <c r="T87" s="92">
        <f t="shared" si="82"/>
        <v>0</v>
      </c>
      <c r="U87" s="92">
        <f t="shared" si="82"/>
        <v>0</v>
      </c>
      <c r="V87" s="92">
        <f t="shared" si="82"/>
        <v>0</v>
      </c>
      <c r="W87" s="92">
        <f t="shared" si="82"/>
        <v>0</v>
      </c>
      <c r="X87" s="92">
        <f t="shared" si="82"/>
        <v>0</v>
      </c>
      <c r="Y87" s="92">
        <f t="shared" si="82"/>
        <v>0</v>
      </c>
      <c r="Z87" s="92">
        <f t="shared" si="82"/>
        <v>0</v>
      </c>
      <c r="AA87" s="92">
        <f t="shared" si="82"/>
        <v>0</v>
      </c>
      <c r="AB87" s="92">
        <f t="shared" si="82"/>
        <v>26349496.095231868</v>
      </c>
      <c r="AC87" s="92">
        <f t="shared" si="82"/>
        <v>12014551.532914752</v>
      </c>
      <c r="AD87" s="92">
        <f t="shared" si="82"/>
        <v>14535482.355355339</v>
      </c>
      <c r="AE87" s="92">
        <f t="shared" si="82"/>
        <v>17402873.741590146</v>
      </c>
      <c r="AF87" s="92">
        <f t="shared" si="82"/>
        <v>19971165.964322355</v>
      </c>
      <c r="AG87" s="92">
        <f t="shared" si="82"/>
        <v>22541368.117488608</v>
      </c>
      <c r="AH87" s="92">
        <f t="shared" si="82"/>
        <v>25113480.201088876</v>
      </c>
      <c r="AI87" s="92">
        <f t="shared" si="82"/>
        <v>27687502.21512318</v>
      </c>
      <c r="AJ87" s="92">
        <f t="shared" si="82"/>
        <v>30263434.159591526</v>
      </c>
      <c r="AK87" s="92">
        <f t="shared" si="82"/>
        <v>32841276.03449386</v>
      </c>
      <c r="AL87" s="92">
        <f t="shared" si="82"/>
        <v>35421027.839830257</v>
      </c>
      <c r="AM87" s="92">
        <f t="shared" si="82"/>
        <v>38002689.575600676</v>
      </c>
      <c r="AN87" s="92">
        <f t="shared" si="82"/>
        <v>40586261.241805114</v>
      </c>
      <c r="AO87" s="92">
        <f t="shared" si="82"/>
        <v>40600659.178923175</v>
      </c>
      <c r="AP87" s="92">
        <f t="shared" si="82"/>
        <v>40615057.116041228</v>
      </c>
      <c r="AQ87" s="92">
        <f t="shared" si="82"/>
        <v>41386701.124668725</v>
      </c>
      <c r="AR87" s="92">
        <f t="shared" si="82"/>
        <v>41401144.360602409</v>
      </c>
      <c r="AS87" s="92">
        <f t="shared" si="82"/>
        <v>41415587.596536092</v>
      </c>
      <c r="AT87" s="92">
        <f t="shared" si="82"/>
        <v>41430030.832469761</v>
      </c>
      <c r="AU87" s="92">
        <f t="shared" si="82"/>
        <v>41444474.068403445</v>
      </c>
      <c r="AV87" s="92">
        <f t="shared" si="82"/>
        <v>41458917.304337136</v>
      </c>
      <c r="AW87" s="92">
        <f t="shared" si="82"/>
        <v>41473360.540270813</v>
      </c>
      <c r="AX87" s="92">
        <f t="shared" si="82"/>
        <v>41487803.776204482</v>
      </c>
      <c r="AY87" s="92">
        <f t="shared" si="82"/>
        <v>41502247.012138173</v>
      </c>
      <c r="AZ87" s="92">
        <f t="shared" si="82"/>
        <v>41516690.248071842</v>
      </c>
      <c r="BA87" s="92">
        <f t="shared" si="82"/>
        <v>41531133.484005533</v>
      </c>
      <c r="BB87" s="92">
        <f t="shared" si="82"/>
        <v>41545576.71993921</v>
      </c>
      <c r="BC87" s="92">
        <f t="shared" si="82"/>
        <v>42338844.322867006</v>
      </c>
      <c r="BD87" s="92">
        <f t="shared" si="82"/>
        <v>42353333.310604475</v>
      </c>
      <c r="BE87" s="92">
        <f t="shared" si="82"/>
        <v>42367822.298341945</v>
      </c>
      <c r="BF87" s="92">
        <f t="shared" si="82"/>
        <v>42382311.286079399</v>
      </c>
      <c r="BG87" s="92">
        <f t="shared" si="82"/>
        <v>42396800.273816869</v>
      </c>
      <c r="BH87" s="92">
        <f t="shared" si="82"/>
        <v>42411289.261554323</v>
      </c>
      <c r="BI87" s="92">
        <f t="shared" si="82"/>
        <v>521005936.61150301</v>
      </c>
      <c r="BJ87" s="92">
        <f t="shared" si="82"/>
        <v>532991332.2641629</v>
      </c>
      <c r="BK87" s="92">
        <f t="shared" si="82"/>
        <v>543504838.87229264</v>
      </c>
      <c r="BL87" s="92">
        <f t="shared" si="82"/>
        <v>555496023.07840061</v>
      </c>
      <c r="BM87" s="92">
        <f t="shared" si="82"/>
        <v>568386823.37332749</v>
      </c>
      <c r="BN87" s="92">
        <f t="shared" si="82"/>
        <v>581993294.73624802</v>
      </c>
      <c r="BO87" s="92">
        <f t="shared" si="82"/>
        <v>595265496.64208972</v>
      </c>
    </row>
    <row r="88" spans="1:67">
      <c r="A88" s="32"/>
      <c r="B88" s="32"/>
      <c r="C88" s="35" t="s">
        <v>1796</v>
      </c>
      <c r="D88" s="17"/>
      <c r="E88" s="17"/>
      <c r="F88" s="32" t="s">
        <v>13</v>
      </c>
      <c r="G88" s="92">
        <f>'11 NRV Costing'!G$97</f>
        <v>29800</v>
      </c>
      <c r="H88" s="92">
        <f>'11 NRV Costing'!H$97</f>
        <v>29800</v>
      </c>
      <c r="I88" s="92">
        <f>'11 NRV Costing'!I$97</f>
        <v>29800</v>
      </c>
      <c r="J88" s="92">
        <f>'11 NRV Costing'!J$97</f>
        <v>29800</v>
      </c>
      <c r="K88" s="92">
        <f>'11 NRV Costing'!K$97</f>
        <v>29800</v>
      </c>
      <c r="L88" s="92">
        <f>'11 NRV Costing'!L$97</f>
        <v>29800</v>
      </c>
      <c r="M88" s="92">
        <f>'11 NRV Costing'!M$97</f>
        <v>29800</v>
      </c>
      <c r="N88" s="92">
        <f>'11 NRV Costing'!N$97</f>
        <v>29800</v>
      </c>
      <c r="O88" s="92">
        <f>'11 NRV Costing'!O$97</f>
        <v>29800</v>
      </c>
      <c r="P88" s="92">
        <f>'11 NRV Costing'!P$97</f>
        <v>29800</v>
      </c>
      <c r="Q88" s="92">
        <f>'11 NRV Costing'!Q$97</f>
        <v>29800</v>
      </c>
      <c r="R88" s="92">
        <f>'11 NRV Costing'!R$97</f>
        <v>29800</v>
      </c>
      <c r="S88" s="92">
        <f>'11 NRV Costing'!S$97</f>
        <v>30396</v>
      </c>
      <c r="T88" s="92">
        <f>'11 NRV Costing'!T$97</f>
        <v>30396</v>
      </c>
      <c r="U88" s="92">
        <f>'11 NRV Costing'!U$97</f>
        <v>30396</v>
      </c>
      <c r="V88" s="92">
        <f>'11 NRV Costing'!V$97</f>
        <v>30396</v>
      </c>
      <c r="W88" s="92">
        <f>'11 NRV Costing'!W$97</f>
        <v>30396</v>
      </c>
      <c r="X88" s="92">
        <f>'11 NRV Costing'!X$97</f>
        <v>30396</v>
      </c>
      <c r="Y88" s="92">
        <f>'11 NRV Costing'!Y$97</f>
        <v>30396</v>
      </c>
      <c r="Z88" s="92">
        <f>'11 NRV Costing'!Z$97</f>
        <v>30396</v>
      </c>
      <c r="AA88" s="92">
        <f>'11 NRV Costing'!AA$97</f>
        <v>30396</v>
      </c>
      <c r="AB88" s="92">
        <f>'11 NRV Costing'!AB$97</f>
        <v>10523220.81666667</v>
      </c>
      <c r="AC88" s="92">
        <f>'11 NRV Costing'!AC$97</f>
        <v>9678973.9404166657</v>
      </c>
      <c r="AD88" s="92">
        <f>'11 NRV Costing'!AD$97</f>
        <v>8832823.0832638871</v>
      </c>
      <c r="AE88" s="92">
        <f>'11 NRV Costing'!AE$97</f>
        <v>8053320.2620520778</v>
      </c>
      <c r="AF88" s="92">
        <f>'11 NRV Costing'!AF$97</f>
        <v>7196021.063812498</v>
      </c>
      <c r="AG88" s="92">
        <f>'11 NRV Costing'!AG$97</f>
        <v>6336811.9351388887</v>
      </c>
      <c r="AH88" s="92">
        <f>'11 NRV Costing'!AH$97</f>
        <v>5475692.8760312535</v>
      </c>
      <c r="AI88" s="92">
        <f>'11 NRV Costing'!AI$97</f>
        <v>4612663.886489585</v>
      </c>
      <c r="AJ88" s="92">
        <f>'11 NRV Costing'!AJ$97</f>
        <v>3747724.966513887</v>
      </c>
      <c r="AK88" s="92">
        <f>'11 NRV Costing'!AK$97</f>
        <v>2880876.1161041744</v>
      </c>
      <c r="AL88" s="92">
        <f>'11 NRV Costing'!AL$97</f>
        <v>2012117.335260421</v>
      </c>
      <c r="AM88" s="92">
        <f>'11 NRV Costing'!AM$97</f>
        <v>1141448.6239826456</v>
      </c>
      <c r="AN88" s="92">
        <f>'11 NRV Costing'!AN$97</f>
        <v>268869.98227082938</v>
      </c>
      <c r="AO88" s="92">
        <f>'11 NRV Costing'!AO$97</f>
        <v>269163.81772221625</v>
      </c>
      <c r="AP88" s="92">
        <f>'11 NRV Costing'!AP$97</f>
        <v>269457.65317361057</v>
      </c>
      <c r="AQ88" s="92">
        <f>'11 NRV Costing'!AQ$97</f>
        <v>272121.50505625457</v>
      </c>
      <c r="AR88" s="92">
        <f>'11 NRV Costing'!AR$97</f>
        <v>272416.26497326791</v>
      </c>
      <c r="AS88" s="92">
        <f>'11 NRV Costing'!AS$97</f>
        <v>272711.02489027381</v>
      </c>
      <c r="AT88" s="92">
        <f>'11 NRV Costing'!AT$97</f>
        <v>273005.78480729461</v>
      </c>
      <c r="AU88" s="92">
        <f>'11 NRV Costing'!AU$97</f>
        <v>273300.54472430795</v>
      </c>
      <c r="AV88" s="92">
        <f>'11 NRV Costing'!AV$97</f>
        <v>273595.30464131385</v>
      </c>
      <c r="AW88" s="92">
        <f>'11 NRV Costing'!AW$97</f>
        <v>273890.06455833465</v>
      </c>
      <c r="AX88" s="92">
        <f>'11 NRV Costing'!AX$97</f>
        <v>274184.82447535545</v>
      </c>
      <c r="AY88" s="92">
        <f>'11 NRV Costing'!AY$97</f>
        <v>274479.58439236134</v>
      </c>
      <c r="AZ88" s="92">
        <f>'11 NRV Costing'!AZ$97</f>
        <v>274774.34430938214</v>
      </c>
      <c r="BA88" s="92">
        <f>'11 NRV Costing'!BA$97</f>
        <v>275069.10422638804</v>
      </c>
      <c r="BB88" s="92">
        <f>'11 NRV Costing'!BB$97</f>
        <v>275363.86414340883</v>
      </c>
      <c r="BC88" s="92">
        <f>'11 NRV Costing'!BC$97</f>
        <v>278137.12775661098</v>
      </c>
      <c r="BD88" s="92">
        <f>'11 NRV Costing'!BD$97</f>
        <v>278432.82138390141</v>
      </c>
      <c r="BE88" s="92">
        <f>'11 NRV Costing'!BE$97</f>
        <v>278728.51501119183</v>
      </c>
      <c r="BF88" s="92">
        <f>'11 NRV Costing'!BF$97</f>
        <v>279024.20863848971</v>
      </c>
      <c r="BG88" s="92">
        <f>'11 NRV Costing'!BG$97</f>
        <v>279319.90226578014</v>
      </c>
      <c r="BH88" s="92">
        <f>'11 NRV Costing'!BH$97</f>
        <v>279615.59589307802</v>
      </c>
      <c r="BI88" s="92">
        <f>'11 NRV Costing'!BI$97</f>
        <v>3436635.6199849844</v>
      </c>
      <c r="BJ88" s="92">
        <f>'11 NRV Costing'!BJ$97</f>
        <v>3511932.5322543383</v>
      </c>
      <c r="BK88" s="92">
        <f>'11 NRV Costing'!BK$97</f>
        <v>3552853.1143975258</v>
      </c>
      <c r="BL88" s="92">
        <f>'11 NRV Costing'!BL$97</f>
        <v>3619466.0970164537</v>
      </c>
      <c r="BM88" s="92">
        <f>'11 NRV Costing'!BM$97</f>
        <v>3699843.4673015475</v>
      </c>
      <c r="BN88" s="92">
        <f>'11 NRV Costing'!BN$97</f>
        <v>3790095.9015094638</v>
      </c>
      <c r="BO88" s="92">
        <f>'11 NRV Costing'!BO$97</f>
        <v>3874231.8454333544</v>
      </c>
    </row>
    <row r="89" spans="1:67">
      <c r="A89" s="11"/>
      <c r="B89" s="11"/>
      <c r="C89" s="11" t="s">
        <v>431</v>
      </c>
      <c r="D89" s="33"/>
      <c r="E89" s="33"/>
      <c r="F89" s="10" t="s">
        <v>13</v>
      </c>
      <c r="G89" s="90">
        <f>G70*'01 Major Assumptions'!$D$190</f>
        <v>0</v>
      </c>
      <c r="H89" s="90">
        <f>H70*'01 Major Assumptions'!$D$190</f>
        <v>0</v>
      </c>
      <c r="I89" s="90">
        <f>I70*'01 Major Assumptions'!$D$190</f>
        <v>0</v>
      </c>
      <c r="J89" s="90">
        <f>J70*'01 Major Assumptions'!$D$190</f>
        <v>0</v>
      </c>
      <c r="K89" s="90">
        <f>K70*'01 Major Assumptions'!$D$190</f>
        <v>0</v>
      </c>
      <c r="L89" s="90">
        <f>L70*'01 Major Assumptions'!$D$190</f>
        <v>0</v>
      </c>
      <c r="M89" s="90">
        <f>M70*'01 Major Assumptions'!$D$190</f>
        <v>0</v>
      </c>
      <c r="N89" s="90">
        <f>N70*'01 Major Assumptions'!$D$190</f>
        <v>0</v>
      </c>
      <c r="O89" s="90">
        <f>O70*'01 Major Assumptions'!$D$190</f>
        <v>0</v>
      </c>
      <c r="P89" s="90">
        <f>P70*'01 Major Assumptions'!$D$190</f>
        <v>0</v>
      </c>
      <c r="Q89" s="90">
        <f>Q70*'01 Major Assumptions'!$D$190</f>
        <v>0</v>
      </c>
      <c r="R89" s="90">
        <f>R70*'01 Major Assumptions'!$D$190</f>
        <v>0</v>
      </c>
      <c r="S89" s="90">
        <f>S70*'01 Major Assumptions'!$D$190</f>
        <v>0</v>
      </c>
      <c r="T89" s="90">
        <f>T70*'01 Major Assumptions'!$D$190</f>
        <v>0</v>
      </c>
      <c r="U89" s="90">
        <f>U70*'01 Major Assumptions'!$D$190</f>
        <v>0</v>
      </c>
      <c r="V89" s="90">
        <f>V70*'01 Major Assumptions'!$D$190</f>
        <v>0</v>
      </c>
      <c r="W89" s="90">
        <f>W70*'01 Major Assumptions'!$D$190</f>
        <v>0</v>
      </c>
      <c r="X89" s="90">
        <f>X70*'01 Major Assumptions'!$D$190</f>
        <v>0</v>
      </c>
      <c r="Y89" s="90">
        <f>Y70*'01 Major Assumptions'!$D$190</f>
        <v>0</v>
      </c>
      <c r="Z89" s="90">
        <f>Z70*'01 Major Assumptions'!$D$190</f>
        <v>0</v>
      </c>
      <c r="AA89" s="90">
        <f>AA70*'01 Major Assumptions'!$D$190</f>
        <v>0</v>
      </c>
      <c r="AB89" s="90">
        <f>AB70*'01 Major Assumptions'!$D$190</f>
        <v>459189.9909519772</v>
      </c>
      <c r="AC89" s="90">
        <f>AC70*'01 Major Assumptions'!$D$190</f>
        <v>608426.7380113696</v>
      </c>
      <c r="AD89" s="90">
        <f>AD70*'01 Major Assumptions'!$D$190</f>
        <v>757663.48507076246</v>
      </c>
      <c r="AE89" s="90">
        <f>AE70*'01 Major Assumptions'!$D$190</f>
        <v>927504.83799382171</v>
      </c>
      <c r="AF89" s="90">
        <f>AF70*'01 Major Assumptions'!$D$190</f>
        <v>1080132.216397868</v>
      </c>
      <c r="AG89" s="90">
        <f>AG70*'01 Major Assumptions'!$D$190</f>
        <v>1232759.5948019144</v>
      </c>
      <c r="AH89" s="90">
        <f>AH70*'01 Major Assumptions'!$D$190</f>
        <v>1385386.9732059606</v>
      </c>
      <c r="AI89" s="90">
        <f>AI70*'01 Major Assumptions'!$D$190</f>
        <v>1538014.3516100072</v>
      </c>
      <c r="AJ89" s="90">
        <f>AJ70*'01 Major Assumptions'!$D$190</f>
        <v>1690641.7300140543</v>
      </c>
      <c r="AK89" s="90">
        <f>AK70*'01 Major Assumptions'!$D$190</f>
        <v>1843269.108418101</v>
      </c>
      <c r="AL89" s="90">
        <f>AL70*'01 Major Assumptions'!$D$190</f>
        <v>1995896.4868221469</v>
      </c>
      <c r="AM89" s="90">
        <f>AM70*'01 Major Assumptions'!$D$190</f>
        <v>2148523.8652261938</v>
      </c>
      <c r="AN89" s="90">
        <f>AN70*'01 Major Assumptions'!$D$190</f>
        <v>2301151.2436302397</v>
      </c>
      <c r="AO89" s="90">
        <f>AO70*'01 Major Assumptions'!$D$190</f>
        <v>2301151.2436302397</v>
      </c>
      <c r="AP89" s="90">
        <f>AP70*'01 Major Assumptions'!$D$190</f>
        <v>2301151.2436302397</v>
      </c>
      <c r="AQ89" s="90">
        <f>AQ70*'01 Major Assumptions'!$D$190</f>
        <v>2353434.6897387048</v>
      </c>
      <c r="AR89" s="90">
        <f>AR70*'01 Major Assumptions'!$D$190</f>
        <v>2353434.6897387048</v>
      </c>
      <c r="AS89" s="90">
        <f>AS70*'01 Major Assumptions'!$D$190</f>
        <v>2353434.6897387048</v>
      </c>
      <c r="AT89" s="90">
        <f>AT70*'01 Major Assumptions'!$D$190</f>
        <v>2353434.6897387048</v>
      </c>
      <c r="AU89" s="90">
        <f>AU70*'01 Major Assumptions'!$D$190</f>
        <v>2353434.6897387048</v>
      </c>
      <c r="AV89" s="90">
        <f>AV70*'01 Major Assumptions'!$D$190</f>
        <v>2353434.6897387048</v>
      </c>
      <c r="AW89" s="90">
        <f>AW70*'01 Major Assumptions'!$D$190</f>
        <v>2353434.6897387048</v>
      </c>
      <c r="AX89" s="90">
        <f>AX70*'01 Major Assumptions'!$D$190</f>
        <v>2353434.6897387048</v>
      </c>
      <c r="AY89" s="90">
        <f>AY70*'01 Major Assumptions'!$D$190</f>
        <v>2353434.6897387048</v>
      </c>
      <c r="AZ89" s="90">
        <f>AZ70*'01 Major Assumptions'!$D$190</f>
        <v>2353434.6897387048</v>
      </c>
      <c r="BA89" s="90">
        <f>BA70*'01 Major Assumptions'!$D$190</f>
        <v>2353434.6897387048</v>
      </c>
      <c r="BB89" s="90">
        <f>BB70*'01 Major Assumptions'!$D$190</f>
        <v>2353434.6897387048</v>
      </c>
      <c r="BC89" s="90">
        <f>BC70*'01 Major Assumptions'!$D$190</f>
        <v>2406907.7944577644</v>
      </c>
      <c r="BD89" s="90">
        <f>BD70*'01 Major Assumptions'!$D$190</f>
        <v>2406907.7944577644</v>
      </c>
      <c r="BE89" s="90">
        <f>BE70*'01 Major Assumptions'!$D$190</f>
        <v>2406907.7944577644</v>
      </c>
      <c r="BF89" s="90">
        <f>BF70*'01 Major Assumptions'!$D$190</f>
        <v>2406907.7944577644</v>
      </c>
      <c r="BG89" s="90">
        <f>BG70*'01 Major Assumptions'!$D$190</f>
        <v>2406907.7944577644</v>
      </c>
      <c r="BH89" s="90">
        <f>BH70*'01 Major Assumptions'!$D$190</f>
        <v>2406907.7944577644</v>
      </c>
      <c r="BI89" s="90">
        <f>BI70*'01 Major Assumptions'!$D$190</f>
        <v>29539171.952669557</v>
      </c>
      <c r="BJ89" s="90">
        <f>BJ70*'01 Major Assumptions'!$D$190</f>
        <v>30210384.212845124</v>
      </c>
      <c r="BK89" s="90">
        <f>BK70*'01 Major Assumptions'!$D$190</f>
        <v>30896870.581110004</v>
      </c>
      <c r="BL89" s="90">
        <f>BL70*'01 Major Assumptions'!$D$190</f>
        <v>31598979.08647237</v>
      </c>
      <c r="BM89" s="90">
        <f>BM70*'01 Major Assumptions'!$D$190</f>
        <v>32317065.697098009</v>
      </c>
      <c r="BN89" s="90">
        <f>BN70*'01 Major Assumptions'!$D$190</f>
        <v>33051494.501600772</v>
      </c>
      <c r="BO89" s="90">
        <f>BO70*'01 Major Assumptions'!$D$190</f>
        <v>33742364.690069169</v>
      </c>
    </row>
    <row r="90" spans="1:67">
      <c r="A90" s="11"/>
      <c r="B90" s="11"/>
      <c r="C90" s="11" t="s">
        <v>432</v>
      </c>
      <c r="D90" s="33"/>
      <c r="E90" s="33"/>
      <c r="F90" s="10" t="s">
        <v>13</v>
      </c>
      <c r="G90" s="90">
        <f>(G51+G81)*'01 Major Assumptions'!$D$190</f>
        <v>325000</v>
      </c>
      <c r="H90" s="90">
        <f>(H51+H81)*'01 Major Assumptions'!$D$190</f>
        <v>325000</v>
      </c>
      <c r="I90" s="90">
        <f>(I51+I81)*'01 Major Assumptions'!$D$190</f>
        <v>325000</v>
      </c>
      <c r="J90" s="90">
        <f>(J51+J81)*'01 Major Assumptions'!$D$190</f>
        <v>325000</v>
      </c>
      <c r="K90" s="90">
        <f>(K51+K81)*'01 Major Assumptions'!$D$190</f>
        <v>325000</v>
      </c>
      <c r="L90" s="90">
        <f>(L51+L81)*'01 Major Assumptions'!$D$190</f>
        <v>325000</v>
      </c>
      <c r="M90" s="90">
        <f>(M51+M81)*'01 Major Assumptions'!$D$190</f>
        <v>325000</v>
      </c>
      <c r="N90" s="90">
        <f>(N51+N81)*'01 Major Assumptions'!$D$190</f>
        <v>325000</v>
      </c>
      <c r="O90" s="90">
        <f>(O51+O81)*'01 Major Assumptions'!$D$190</f>
        <v>325000</v>
      </c>
      <c r="P90" s="90">
        <f>(P51+P81)*'01 Major Assumptions'!$D$190</f>
        <v>418750</v>
      </c>
      <c r="Q90" s="90">
        <f>(Q51+Q81)*'01 Major Assumptions'!$D$190</f>
        <v>418750</v>
      </c>
      <c r="R90" s="90">
        <f>(R51+R81)*'01 Major Assumptions'!$D$190</f>
        <v>674583.33333333337</v>
      </c>
      <c r="S90" s="90">
        <f>(S51+S81)*'01 Major Assumptions'!$D$190</f>
        <v>570850</v>
      </c>
      <c r="T90" s="90">
        <f>(T51+T81)*'01 Major Assumptions'!$D$190</f>
        <v>1154183.3333333333</v>
      </c>
      <c r="U90" s="90">
        <f>(U51+U81)*'01 Major Assumptions'!$D$190</f>
        <v>1154183.3333333333</v>
      </c>
      <c r="V90" s="90">
        <f>(V51+V81)*'01 Major Assumptions'!$D$190</f>
        <v>1259808.3333333335</v>
      </c>
      <c r="W90" s="90">
        <f>(W51+W81)*'01 Major Assumptions'!$D$190</f>
        <v>1259808.3333333335</v>
      </c>
      <c r="X90" s="90">
        <f>(X51+X81)*'01 Major Assumptions'!$D$190</f>
        <v>1249391.6666666667</v>
      </c>
      <c r="Y90" s="90">
        <f>(Y51+Y81)*'01 Major Assumptions'!$D$190</f>
        <v>1249391.6666666667</v>
      </c>
      <c r="Z90" s="90">
        <f>(Z51+Z81)*'01 Major Assumptions'!$D$190</f>
        <v>1325016.6666666667</v>
      </c>
      <c r="AA90" s="90">
        <f>(AA51+AA81)*'01 Major Assumptions'!$D$190</f>
        <v>1325016.6666666667</v>
      </c>
      <c r="AB90" s="90">
        <f>(AB51+AB81)*'01 Major Assumptions'!$D$190</f>
        <v>3301201.4536751979</v>
      </c>
      <c r="AC90" s="90">
        <f>(AC51+AC81)*'01 Major Assumptions'!$D$190</f>
        <v>3305946.7360154707</v>
      </c>
      <c r="AD90" s="90">
        <f>(AD51+AD81)*'01 Major Assumptions'!$D$190</f>
        <v>3235692.0183557426</v>
      </c>
      <c r="AE90" s="90">
        <f>(AE51+AE81)*'01 Major Assumptions'!$D$190</f>
        <v>3295155.9655394908</v>
      </c>
      <c r="AF90" s="90">
        <f>(AF51+AF81)*'01 Major Assumptions'!$D$190</f>
        <v>2624994.0491356519</v>
      </c>
      <c r="AG90" s="90">
        <f>(AG51+AG81)*'01 Major Assumptions'!$D$190</f>
        <v>2629832.132731813</v>
      </c>
      <c r="AH90" s="90">
        <f>(AH51+AH81)*'01 Major Assumptions'!$D$190</f>
        <v>2600086.8829946406</v>
      </c>
      <c r="AI90" s="90">
        <f>(AI51+AI81)*'01 Major Assumptions'!$D$190</f>
        <v>2604924.9665908013</v>
      </c>
      <c r="AJ90" s="90">
        <f>(AJ51+AJ81)*'01 Major Assumptions'!$D$190</f>
        <v>2609763.0501869624</v>
      </c>
      <c r="AK90" s="90">
        <f>(AK51+AK81)*'01 Major Assumptions'!$D$190</f>
        <v>2614601.1337831235</v>
      </c>
      <c r="AL90" s="90">
        <f>(AL51+AL81)*'01 Major Assumptions'!$D$190</f>
        <v>2619439.2173792841</v>
      </c>
      <c r="AM90" s="90">
        <f>(AM51+AM81)*'01 Major Assumptions'!$D$190</f>
        <v>2624277.3009754452</v>
      </c>
      <c r="AN90" s="90">
        <f>(AN51+AN81)*'01 Major Assumptions'!$D$190</f>
        <v>2629115.3845716063</v>
      </c>
      <c r="AO90" s="90">
        <f>(AO51+AO81)*'01 Major Assumptions'!$D$190</f>
        <v>2629644.0304049393</v>
      </c>
      <c r="AP90" s="90">
        <f>(AP51+AP81)*'01 Major Assumptions'!$D$190</f>
        <v>2559339.3429049398</v>
      </c>
      <c r="AQ90" s="90">
        <f>(AQ51+AQ81)*'01 Major Assumptions'!$D$190</f>
        <v>2617366.4168443335</v>
      </c>
      <c r="AR90" s="90">
        <f>(AR51+AR81)*'01 Major Assumptions'!$D$190</f>
        <v>2617895.0626776665</v>
      </c>
      <c r="AS90" s="90">
        <f>(AS51+AS81)*'01 Major Assumptions'!$D$190</f>
        <v>2618423.7085110005</v>
      </c>
      <c r="AT90" s="90">
        <f>(AT51+AT81)*'01 Major Assumptions'!$D$190</f>
        <v>2618952.3543443335</v>
      </c>
      <c r="AU90" s="90">
        <f>(AU51+AU81)*'01 Major Assumptions'!$D$190</f>
        <v>2619481.0001776665</v>
      </c>
      <c r="AV90" s="90">
        <f>(AV51+AV81)*'01 Major Assumptions'!$D$190</f>
        <v>2620009.6460110005</v>
      </c>
      <c r="AW90" s="90">
        <f>(AW51+AW81)*'01 Major Assumptions'!$D$190</f>
        <v>2620538.2918443335</v>
      </c>
      <c r="AX90" s="90">
        <f>(AX51+AX81)*'01 Major Assumptions'!$D$190</f>
        <v>2621066.9376776665</v>
      </c>
      <c r="AY90" s="90">
        <f>(AY51+AY81)*'01 Major Assumptions'!$D$190</f>
        <v>2621595.5835110005</v>
      </c>
      <c r="AZ90" s="90">
        <f>(AZ51+AZ81)*'01 Major Assumptions'!$D$190</f>
        <v>2622124.2293443335</v>
      </c>
      <c r="BA90" s="90">
        <f>(BA51+BA81)*'01 Major Assumptions'!$D$190</f>
        <v>2622652.8751776665</v>
      </c>
      <c r="BB90" s="90">
        <f>(BB51+BB81)*'01 Major Assumptions'!$D$190</f>
        <v>2623181.5210110005</v>
      </c>
      <c r="BC90" s="90">
        <f>(BC51+BC81)*'01 Major Assumptions'!$D$190</f>
        <v>2683231.2500709058</v>
      </c>
      <c r="BD90" s="90">
        <f>(BD51+BD81)*'01 Major Assumptions'!$D$190</f>
        <v>2683759.8959042393</v>
      </c>
      <c r="BE90" s="90">
        <f>(BE51+BE81)*'01 Major Assumptions'!$D$190</f>
        <v>2684288.5417375728</v>
      </c>
      <c r="BF90" s="90">
        <f>(BF51+BF81)*'01 Major Assumptions'!$D$190</f>
        <v>2684817.1875709058</v>
      </c>
      <c r="BG90" s="90">
        <f>(BG51+BG81)*'01 Major Assumptions'!$D$190</f>
        <v>2685345.8334042393</v>
      </c>
      <c r="BH90" s="90">
        <f>(BH51+BH81)*'01 Major Assumptions'!$D$190</f>
        <v>2685874.4792375728</v>
      </c>
      <c r="BI90" s="90">
        <f>(BI51+BI81)*'01 Major Assumptions'!$D$190</f>
        <v>33046122.441576984</v>
      </c>
      <c r="BJ90" s="90">
        <f>(BJ51+BJ81)*'01 Major Assumptions'!$D$190</f>
        <v>33888024.2061214</v>
      </c>
      <c r="BK90" s="90">
        <f>(BK51+BK81)*'01 Major Assumptions'!$D$190</f>
        <v>34757267.031316459</v>
      </c>
      <c r="BL90" s="90">
        <f>(BL51+BL81)*'01 Major Assumptions'!$D$190</f>
        <v>35654966.662632108</v>
      </c>
      <c r="BM90" s="90">
        <f>(BM51+BM81)*'01 Major Assumptions'!$D$190</f>
        <v>36582288.862564296</v>
      </c>
      <c r="BN90" s="90">
        <f>(BN51+BN81)*'01 Major Assumptions'!$D$190</f>
        <v>37540451.77896709</v>
      </c>
      <c r="BO90" s="90">
        <f>(BO51+BO81)*'01 Major Assumptions'!$D$190</f>
        <v>38524701.108316705</v>
      </c>
    </row>
    <row r="91" spans="1:67">
      <c r="A91" s="11"/>
      <c r="B91" s="11"/>
      <c r="C91" s="11" t="s">
        <v>433</v>
      </c>
      <c r="D91" s="33"/>
      <c r="E91" s="33"/>
      <c r="F91" s="10" t="s">
        <v>13</v>
      </c>
      <c r="G91" s="90">
        <f>'03 CAPEX &amp; Depreciation'!G$163+'03 CAPEX &amp; Depreciation'!G$164</f>
        <v>0</v>
      </c>
      <c r="H91" s="90">
        <f>'03 CAPEX &amp; Depreciation'!H$163+'03 CAPEX &amp; Depreciation'!H$164</f>
        <v>0</v>
      </c>
      <c r="I91" s="90">
        <f>'03 CAPEX &amp; Depreciation'!I$163+'03 CAPEX &amp; Depreciation'!I$164</f>
        <v>0</v>
      </c>
      <c r="J91" s="90">
        <f>'03 CAPEX &amp; Depreciation'!J$163+'03 CAPEX &amp; Depreciation'!J$164</f>
        <v>0</v>
      </c>
      <c r="K91" s="90">
        <f>'03 CAPEX &amp; Depreciation'!K$163+'03 CAPEX &amp; Depreciation'!K$164</f>
        <v>0</v>
      </c>
      <c r="L91" s="90">
        <f>'03 CAPEX &amp; Depreciation'!L$163+'03 CAPEX &amp; Depreciation'!L$164</f>
        <v>0</v>
      </c>
      <c r="M91" s="90">
        <f>'03 CAPEX &amp; Depreciation'!M$163+'03 CAPEX &amp; Depreciation'!M$164</f>
        <v>0</v>
      </c>
      <c r="N91" s="90">
        <f>'03 CAPEX &amp; Depreciation'!N$163+'03 CAPEX &amp; Depreciation'!N$164</f>
        <v>0</v>
      </c>
      <c r="O91" s="90">
        <f>'03 CAPEX &amp; Depreciation'!O$163+'03 CAPEX &amp; Depreciation'!O$164</f>
        <v>0</v>
      </c>
      <c r="P91" s="90">
        <f>'03 CAPEX &amp; Depreciation'!P$163+'03 CAPEX &amp; Depreciation'!P$164</f>
        <v>0</v>
      </c>
      <c r="Q91" s="90">
        <f>'03 CAPEX &amp; Depreciation'!Q$163+'03 CAPEX &amp; Depreciation'!Q$164</f>
        <v>0</v>
      </c>
      <c r="R91" s="90">
        <f>'03 CAPEX &amp; Depreciation'!R$163+'03 CAPEX &amp; Depreciation'!R$164</f>
        <v>0</v>
      </c>
      <c r="S91" s="90">
        <f>'03 CAPEX &amp; Depreciation'!S$163+'03 CAPEX &amp; Depreciation'!S$164</f>
        <v>0</v>
      </c>
      <c r="T91" s="90">
        <f>'03 CAPEX &amp; Depreciation'!T$163+'03 CAPEX &amp; Depreciation'!T$164</f>
        <v>0</v>
      </c>
      <c r="U91" s="90">
        <f>'03 CAPEX &amp; Depreciation'!U$163+'03 CAPEX &amp; Depreciation'!U$164</f>
        <v>0</v>
      </c>
      <c r="V91" s="90">
        <f>'03 CAPEX &amp; Depreciation'!V$163+'03 CAPEX &amp; Depreciation'!V$164</f>
        <v>0</v>
      </c>
      <c r="W91" s="90">
        <f>'03 CAPEX &amp; Depreciation'!W$163+'03 CAPEX &amp; Depreciation'!W$164</f>
        <v>0</v>
      </c>
      <c r="X91" s="90">
        <f>'03 CAPEX &amp; Depreciation'!X$163+'03 CAPEX &amp; Depreciation'!X$164</f>
        <v>0</v>
      </c>
      <c r="Y91" s="90">
        <f>'03 CAPEX &amp; Depreciation'!Y$163+'03 CAPEX &amp; Depreciation'!Y$164</f>
        <v>0</v>
      </c>
      <c r="Z91" s="90">
        <f>'03 CAPEX &amp; Depreciation'!Z$163+'03 CAPEX &amp; Depreciation'!Z$164</f>
        <v>0</v>
      </c>
      <c r="AA91" s="90">
        <f>'03 CAPEX &amp; Depreciation'!AA$163+'03 CAPEX &amp; Depreciation'!AA$164</f>
        <v>0</v>
      </c>
      <c r="AB91" s="90">
        <f>'03 CAPEX &amp; Depreciation'!AB$163+'03 CAPEX &amp; Depreciation'!AB$164</f>
        <v>1166666.6666666665</v>
      </c>
      <c r="AC91" s="90">
        <f>'03 CAPEX &amp; Depreciation'!AC$163+'03 CAPEX &amp; Depreciation'!AC$164</f>
        <v>1166666.6666666665</v>
      </c>
      <c r="AD91" s="90">
        <f>'03 CAPEX &amp; Depreciation'!AD$163+'03 CAPEX &amp; Depreciation'!AD$164</f>
        <v>1166666.6666666665</v>
      </c>
      <c r="AE91" s="90">
        <f>'03 CAPEX &amp; Depreciation'!AE$163+'03 CAPEX &amp; Depreciation'!AE$164</f>
        <v>1166666.6666666665</v>
      </c>
      <c r="AF91" s="90">
        <f>'03 CAPEX &amp; Depreciation'!AF$163+'03 CAPEX &amp; Depreciation'!AF$164</f>
        <v>1166666.6666666665</v>
      </c>
      <c r="AG91" s="90">
        <f>'03 CAPEX &amp; Depreciation'!AG$163+'03 CAPEX &amp; Depreciation'!AG$164</f>
        <v>1166666.6666666665</v>
      </c>
      <c r="AH91" s="90">
        <f>'03 CAPEX &amp; Depreciation'!AH$163+'03 CAPEX &amp; Depreciation'!AH$164</f>
        <v>1166666.6666666665</v>
      </c>
      <c r="AI91" s="90">
        <f>'03 CAPEX &amp; Depreciation'!AI$163+'03 CAPEX &amp; Depreciation'!AI$164</f>
        <v>1166666.6666666665</v>
      </c>
      <c r="AJ91" s="90">
        <f>'03 CAPEX &amp; Depreciation'!AJ$163+'03 CAPEX &amp; Depreciation'!AJ$164</f>
        <v>1166666.6666666665</v>
      </c>
      <c r="AK91" s="90">
        <f>'03 CAPEX &amp; Depreciation'!AK$163+'03 CAPEX &amp; Depreciation'!AK$164</f>
        <v>1166666.6666666665</v>
      </c>
      <c r="AL91" s="90">
        <f>'03 CAPEX &amp; Depreciation'!AL$163+'03 CAPEX &amp; Depreciation'!AL$164</f>
        <v>1166666.6666666665</v>
      </c>
      <c r="AM91" s="90">
        <f>'03 CAPEX &amp; Depreciation'!AM$163+'03 CAPEX &amp; Depreciation'!AM$164</f>
        <v>1166666.6666666665</v>
      </c>
      <c r="AN91" s="90">
        <f>'03 CAPEX &amp; Depreciation'!AN$163+'03 CAPEX &amp; Depreciation'!AN$164</f>
        <v>1166666.6666666665</v>
      </c>
      <c r="AO91" s="90">
        <f>'03 CAPEX &amp; Depreciation'!AO$163+'03 CAPEX &amp; Depreciation'!AO$164</f>
        <v>1166666.6666666665</v>
      </c>
      <c r="AP91" s="90">
        <f>'03 CAPEX &amp; Depreciation'!AP$163+'03 CAPEX &amp; Depreciation'!AP$164</f>
        <v>1166666.6666666665</v>
      </c>
      <c r="AQ91" s="90">
        <f>'03 CAPEX &amp; Depreciation'!AQ$163+'03 CAPEX &amp; Depreciation'!AQ$164</f>
        <v>1166666.6666666665</v>
      </c>
      <c r="AR91" s="90">
        <f>'03 CAPEX &amp; Depreciation'!AR$163+'03 CAPEX &amp; Depreciation'!AR$164</f>
        <v>1166666.6666666665</v>
      </c>
      <c r="AS91" s="90">
        <f>'03 CAPEX &amp; Depreciation'!AS$163+'03 CAPEX &amp; Depreciation'!AS$164</f>
        <v>1166666.6666666665</v>
      </c>
      <c r="AT91" s="90">
        <f>'03 CAPEX &amp; Depreciation'!AT$163+'03 CAPEX &amp; Depreciation'!AT$164</f>
        <v>1166666.6666666665</v>
      </c>
      <c r="AU91" s="90">
        <f>'03 CAPEX &amp; Depreciation'!AU$163+'03 CAPEX &amp; Depreciation'!AU$164</f>
        <v>1166666.6666666665</v>
      </c>
      <c r="AV91" s="90">
        <f>'03 CAPEX &amp; Depreciation'!AV$163+'03 CAPEX &amp; Depreciation'!AV$164</f>
        <v>1166666.6666666665</v>
      </c>
      <c r="AW91" s="90">
        <f>'03 CAPEX &amp; Depreciation'!AW$163+'03 CAPEX &amp; Depreciation'!AW$164</f>
        <v>1166666.6666666665</v>
      </c>
      <c r="AX91" s="90">
        <f>'03 CAPEX &amp; Depreciation'!AX$163+'03 CAPEX &amp; Depreciation'!AX$164</f>
        <v>1166666.6666666665</v>
      </c>
      <c r="AY91" s="90">
        <f>'03 CAPEX &amp; Depreciation'!AY$163+'03 CAPEX &amp; Depreciation'!AY$164</f>
        <v>1166666.6666666665</v>
      </c>
      <c r="AZ91" s="90">
        <f>'03 CAPEX &amp; Depreciation'!AZ$163+'03 CAPEX &amp; Depreciation'!AZ$164</f>
        <v>1166666.6666666665</v>
      </c>
      <c r="BA91" s="90">
        <f>'03 CAPEX &amp; Depreciation'!BA$163+'03 CAPEX &amp; Depreciation'!BA$164</f>
        <v>1166666.6666666665</v>
      </c>
      <c r="BB91" s="90">
        <f>'03 CAPEX &amp; Depreciation'!BB$163+'03 CAPEX &amp; Depreciation'!BB$164</f>
        <v>1166666.6666666665</v>
      </c>
      <c r="BC91" s="90">
        <f>'03 CAPEX &amp; Depreciation'!BC$163+'03 CAPEX &amp; Depreciation'!BC$164</f>
        <v>1166666.6666666665</v>
      </c>
      <c r="BD91" s="90">
        <f>'03 CAPEX &amp; Depreciation'!BD$163+'03 CAPEX &amp; Depreciation'!BD$164</f>
        <v>1166666.6666666665</v>
      </c>
      <c r="BE91" s="90">
        <f>'03 CAPEX &amp; Depreciation'!BE$163+'03 CAPEX &amp; Depreciation'!BE$164</f>
        <v>1166666.6666666665</v>
      </c>
      <c r="BF91" s="90">
        <f>'03 CAPEX &amp; Depreciation'!BF$163+'03 CAPEX &amp; Depreciation'!BF$164</f>
        <v>1166666.6666666665</v>
      </c>
      <c r="BG91" s="90">
        <f>'03 CAPEX &amp; Depreciation'!BG$163+'03 CAPEX &amp; Depreciation'!BG$164</f>
        <v>1166666.6666666665</v>
      </c>
      <c r="BH91" s="90">
        <f>'03 CAPEX &amp; Depreciation'!BH$163+'03 CAPEX &amp; Depreciation'!BH$164</f>
        <v>1166666.6666666665</v>
      </c>
      <c r="BI91" s="90">
        <f>'03 CAPEX &amp; Depreciation'!BI$163+'03 CAPEX &amp; Depreciation'!BI$164</f>
        <v>14000000</v>
      </c>
      <c r="BJ91" s="90">
        <f>'03 CAPEX &amp; Depreciation'!BJ$163+'03 CAPEX &amp; Depreciation'!BJ$164</f>
        <v>14000000</v>
      </c>
      <c r="BK91" s="90">
        <f>'03 CAPEX &amp; Depreciation'!BK$163+'03 CAPEX &amp; Depreciation'!BK$164</f>
        <v>3499999.9999999925</v>
      </c>
      <c r="BL91" s="90">
        <f>'03 CAPEX &amp; Depreciation'!BL$163+'03 CAPEX &amp; Depreciation'!BL$164</f>
        <v>0</v>
      </c>
      <c r="BM91" s="90">
        <f>'03 CAPEX &amp; Depreciation'!BM$163+'03 CAPEX &amp; Depreciation'!BM$164</f>
        <v>0</v>
      </c>
      <c r="BN91" s="90">
        <f>'03 CAPEX &amp; Depreciation'!BN$163+'03 CAPEX &amp; Depreciation'!BN$164</f>
        <v>0</v>
      </c>
      <c r="BO91" s="90">
        <f>'03 CAPEX &amp; Depreciation'!BO$163+'03 CAPEX &amp; Depreciation'!BO$164</f>
        <v>0</v>
      </c>
    </row>
    <row r="92" spans="1:67">
      <c r="A92" s="11"/>
      <c r="B92" s="22" t="s">
        <v>434</v>
      </c>
      <c r="C92" s="11"/>
      <c r="D92" s="33"/>
      <c r="E92" s="33"/>
      <c r="F92" s="10" t="s">
        <v>13</v>
      </c>
      <c r="G92" s="89">
        <f>G89+G90+G91</f>
        <v>325000</v>
      </c>
      <c r="H92" s="89">
        <f t="shared" ref="H92:BI92" si="83">H89+H90+H91</f>
        <v>325000</v>
      </c>
      <c r="I92" s="89">
        <f t="shared" si="83"/>
        <v>325000</v>
      </c>
      <c r="J92" s="89">
        <f t="shared" si="83"/>
        <v>325000</v>
      </c>
      <c r="K92" s="89">
        <f t="shared" si="83"/>
        <v>325000</v>
      </c>
      <c r="L92" s="89">
        <f t="shared" si="83"/>
        <v>325000</v>
      </c>
      <c r="M92" s="89">
        <f t="shared" si="83"/>
        <v>325000</v>
      </c>
      <c r="N92" s="89">
        <f t="shared" si="83"/>
        <v>325000</v>
      </c>
      <c r="O92" s="89">
        <f t="shared" si="83"/>
        <v>325000</v>
      </c>
      <c r="P92" s="89">
        <f t="shared" si="83"/>
        <v>418750</v>
      </c>
      <c r="Q92" s="89">
        <f t="shared" si="83"/>
        <v>418750</v>
      </c>
      <c r="R92" s="89">
        <f t="shared" si="83"/>
        <v>674583.33333333337</v>
      </c>
      <c r="S92" s="89">
        <f t="shared" si="83"/>
        <v>570850</v>
      </c>
      <c r="T92" s="89">
        <f t="shared" si="83"/>
        <v>1154183.3333333333</v>
      </c>
      <c r="U92" s="89">
        <f t="shared" si="83"/>
        <v>1154183.3333333333</v>
      </c>
      <c r="V92" s="89">
        <f t="shared" si="83"/>
        <v>1259808.3333333335</v>
      </c>
      <c r="W92" s="89">
        <f t="shared" si="83"/>
        <v>1259808.3333333335</v>
      </c>
      <c r="X92" s="89">
        <f t="shared" si="83"/>
        <v>1249391.6666666667</v>
      </c>
      <c r="Y92" s="89">
        <f t="shared" si="83"/>
        <v>1249391.6666666667</v>
      </c>
      <c r="Z92" s="89">
        <f t="shared" si="83"/>
        <v>1325016.6666666667</v>
      </c>
      <c r="AA92" s="89">
        <f t="shared" si="83"/>
        <v>1325016.6666666667</v>
      </c>
      <c r="AB92" s="89">
        <f t="shared" si="83"/>
        <v>4927058.1112938412</v>
      </c>
      <c r="AC92" s="89">
        <f t="shared" si="83"/>
        <v>5081040.1406935062</v>
      </c>
      <c r="AD92" s="89">
        <f t="shared" si="83"/>
        <v>5160022.1700931713</v>
      </c>
      <c r="AE92" s="89">
        <f t="shared" si="83"/>
        <v>5389327.4701999798</v>
      </c>
      <c r="AF92" s="89">
        <f t="shared" si="83"/>
        <v>4871792.932200186</v>
      </c>
      <c r="AG92" s="89">
        <f t="shared" si="83"/>
        <v>5029258.3942003939</v>
      </c>
      <c r="AH92" s="89">
        <f t="shared" si="83"/>
        <v>5152140.522867268</v>
      </c>
      <c r="AI92" s="89">
        <f t="shared" si="83"/>
        <v>5309605.984867475</v>
      </c>
      <c r="AJ92" s="89">
        <f t="shared" si="83"/>
        <v>5467071.4468676839</v>
      </c>
      <c r="AK92" s="89">
        <f t="shared" si="83"/>
        <v>5624536.90886789</v>
      </c>
      <c r="AL92" s="89">
        <f t="shared" si="83"/>
        <v>5782002.370868098</v>
      </c>
      <c r="AM92" s="89">
        <f t="shared" si="83"/>
        <v>5939467.832868306</v>
      </c>
      <c r="AN92" s="89">
        <f t="shared" si="83"/>
        <v>6096933.2948685121</v>
      </c>
      <c r="AO92" s="89">
        <f t="shared" si="83"/>
        <v>6097461.940701846</v>
      </c>
      <c r="AP92" s="89">
        <f t="shared" si="83"/>
        <v>6027157.253201846</v>
      </c>
      <c r="AQ92" s="89">
        <f t="shared" si="83"/>
        <v>6137467.7732497044</v>
      </c>
      <c r="AR92" s="89">
        <f t="shared" si="83"/>
        <v>6137996.4190830383</v>
      </c>
      <c r="AS92" s="89">
        <f t="shared" si="83"/>
        <v>6138525.0649163723</v>
      </c>
      <c r="AT92" s="89">
        <f t="shared" si="83"/>
        <v>6139053.7107497044</v>
      </c>
      <c r="AU92" s="89">
        <f t="shared" si="83"/>
        <v>6139582.3565830383</v>
      </c>
      <c r="AV92" s="89">
        <f t="shared" si="83"/>
        <v>6140111.0024163723</v>
      </c>
      <c r="AW92" s="89">
        <f t="shared" si="83"/>
        <v>6140639.6482497044</v>
      </c>
      <c r="AX92" s="89">
        <f t="shared" si="83"/>
        <v>6141168.2940830383</v>
      </c>
      <c r="AY92" s="89">
        <f t="shared" si="83"/>
        <v>6141696.9399163723</v>
      </c>
      <c r="AZ92" s="89">
        <f t="shared" si="83"/>
        <v>6142225.5857497044</v>
      </c>
      <c r="BA92" s="89">
        <f t="shared" si="83"/>
        <v>6142754.2315830383</v>
      </c>
      <c r="BB92" s="89">
        <f t="shared" si="83"/>
        <v>6143282.8774163723</v>
      </c>
      <c r="BC92" s="89">
        <f t="shared" si="83"/>
        <v>6256805.7111953367</v>
      </c>
      <c r="BD92" s="89">
        <f t="shared" si="83"/>
        <v>6257334.3570286706</v>
      </c>
      <c r="BE92" s="89">
        <f t="shared" si="83"/>
        <v>6257863.0028620027</v>
      </c>
      <c r="BF92" s="89">
        <f t="shared" si="83"/>
        <v>6258391.6486953367</v>
      </c>
      <c r="BG92" s="89">
        <f t="shared" si="83"/>
        <v>6258920.2945286706</v>
      </c>
      <c r="BH92" s="89">
        <f t="shared" si="83"/>
        <v>6259448.9403620027</v>
      </c>
      <c r="BI92" s="89">
        <f t="shared" si="83"/>
        <v>76585294.394246548</v>
      </c>
      <c r="BJ92" s="89">
        <f t="shared" ref="BJ92" si="84">BJ89+BJ90+BJ91</f>
        <v>78098408.418966532</v>
      </c>
      <c r="BK92" s="89">
        <f t="shared" ref="BK92" si="85">BK89+BK90+BK91</f>
        <v>69154137.61242646</v>
      </c>
      <c r="BL92" s="89">
        <f t="shared" ref="BL92" si="86">BL89+BL90+BL91</f>
        <v>67253945.74910447</v>
      </c>
      <c r="BM92" s="89">
        <f t="shared" ref="BM92" si="87">BM89+BM90+BM91</f>
        <v>68899354.559662312</v>
      </c>
      <c r="BN92" s="89">
        <f t="shared" ref="BN92" si="88">BN89+BN90+BN91</f>
        <v>70591946.280567855</v>
      </c>
      <c r="BO92" s="89">
        <f t="shared" ref="BO92" si="89">BO89+BO90+BO91</f>
        <v>72267065.798385873</v>
      </c>
    </row>
    <row r="93" spans="1:67">
      <c r="A93" s="11"/>
      <c r="B93" s="22" t="s">
        <v>435</v>
      </c>
      <c r="C93" s="11"/>
      <c r="D93" s="33"/>
      <c r="E93" s="33"/>
      <c r="F93" s="10" t="s">
        <v>13</v>
      </c>
      <c r="G93" s="89">
        <f>G86+G92</f>
        <v>354800</v>
      </c>
      <c r="H93" s="89">
        <f t="shared" ref="H93:BI93" si="90">H86+H92</f>
        <v>354800</v>
      </c>
      <c r="I93" s="89">
        <f t="shared" si="90"/>
        <v>354800</v>
      </c>
      <c r="J93" s="89">
        <f t="shared" si="90"/>
        <v>354800</v>
      </c>
      <c r="K93" s="89">
        <f t="shared" si="90"/>
        <v>354800</v>
      </c>
      <c r="L93" s="89">
        <f t="shared" si="90"/>
        <v>354800</v>
      </c>
      <c r="M93" s="89">
        <f t="shared" si="90"/>
        <v>354800</v>
      </c>
      <c r="N93" s="89">
        <f t="shared" si="90"/>
        <v>354800</v>
      </c>
      <c r="O93" s="89">
        <f t="shared" si="90"/>
        <v>354800</v>
      </c>
      <c r="P93" s="89">
        <f t="shared" si="90"/>
        <v>448550</v>
      </c>
      <c r="Q93" s="89">
        <f t="shared" si="90"/>
        <v>448550</v>
      </c>
      <c r="R93" s="89">
        <f t="shared" si="90"/>
        <v>704383.33333333337</v>
      </c>
      <c r="S93" s="89">
        <f t="shared" si="90"/>
        <v>601246</v>
      </c>
      <c r="T93" s="89">
        <f t="shared" si="90"/>
        <v>1184579.3333333333</v>
      </c>
      <c r="U93" s="89">
        <f t="shared" si="90"/>
        <v>1184579.3333333333</v>
      </c>
      <c r="V93" s="89">
        <f t="shared" si="90"/>
        <v>1290204.3333333335</v>
      </c>
      <c r="W93" s="89">
        <f t="shared" si="90"/>
        <v>1290204.3333333335</v>
      </c>
      <c r="X93" s="89">
        <f t="shared" si="90"/>
        <v>1279787.6666666667</v>
      </c>
      <c r="Y93" s="89">
        <f t="shared" si="90"/>
        <v>1279787.6666666667</v>
      </c>
      <c r="Z93" s="89">
        <f t="shared" si="90"/>
        <v>1355412.6666666667</v>
      </c>
      <c r="AA93" s="89">
        <f t="shared" si="90"/>
        <v>1355412.6666666667</v>
      </c>
      <c r="AB93" s="89">
        <f t="shared" si="90"/>
        <v>41799775.023192376</v>
      </c>
      <c r="AC93" s="89">
        <f t="shared" si="90"/>
        <v>26774565.614024922</v>
      </c>
      <c r="AD93" s="89">
        <f t="shared" si="90"/>
        <v>28528327.608712398</v>
      </c>
      <c r="AE93" s="89">
        <f t="shared" si="90"/>
        <v>30845521.473842204</v>
      </c>
      <c r="AF93" s="89">
        <f t="shared" si="90"/>
        <v>32038979.960335039</v>
      </c>
      <c r="AG93" s="89">
        <f t="shared" si="90"/>
        <v>33907438.446827888</v>
      </c>
      <c r="AH93" s="89">
        <f t="shared" si="90"/>
        <v>35741313.599987395</v>
      </c>
      <c r="AI93" s="89">
        <f t="shared" si="90"/>
        <v>37609772.086480238</v>
      </c>
      <c r="AJ93" s="89">
        <f t="shared" si="90"/>
        <v>39478230.572973095</v>
      </c>
      <c r="AK93" s="89">
        <f t="shared" si="90"/>
        <v>41346689.059465922</v>
      </c>
      <c r="AL93" s="89">
        <f t="shared" si="90"/>
        <v>43215147.545958772</v>
      </c>
      <c r="AM93" s="89">
        <f t="shared" si="90"/>
        <v>45083606.03245163</v>
      </c>
      <c r="AN93" s="89">
        <f t="shared" si="90"/>
        <v>46952064.518944457</v>
      </c>
      <c r="AO93" s="89">
        <f t="shared" si="90"/>
        <v>46967284.937347233</v>
      </c>
      <c r="AP93" s="89">
        <f t="shared" si="90"/>
        <v>46911672.022416681</v>
      </c>
      <c r="AQ93" s="89">
        <f t="shared" si="90"/>
        <v>47796290.40297468</v>
      </c>
      <c r="AR93" s="89">
        <f t="shared" si="90"/>
        <v>47811557.044658713</v>
      </c>
      <c r="AS93" s="89">
        <f t="shared" si="90"/>
        <v>47826823.686342739</v>
      </c>
      <c r="AT93" s="89">
        <f t="shared" si="90"/>
        <v>47842090.328026757</v>
      </c>
      <c r="AU93" s="89">
        <f t="shared" si="90"/>
        <v>47857356.96971079</v>
      </c>
      <c r="AV93" s="89">
        <f t="shared" si="90"/>
        <v>47872623.611394823</v>
      </c>
      <c r="AW93" s="89">
        <f t="shared" si="90"/>
        <v>47887890.253078848</v>
      </c>
      <c r="AX93" s="89">
        <f t="shared" si="90"/>
        <v>47903156.894762874</v>
      </c>
      <c r="AY93" s="89">
        <f t="shared" si="90"/>
        <v>47918423.536446907</v>
      </c>
      <c r="AZ93" s="89">
        <f t="shared" si="90"/>
        <v>47933690.178130925</v>
      </c>
      <c r="BA93" s="89">
        <f t="shared" si="90"/>
        <v>47948956.819814958</v>
      </c>
      <c r="BB93" s="89">
        <f t="shared" si="90"/>
        <v>47964223.461498991</v>
      </c>
      <c r="BC93" s="89">
        <f t="shared" si="90"/>
        <v>48873787.161818951</v>
      </c>
      <c r="BD93" s="89">
        <f t="shared" si="90"/>
        <v>48889100.489017047</v>
      </c>
      <c r="BE93" s="89">
        <f t="shared" si="90"/>
        <v>48904413.816215143</v>
      </c>
      <c r="BF93" s="89">
        <f t="shared" si="90"/>
        <v>48919727.143413223</v>
      </c>
      <c r="BG93" s="89">
        <f t="shared" si="90"/>
        <v>48935040.470611319</v>
      </c>
      <c r="BH93" s="89">
        <f t="shared" si="90"/>
        <v>48950353.797809407</v>
      </c>
      <c r="BI93" s="89">
        <f t="shared" si="90"/>
        <v>601027866.62573457</v>
      </c>
      <c r="BJ93" s="89">
        <f t="shared" ref="BJ93" si="91">BJ86+BJ92</f>
        <v>614601673.21538377</v>
      </c>
      <c r="BK93" s="89">
        <f t="shared" ref="BK93" si="92">BK86+BK92</f>
        <v>616211829.59911656</v>
      </c>
      <c r="BL93" s="89">
        <f t="shared" ref="BL93" si="93">BL86+BL92</f>
        <v>626369434.92452157</v>
      </c>
      <c r="BM93" s="89">
        <f t="shared" ref="BM93" si="94">BM86+BM92</f>
        <v>640986021.40029132</v>
      </c>
      <c r="BN93" s="89">
        <f t="shared" ref="BN93" si="95">BN86+BN92</f>
        <v>656375336.9183253</v>
      </c>
      <c r="BO93" s="89">
        <f t="shared" ref="BO93" si="96">BO86+BO92</f>
        <v>671406794.28590894</v>
      </c>
    </row>
    <row r="94" spans="1:67">
      <c r="A94" s="11"/>
      <c r="B94" s="22" t="s">
        <v>436</v>
      </c>
      <c r="C94" s="11"/>
      <c r="D94" s="33"/>
      <c r="E94" s="33"/>
      <c r="F94" s="10" t="s">
        <v>13</v>
      </c>
      <c r="G94" s="89">
        <f>G93-G85-G91</f>
        <v>354800</v>
      </c>
      <c r="H94" s="89">
        <f t="shared" ref="H94:BI94" si="97">H93-H85-H91</f>
        <v>354800</v>
      </c>
      <c r="I94" s="89">
        <f t="shared" si="97"/>
        <v>354800</v>
      </c>
      <c r="J94" s="89">
        <f t="shared" si="97"/>
        <v>354800</v>
      </c>
      <c r="K94" s="89">
        <f t="shared" si="97"/>
        <v>354800</v>
      </c>
      <c r="L94" s="89">
        <f t="shared" si="97"/>
        <v>354800</v>
      </c>
      <c r="M94" s="89">
        <f t="shared" si="97"/>
        <v>354800</v>
      </c>
      <c r="N94" s="89">
        <f t="shared" si="97"/>
        <v>354800</v>
      </c>
      <c r="O94" s="89">
        <f t="shared" si="97"/>
        <v>354800</v>
      </c>
      <c r="P94" s="89">
        <f t="shared" si="97"/>
        <v>448550</v>
      </c>
      <c r="Q94" s="89">
        <f t="shared" si="97"/>
        <v>448550</v>
      </c>
      <c r="R94" s="89">
        <f t="shared" si="97"/>
        <v>704383.33333333337</v>
      </c>
      <c r="S94" s="89">
        <f t="shared" si="97"/>
        <v>601246</v>
      </c>
      <c r="T94" s="89">
        <f t="shared" si="97"/>
        <v>1184579.3333333333</v>
      </c>
      <c r="U94" s="89">
        <f t="shared" si="97"/>
        <v>1184579.3333333333</v>
      </c>
      <c r="V94" s="89">
        <f t="shared" si="97"/>
        <v>1290204.3333333335</v>
      </c>
      <c r="W94" s="89">
        <f t="shared" si="97"/>
        <v>1290204.3333333335</v>
      </c>
      <c r="X94" s="89">
        <f t="shared" si="97"/>
        <v>1279787.6666666667</v>
      </c>
      <c r="Y94" s="89">
        <f t="shared" si="97"/>
        <v>1279787.6666666667</v>
      </c>
      <c r="Z94" s="89">
        <f t="shared" si="97"/>
        <v>1355412.6666666667</v>
      </c>
      <c r="AA94" s="89">
        <f t="shared" si="97"/>
        <v>1355412.6666666667</v>
      </c>
      <c r="AB94" s="89">
        <f t="shared" si="97"/>
        <v>32235400.023192376</v>
      </c>
      <c r="AC94" s="89">
        <f t="shared" si="97"/>
        <v>17200121.169580478</v>
      </c>
      <c r="AD94" s="89">
        <f t="shared" si="97"/>
        <v>18943813.719823506</v>
      </c>
      <c r="AE94" s="89">
        <f t="shared" si="97"/>
        <v>21250938.140508872</v>
      </c>
      <c r="AF94" s="89">
        <f t="shared" si="97"/>
        <v>22434327.182557259</v>
      </c>
      <c r="AG94" s="89">
        <f t="shared" si="97"/>
        <v>24292716.224605668</v>
      </c>
      <c r="AH94" s="89">
        <f t="shared" si="97"/>
        <v>26116521.933320727</v>
      </c>
      <c r="AI94" s="89">
        <f t="shared" si="97"/>
        <v>27974910.975369126</v>
      </c>
      <c r="AJ94" s="89">
        <f t="shared" si="97"/>
        <v>29833300.017417539</v>
      </c>
      <c r="AK94" s="89">
        <f t="shared" si="97"/>
        <v>31691689.059465922</v>
      </c>
      <c r="AL94" s="89">
        <f t="shared" si="97"/>
        <v>33550078.101514328</v>
      </c>
      <c r="AM94" s="89">
        <f t="shared" si="97"/>
        <v>35408467.143562742</v>
      </c>
      <c r="AN94" s="89">
        <f t="shared" si="97"/>
        <v>37266856.185611129</v>
      </c>
      <c r="AO94" s="89">
        <f t="shared" si="97"/>
        <v>37272007.159569457</v>
      </c>
      <c r="AP94" s="89">
        <f t="shared" si="97"/>
        <v>37206324.800194465</v>
      </c>
      <c r="AQ94" s="89">
        <f t="shared" si="97"/>
        <v>38080873.736308016</v>
      </c>
      <c r="AR94" s="89">
        <f t="shared" si="97"/>
        <v>38086070.933547609</v>
      </c>
      <c r="AS94" s="89">
        <f t="shared" si="97"/>
        <v>38091268.130787186</v>
      </c>
      <c r="AT94" s="89">
        <f t="shared" si="97"/>
        <v>38096465.328026764</v>
      </c>
      <c r="AU94" s="89">
        <f t="shared" si="97"/>
        <v>38101662.525266349</v>
      </c>
      <c r="AV94" s="89">
        <f t="shared" si="97"/>
        <v>38106859.722505935</v>
      </c>
      <c r="AW94" s="89">
        <f t="shared" si="97"/>
        <v>38112056.91974552</v>
      </c>
      <c r="AX94" s="89">
        <f t="shared" si="97"/>
        <v>38117254.116985098</v>
      </c>
      <c r="AY94" s="89">
        <f t="shared" si="97"/>
        <v>38122451.31422469</v>
      </c>
      <c r="AZ94" s="89">
        <f t="shared" si="97"/>
        <v>38127648.511464261</v>
      </c>
      <c r="BA94" s="89">
        <f t="shared" si="97"/>
        <v>38132845.708703853</v>
      </c>
      <c r="BB94" s="89">
        <f t="shared" si="97"/>
        <v>38138042.905943438</v>
      </c>
      <c r="BC94" s="89">
        <f t="shared" si="97"/>
        <v>39037537.161818959</v>
      </c>
      <c r="BD94" s="89">
        <f t="shared" si="97"/>
        <v>39042781.044572607</v>
      </c>
      <c r="BE94" s="89">
        <f t="shared" si="97"/>
        <v>39048024.927326255</v>
      </c>
      <c r="BF94" s="89">
        <f t="shared" si="97"/>
        <v>39053268.810079895</v>
      </c>
      <c r="BG94" s="89">
        <f t="shared" si="97"/>
        <v>39058512.692833543</v>
      </c>
      <c r="BH94" s="89">
        <f t="shared" si="97"/>
        <v>39063756.575587191</v>
      </c>
      <c r="BI94" s="89">
        <f t="shared" si="97"/>
        <v>480938699.95906794</v>
      </c>
      <c r="BJ94" s="89">
        <f t="shared" ref="BJ94" si="98">BJ93-BJ85-BJ91</f>
        <v>493062506.54871714</v>
      </c>
      <c r="BK94" s="89">
        <f t="shared" ref="BK94" si="99">BK93-BK85-BK91</f>
        <v>505522662.93244994</v>
      </c>
      <c r="BL94" s="89">
        <f t="shared" ref="BL94" si="100">BL93-BL85-BL91</f>
        <v>518330268.25785494</v>
      </c>
      <c r="BM94" s="89">
        <f t="shared" ref="BM94" si="101">BM93-BM85-BM91</f>
        <v>531496854.7336247</v>
      </c>
      <c r="BN94" s="89">
        <f t="shared" ref="BN94" si="102">BN93-BN85-BN91</f>
        <v>545436170.25165868</v>
      </c>
      <c r="BO94" s="89">
        <f t="shared" ref="BO94" si="103">BO93-BO85-BO91</f>
        <v>559017627.61924231</v>
      </c>
    </row>
    <row r="95" spans="1:67">
      <c r="A95" s="11"/>
      <c r="B95" s="11"/>
      <c r="C95" s="11"/>
      <c r="D95" s="33"/>
      <c r="E95" s="33"/>
      <c r="F95" s="4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row>
    <row r="96" spans="1:67">
      <c r="A96" s="18" t="s">
        <v>437</v>
      </c>
      <c r="B96" s="18"/>
      <c r="C96" s="18"/>
      <c r="D96" s="39"/>
      <c r="E96" s="39"/>
      <c r="F96" s="39"/>
      <c r="G96" s="40"/>
      <c r="H96" s="40"/>
      <c r="I96" s="40"/>
      <c r="J96" s="40"/>
      <c r="K96" s="40"/>
      <c r="L96" s="40"/>
      <c r="M96" s="40"/>
      <c r="N96" s="40"/>
      <c r="O96" s="40"/>
      <c r="P96" s="40"/>
      <c r="Q96" s="40"/>
      <c r="R96" s="40"/>
      <c r="S96" s="40"/>
      <c r="T96" s="40"/>
      <c r="U96" s="40"/>
      <c r="V96" s="40"/>
      <c r="W96" s="40"/>
      <c r="X96" s="40"/>
      <c r="Y96" s="40"/>
      <c r="Z96" s="40"/>
      <c r="AA96" s="40"/>
      <c r="AB96" s="40"/>
      <c r="AC96" s="40"/>
      <c r="AD96" s="40"/>
      <c r="AE96" s="40"/>
      <c r="AF96" s="40"/>
      <c r="AG96" s="40"/>
      <c r="AH96" s="40"/>
      <c r="AI96" s="40"/>
      <c r="AJ96" s="40"/>
      <c r="AK96" s="40"/>
      <c r="AL96" s="40"/>
      <c r="AM96" s="40"/>
      <c r="AN96" s="40"/>
      <c r="AO96" s="40"/>
      <c r="AP96" s="40"/>
      <c r="AQ96" s="40"/>
      <c r="AR96" s="40"/>
      <c r="AS96" s="40"/>
      <c r="AT96" s="40"/>
      <c r="AU96" s="40"/>
      <c r="AV96" s="40"/>
      <c r="AW96" s="40"/>
      <c r="AX96" s="40"/>
      <c r="AY96" s="40"/>
      <c r="AZ96" s="40"/>
      <c r="BA96" s="40"/>
      <c r="BB96" s="40"/>
      <c r="BC96" s="40"/>
      <c r="BD96" s="40"/>
      <c r="BE96" s="40"/>
      <c r="BF96" s="40"/>
      <c r="BG96" s="40"/>
      <c r="BH96" s="40"/>
      <c r="BI96" s="40"/>
      <c r="BJ96" s="40"/>
      <c r="BK96" s="40"/>
      <c r="BL96" s="40"/>
      <c r="BM96" s="40"/>
      <c r="BN96" s="40"/>
      <c r="BO96" s="40"/>
    </row>
    <row r="97" spans="1:67">
      <c r="A97" s="11"/>
      <c r="B97" s="11"/>
      <c r="C97" s="11" t="s">
        <v>430</v>
      </c>
      <c r="D97" s="33"/>
      <c r="E97" s="33"/>
      <c r="F97" s="10" t="s">
        <v>13</v>
      </c>
      <c r="G97" s="90">
        <f>G86</f>
        <v>29800</v>
      </c>
      <c r="H97" s="90">
        <f t="shared" ref="H97:BI97" si="104">H86</f>
        <v>29800</v>
      </c>
      <c r="I97" s="90">
        <f t="shared" si="104"/>
        <v>29800</v>
      </c>
      <c r="J97" s="90">
        <f t="shared" si="104"/>
        <v>29800</v>
      </c>
      <c r="K97" s="90">
        <f t="shared" si="104"/>
        <v>29800</v>
      </c>
      <c r="L97" s="90">
        <f t="shared" si="104"/>
        <v>29800</v>
      </c>
      <c r="M97" s="90">
        <f t="shared" si="104"/>
        <v>29800</v>
      </c>
      <c r="N97" s="90">
        <f t="shared" si="104"/>
        <v>29800</v>
      </c>
      <c r="O97" s="90">
        <f t="shared" si="104"/>
        <v>29800</v>
      </c>
      <c r="P97" s="90">
        <f t="shared" si="104"/>
        <v>29800</v>
      </c>
      <c r="Q97" s="90">
        <f t="shared" si="104"/>
        <v>29800</v>
      </c>
      <c r="R97" s="90">
        <f t="shared" si="104"/>
        <v>29800</v>
      </c>
      <c r="S97" s="90">
        <f t="shared" si="104"/>
        <v>30396</v>
      </c>
      <c r="T97" s="90">
        <f t="shared" si="104"/>
        <v>30396</v>
      </c>
      <c r="U97" s="90">
        <f t="shared" si="104"/>
        <v>30396</v>
      </c>
      <c r="V97" s="90">
        <f t="shared" si="104"/>
        <v>30396</v>
      </c>
      <c r="W97" s="90">
        <f t="shared" si="104"/>
        <v>30396</v>
      </c>
      <c r="X97" s="90">
        <f t="shared" si="104"/>
        <v>30396</v>
      </c>
      <c r="Y97" s="90">
        <f t="shared" si="104"/>
        <v>30396</v>
      </c>
      <c r="Z97" s="90">
        <f t="shared" si="104"/>
        <v>30396</v>
      </c>
      <c r="AA97" s="90">
        <f t="shared" si="104"/>
        <v>30396</v>
      </c>
      <c r="AB97" s="90">
        <f t="shared" si="104"/>
        <v>36872716.911898538</v>
      </c>
      <c r="AC97" s="90">
        <f t="shared" si="104"/>
        <v>21693525.473331418</v>
      </c>
      <c r="AD97" s="90">
        <f t="shared" si="104"/>
        <v>23368305.438619226</v>
      </c>
      <c r="AE97" s="90">
        <f t="shared" si="104"/>
        <v>25456194.003642224</v>
      </c>
      <c r="AF97" s="90">
        <f t="shared" si="104"/>
        <v>27167187.028134853</v>
      </c>
      <c r="AG97" s="90">
        <f t="shared" si="104"/>
        <v>28878180.052627496</v>
      </c>
      <c r="AH97" s="90">
        <f t="shared" si="104"/>
        <v>30589173.077120129</v>
      </c>
      <c r="AI97" s="90">
        <f t="shared" si="104"/>
        <v>32300166.101612765</v>
      </c>
      <c r="AJ97" s="90">
        <f t="shared" si="104"/>
        <v>34011159.126105413</v>
      </c>
      <c r="AK97" s="90">
        <f t="shared" si="104"/>
        <v>35722152.150598034</v>
      </c>
      <c r="AL97" s="90">
        <f t="shared" si="104"/>
        <v>37433145.175090678</v>
      </c>
      <c r="AM97" s="90">
        <f t="shared" si="104"/>
        <v>39144138.199583322</v>
      </c>
      <c r="AN97" s="90">
        <f t="shared" si="104"/>
        <v>40855131.224075943</v>
      </c>
      <c r="AO97" s="90">
        <f t="shared" si="104"/>
        <v>40869822.996645391</v>
      </c>
      <c r="AP97" s="90">
        <f t="shared" si="104"/>
        <v>40884514.769214839</v>
      </c>
      <c r="AQ97" s="90">
        <f t="shared" si="104"/>
        <v>41658822.629724979</v>
      </c>
      <c r="AR97" s="90">
        <f t="shared" si="104"/>
        <v>41673560.625575677</v>
      </c>
      <c r="AS97" s="90">
        <f t="shared" si="104"/>
        <v>41688298.621426366</v>
      </c>
      <c r="AT97" s="90">
        <f t="shared" si="104"/>
        <v>41703036.617277056</v>
      </c>
      <c r="AU97" s="90">
        <f t="shared" si="104"/>
        <v>41717774.613127753</v>
      </c>
      <c r="AV97" s="90">
        <f t="shared" si="104"/>
        <v>41732512.60897845</v>
      </c>
      <c r="AW97" s="90">
        <f t="shared" si="104"/>
        <v>41747250.604829147</v>
      </c>
      <c r="AX97" s="90">
        <f t="shared" si="104"/>
        <v>41761988.600679837</v>
      </c>
      <c r="AY97" s="90">
        <f t="shared" si="104"/>
        <v>41776726.596530534</v>
      </c>
      <c r="AZ97" s="90">
        <f t="shared" si="104"/>
        <v>41791464.592381224</v>
      </c>
      <c r="BA97" s="90">
        <f t="shared" si="104"/>
        <v>41806202.588231921</v>
      </c>
      <c r="BB97" s="90">
        <f t="shared" si="104"/>
        <v>41820940.584082618</v>
      </c>
      <c r="BC97" s="90">
        <f t="shared" si="104"/>
        <v>42616981.450623617</v>
      </c>
      <c r="BD97" s="90">
        <f t="shared" si="104"/>
        <v>42631766.131988376</v>
      </c>
      <c r="BE97" s="90">
        <f t="shared" si="104"/>
        <v>42646550.813353136</v>
      </c>
      <c r="BF97" s="90">
        <f t="shared" si="104"/>
        <v>42661335.494717889</v>
      </c>
      <c r="BG97" s="90">
        <f t="shared" si="104"/>
        <v>42676120.176082648</v>
      </c>
      <c r="BH97" s="90">
        <f t="shared" si="104"/>
        <v>42690904.857447401</v>
      </c>
      <c r="BI97" s="90">
        <f t="shared" si="104"/>
        <v>524442572.23148799</v>
      </c>
      <c r="BJ97" s="90">
        <f t="shared" ref="BJ97:BO97" si="105">BJ86</f>
        <v>536503264.79641724</v>
      </c>
      <c r="BK97" s="90">
        <f t="shared" si="105"/>
        <v>547057691.98669016</v>
      </c>
      <c r="BL97" s="90">
        <f t="shared" si="105"/>
        <v>559115489.17541707</v>
      </c>
      <c r="BM97" s="90">
        <f t="shared" si="105"/>
        <v>572086666.84062898</v>
      </c>
      <c r="BN97" s="90">
        <f t="shared" si="105"/>
        <v>585783390.63775742</v>
      </c>
      <c r="BO97" s="90">
        <f t="shared" si="105"/>
        <v>599139728.48752308</v>
      </c>
    </row>
    <row r="98" spans="1:67">
      <c r="A98" s="11"/>
      <c r="B98" s="11"/>
      <c r="C98" s="11" t="s">
        <v>380</v>
      </c>
      <c r="D98" s="33"/>
      <c r="E98" s="33"/>
      <c r="F98" s="10" t="s">
        <v>358</v>
      </c>
      <c r="G98" s="90">
        <f>'04 Operating Model'!G$85</f>
        <v>0</v>
      </c>
      <c r="H98" s="90">
        <f>'04 Operating Model'!H$85</f>
        <v>0</v>
      </c>
      <c r="I98" s="90">
        <f>'04 Operating Model'!I$85</f>
        <v>0</v>
      </c>
      <c r="J98" s="90">
        <f>'04 Operating Model'!J$85</f>
        <v>0</v>
      </c>
      <c r="K98" s="90">
        <f>'04 Operating Model'!K$85</f>
        <v>0</v>
      </c>
      <c r="L98" s="90">
        <f>'04 Operating Model'!L$85</f>
        <v>0</v>
      </c>
      <c r="M98" s="90">
        <f>'04 Operating Model'!M$85</f>
        <v>0</v>
      </c>
      <c r="N98" s="90">
        <f>'04 Operating Model'!N$85</f>
        <v>0</v>
      </c>
      <c r="O98" s="90">
        <f>'04 Operating Model'!O$85</f>
        <v>0</v>
      </c>
      <c r="P98" s="90">
        <f>'04 Operating Model'!P$85</f>
        <v>0</v>
      </c>
      <c r="Q98" s="90">
        <f>'04 Operating Model'!Q$85</f>
        <v>0</v>
      </c>
      <c r="R98" s="90">
        <f>'04 Operating Model'!R$85</f>
        <v>0</v>
      </c>
      <c r="S98" s="90">
        <f>'04 Operating Model'!S$85</f>
        <v>0</v>
      </c>
      <c r="T98" s="90">
        <f>'04 Operating Model'!T$85</f>
        <v>0</v>
      </c>
      <c r="U98" s="90">
        <f>'04 Operating Model'!U$85</f>
        <v>0</v>
      </c>
      <c r="V98" s="90">
        <f>'04 Operating Model'!V$85</f>
        <v>0</v>
      </c>
      <c r="W98" s="90">
        <f>'04 Operating Model'!W$85</f>
        <v>0</v>
      </c>
      <c r="X98" s="90">
        <f>'04 Operating Model'!X$85</f>
        <v>0</v>
      </c>
      <c r="Y98" s="63">
        <f>'04 Operating Model'!Y$85</f>
        <v>0</v>
      </c>
      <c r="Z98" s="63">
        <f>'04 Operating Model'!Z$85</f>
        <v>0</v>
      </c>
      <c r="AA98" s="63">
        <f>'04 Operating Model'!AA$85</f>
        <v>0</v>
      </c>
      <c r="AB98" s="63">
        <f>'04 Operating Model'!AB$85</f>
        <v>536.73400000000004</v>
      </c>
      <c r="AC98" s="63">
        <f>'04 Operating Model'!AC$85</f>
        <v>711.17254999999977</v>
      </c>
      <c r="AD98" s="90">
        <f>'04 Operating Model'!AD$85</f>
        <v>885.61110000000019</v>
      </c>
      <c r="AE98" s="90">
        <f>'04 Operating Model'!AE$85</f>
        <v>1060.0496500000004</v>
      </c>
      <c r="AF98" s="90">
        <f>'04 Operating Model'!AF$85</f>
        <v>1234.4882000000002</v>
      </c>
      <c r="AG98" s="90">
        <f>'04 Operating Model'!AG$85</f>
        <v>1408.9267500000001</v>
      </c>
      <c r="AH98" s="90">
        <f>'04 Operating Model'!AH$85</f>
        <v>1583.3652999999997</v>
      </c>
      <c r="AI98" s="90">
        <f>'04 Operating Model'!AI$85</f>
        <v>1757.8038499999998</v>
      </c>
      <c r="AJ98" s="90">
        <f>'04 Operating Model'!AJ$85</f>
        <v>1932.2424000000003</v>
      </c>
      <c r="AK98" s="90">
        <f>'04 Operating Model'!AK$85</f>
        <v>2106.6809500000004</v>
      </c>
      <c r="AL98" s="90">
        <f>'04 Operating Model'!AL$85</f>
        <v>2281.1194999999998</v>
      </c>
      <c r="AM98" s="90">
        <f>'04 Operating Model'!AM$85</f>
        <v>2455.5580500000001</v>
      </c>
      <c r="AN98" s="90">
        <f>'04 Operating Model'!AN$85</f>
        <v>2629.9965999999999</v>
      </c>
      <c r="AO98" s="90">
        <f>'04 Operating Model'!AO$85</f>
        <v>2629.9965999999999</v>
      </c>
      <c r="AP98" s="90">
        <f>'04 Operating Model'!AP$85</f>
        <v>2629.9965999999999</v>
      </c>
      <c r="AQ98" s="90">
        <f>'04 Operating Model'!AQ$85</f>
        <v>2629.9965999999999</v>
      </c>
      <c r="AR98" s="90">
        <f>'04 Operating Model'!AR$85</f>
        <v>2629.9965999999999</v>
      </c>
      <c r="AS98" s="90">
        <f>'04 Operating Model'!AS$85</f>
        <v>2629.9965999999999</v>
      </c>
      <c r="AT98" s="90">
        <f>'04 Operating Model'!AT$85</f>
        <v>2629.9965999999999</v>
      </c>
      <c r="AU98" s="90">
        <f>'04 Operating Model'!AU$85</f>
        <v>2629.9965999999999</v>
      </c>
      <c r="AV98" s="90">
        <f>'04 Operating Model'!AV$85</f>
        <v>2629.9965999999999</v>
      </c>
      <c r="AW98" s="90">
        <f>'04 Operating Model'!AW$85</f>
        <v>2629.9965999999999</v>
      </c>
      <c r="AX98" s="90">
        <f>'04 Operating Model'!AX$85</f>
        <v>2629.9965999999999</v>
      </c>
      <c r="AY98" s="90">
        <f>'04 Operating Model'!AY$85</f>
        <v>2629.9965999999999</v>
      </c>
      <c r="AZ98" s="90">
        <f>'04 Operating Model'!AZ$85</f>
        <v>2629.9965999999999</v>
      </c>
      <c r="BA98" s="90">
        <f>'04 Operating Model'!BA$85</f>
        <v>2629.9965999999999</v>
      </c>
      <c r="BB98" s="90">
        <f>'04 Operating Model'!BB$85</f>
        <v>2629.9965999999999</v>
      </c>
      <c r="BC98" s="90">
        <f>'04 Operating Model'!BC$85</f>
        <v>2629.9965999999999</v>
      </c>
      <c r="BD98" s="90">
        <f>'04 Operating Model'!BD$85</f>
        <v>2629.9965999999999</v>
      </c>
      <c r="BE98" s="90">
        <f>'04 Operating Model'!BE$85</f>
        <v>2629.9965999999999</v>
      </c>
      <c r="BF98" s="90">
        <f>'04 Operating Model'!BF$85</f>
        <v>2629.9965999999999</v>
      </c>
      <c r="BG98" s="90">
        <f>'04 Operating Model'!BG$85</f>
        <v>2629.9965999999999</v>
      </c>
      <c r="BH98" s="90">
        <f>'04 Operating Model'!BH$85</f>
        <v>2629.9965999999999</v>
      </c>
      <c r="BI98" s="90">
        <f>'04 Operating Model'!BI$85</f>
        <v>31559.959199999998</v>
      </c>
      <c r="BJ98" s="90">
        <f>'04 Operating Model'!BJ$85</f>
        <v>31559.959199999998</v>
      </c>
      <c r="BK98" s="90">
        <f>'04 Operating Model'!BK$85</f>
        <v>31559.959199999998</v>
      </c>
      <c r="BL98" s="90">
        <f>'04 Operating Model'!BL$85</f>
        <v>31559.959199999998</v>
      </c>
      <c r="BM98" s="90">
        <f>'04 Operating Model'!BM$85</f>
        <v>31559.959199999998</v>
      </c>
      <c r="BN98" s="90">
        <f>'04 Operating Model'!BN$85</f>
        <v>31559.959199999998</v>
      </c>
      <c r="BO98" s="90">
        <f>'04 Operating Model'!BO$85</f>
        <v>31559.959199999998</v>
      </c>
    </row>
    <row r="99" spans="1:67">
      <c r="A99" s="11"/>
      <c r="B99" s="11"/>
      <c r="C99" s="11" t="s">
        <v>438</v>
      </c>
      <c r="D99" s="33"/>
      <c r="E99" s="33"/>
      <c r="F99" s="10" t="s">
        <v>70</v>
      </c>
      <c r="G99" s="90">
        <f>IF(G98=0,0,G97/G98)</f>
        <v>0</v>
      </c>
      <c r="H99" s="90">
        <f t="shared" ref="H99:BI99" si="106">IF(H98=0,0,H97/H98)</f>
        <v>0</v>
      </c>
      <c r="I99" s="90">
        <f t="shared" si="106"/>
        <v>0</v>
      </c>
      <c r="J99" s="90">
        <f t="shared" si="106"/>
        <v>0</v>
      </c>
      <c r="K99" s="90">
        <f t="shared" si="106"/>
        <v>0</v>
      </c>
      <c r="L99" s="90">
        <f t="shared" si="106"/>
        <v>0</v>
      </c>
      <c r="M99" s="90">
        <f t="shared" si="106"/>
        <v>0</v>
      </c>
      <c r="N99" s="90">
        <f t="shared" si="106"/>
        <v>0</v>
      </c>
      <c r="O99" s="90">
        <f t="shared" si="106"/>
        <v>0</v>
      </c>
      <c r="P99" s="90">
        <f t="shared" si="106"/>
        <v>0</v>
      </c>
      <c r="Q99" s="90">
        <f t="shared" si="106"/>
        <v>0</v>
      </c>
      <c r="R99" s="90">
        <f t="shared" si="106"/>
        <v>0</v>
      </c>
      <c r="S99" s="90">
        <f t="shared" si="106"/>
        <v>0</v>
      </c>
      <c r="T99" s="90">
        <f t="shared" si="106"/>
        <v>0</v>
      </c>
      <c r="U99" s="90">
        <f t="shared" si="106"/>
        <v>0</v>
      </c>
      <c r="V99" s="90">
        <f t="shared" si="106"/>
        <v>0</v>
      </c>
      <c r="W99" s="90">
        <f t="shared" si="106"/>
        <v>0</v>
      </c>
      <c r="X99" s="90">
        <f t="shared" si="106"/>
        <v>0</v>
      </c>
      <c r="Y99" s="90">
        <f t="shared" si="106"/>
        <v>0</v>
      </c>
      <c r="Z99" s="90">
        <f t="shared" si="106"/>
        <v>0</v>
      </c>
      <c r="AA99" s="90">
        <f t="shared" si="106"/>
        <v>0</v>
      </c>
      <c r="AB99" s="90">
        <f t="shared" si="106"/>
        <v>68698.30663214653</v>
      </c>
      <c r="AC99" s="90">
        <f t="shared" si="106"/>
        <v>30503.884708895788</v>
      </c>
      <c r="AD99" s="90">
        <f t="shared" si="106"/>
        <v>26386.644700613193</v>
      </c>
      <c r="AE99" s="90">
        <f t="shared" si="106"/>
        <v>24014.15254808321</v>
      </c>
      <c r="AF99" s="90">
        <f t="shared" si="106"/>
        <v>22006.842210508654</v>
      </c>
      <c r="AG99" s="90">
        <f t="shared" si="106"/>
        <v>20496.580147000186</v>
      </c>
      <c r="AH99" s="90">
        <f t="shared" si="106"/>
        <v>19319.087690705444</v>
      </c>
      <c r="AI99" s="90">
        <f t="shared" si="106"/>
        <v>18375.296027263092</v>
      </c>
      <c r="AJ99" s="90">
        <f t="shared" si="106"/>
        <v>17601.911191942279</v>
      </c>
      <c r="AK99" s="90">
        <f t="shared" si="106"/>
        <v>16956.602826165028</v>
      </c>
      <c r="AL99" s="90">
        <f t="shared" si="106"/>
        <v>16409.98868103608</v>
      </c>
      <c r="AM99" s="90">
        <f t="shared" si="106"/>
        <v>15941.035561991019</v>
      </c>
      <c r="AN99" s="90">
        <f t="shared" si="106"/>
        <v>15534.290509758051</v>
      </c>
      <c r="AO99" s="90">
        <f t="shared" si="106"/>
        <v>15539.876742291375</v>
      </c>
      <c r="AP99" s="90">
        <f t="shared" si="106"/>
        <v>15545.462974824697</v>
      </c>
      <c r="AQ99" s="90">
        <f t="shared" si="106"/>
        <v>15839.87699061093</v>
      </c>
      <c r="AR99" s="90">
        <f t="shared" si="106"/>
        <v>15845.480798559085</v>
      </c>
      <c r="AS99" s="90">
        <f t="shared" si="106"/>
        <v>15851.084606507235</v>
      </c>
      <c r="AT99" s="90">
        <f t="shared" si="106"/>
        <v>15856.688414455386</v>
      </c>
      <c r="AU99" s="90">
        <f t="shared" si="106"/>
        <v>15862.292222403539</v>
      </c>
      <c r="AV99" s="90">
        <f t="shared" si="106"/>
        <v>15867.896030351694</v>
      </c>
      <c r="AW99" s="90">
        <f t="shared" si="106"/>
        <v>15873.499838299847</v>
      </c>
      <c r="AX99" s="90">
        <f t="shared" si="106"/>
        <v>15879.103646247999</v>
      </c>
      <c r="AY99" s="90">
        <f t="shared" si="106"/>
        <v>15884.707454196152</v>
      </c>
      <c r="AZ99" s="90">
        <f t="shared" si="106"/>
        <v>15890.311262144303</v>
      </c>
      <c r="BA99" s="90">
        <f t="shared" si="106"/>
        <v>15895.915070092457</v>
      </c>
      <c r="BB99" s="90">
        <f t="shared" si="106"/>
        <v>15901.51887804061</v>
      </c>
      <c r="BC99" s="90">
        <f t="shared" si="106"/>
        <v>16204.196404901671</v>
      </c>
      <c r="BD99" s="90">
        <f t="shared" si="106"/>
        <v>16209.817964018805</v>
      </c>
      <c r="BE99" s="90">
        <f t="shared" si="106"/>
        <v>16215.439523135938</v>
      </c>
      <c r="BF99" s="90">
        <f t="shared" si="106"/>
        <v>16221.061082253069</v>
      </c>
      <c r="BG99" s="90">
        <f t="shared" si="106"/>
        <v>16226.682641370202</v>
      </c>
      <c r="BH99" s="90">
        <f t="shared" si="106"/>
        <v>16232.304200487331</v>
      </c>
      <c r="BI99" s="90">
        <f t="shared" si="106"/>
        <v>16617.339994263617</v>
      </c>
      <c r="BJ99" s="90">
        <f t="shared" ref="BJ99" si="107">IF(BJ98=0,0,BJ97/BJ98)</f>
        <v>16999.491710255992</v>
      </c>
      <c r="BK99" s="90">
        <f t="shared" ref="BK99" si="108">IF(BK98=0,0,BK97/BK98)</f>
        <v>17333.916324793292</v>
      </c>
      <c r="BL99" s="90">
        <f t="shared" ref="BL99" si="109">IF(BL98=0,0,BL97/BL98)</f>
        <v>17715.976298708811</v>
      </c>
      <c r="BM99" s="90">
        <f t="shared" ref="BM99" si="110">IF(BM98=0,0,BM97/BM98)</f>
        <v>18126.977389775238</v>
      </c>
      <c r="BN99" s="90">
        <f t="shared" ref="BN99" si="111">IF(BN98=0,0,BN97/BN98)</f>
        <v>18560.967931725256</v>
      </c>
      <c r="BO99" s="90">
        <f t="shared" ref="BO99" si="112">IF(BO98=0,0,BO97/BO98)</f>
        <v>18984.173100183321</v>
      </c>
    </row>
    <row r="100" spans="1:67">
      <c r="A100" s="11"/>
      <c r="B100" s="11"/>
      <c r="C100" s="11"/>
      <c r="D100" s="33"/>
      <c r="E100" s="33"/>
      <c r="F100" s="4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c r="BM100" s="33"/>
      <c r="BN100" s="33"/>
      <c r="BO100" s="33"/>
    </row>
    <row r="101" spans="1:67">
      <c r="A101" s="11"/>
      <c r="B101" s="22" t="s">
        <v>443</v>
      </c>
      <c r="C101" s="11"/>
      <c r="D101" s="33"/>
      <c r="E101" s="33"/>
      <c r="F101" s="43"/>
      <c r="G101" s="33"/>
      <c r="H101" s="33"/>
      <c r="I101" s="33"/>
      <c r="J101" s="33"/>
      <c r="K101" s="33"/>
      <c r="L101" s="33"/>
      <c r="M101" s="33"/>
      <c r="N101" s="33"/>
      <c r="O101" s="33"/>
      <c r="P101" s="33"/>
      <c r="Q101" s="33"/>
      <c r="R101" s="33"/>
      <c r="S101" s="33"/>
      <c r="T101" s="33"/>
      <c r="U101" s="33"/>
      <c r="V101" s="33"/>
      <c r="W101" s="33"/>
      <c r="X101" s="33"/>
      <c r="Y101" s="33"/>
      <c r="Z101" s="33"/>
      <c r="AA101" s="33"/>
      <c r="AB101" s="33"/>
      <c r="AC101" s="33"/>
      <c r="AD101" s="33"/>
      <c r="AE101" s="33"/>
      <c r="AF101" s="33"/>
      <c r="AG101" s="33"/>
      <c r="AH101" s="33"/>
      <c r="AI101" s="33"/>
      <c r="AJ101" s="33"/>
      <c r="AK101" s="33"/>
      <c r="AL101" s="33"/>
      <c r="AM101" s="33"/>
      <c r="AN101" s="33"/>
      <c r="AO101" s="33"/>
      <c r="AP101" s="33"/>
      <c r="AQ101" s="33"/>
      <c r="AR101" s="33"/>
      <c r="AS101" s="33"/>
      <c r="AT101" s="33"/>
      <c r="AU101" s="33"/>
      <c r="AV101" s="33"/>
      <c r="AW101" s="33"/>
      <c r="AX101" s="33"/>
      <c r="AY101" s="33"/>
      <c r="AZ101" s="33"/>
      <c r="BA101" s="33"/>
      <c r="BB101" s="33"/>
      <c r="BC101" s="33"/>
      <c r="BD101" s="33"/>
      <c r="BE101" s="33"/>
      <c r="BF101" s="33"/>
      <c r="BG101" s="33"/>
      <c r="BH101" s="33"/>
      <c r="BI101" s="33"/>
      <c r="BJ101" s="33"/>
      <c r="BK101" s="33"/>
      <c r="BL101" s="33"/>
      <c r="BM101" s="33"/>
      <c r="BN101" s="33"/>
      <c r="BO101" s="33"/>
    </row>
    <row r="102" spans="1:67">
      <c r="A102" s="11"/>
      <c r="B102" s="11"/>
      <c r="C102" s="11" t="s">
        <v>72</v>
      </c>
      <c r="D102" s="33"/>
      <c r="E102" s="33"/>
      <c r="F102" s="10" t="s">
        <v>7</v>
      </c>
      <c r="G102" s="6">
        <f>IF('04 Operating Model'!G$85=0,0,'04 Operating Model'!G$80/'04 Operating Model'!G$85)</f>
        <v>0</v>
      </c>
      <c r="H102" s="6">
        <f>IF('04 Operating Model'!H$85=0,0,'04 Operating Model'!H$80/'04 Operating Model'!H$85)</f>
        <v>0</v>
      </c>
      <c r="I102" s="6">
        <f>IF('04 Operating Model'!I$85=0,0,'04 Operating Model'!I$80/'04 Operating Model'!I$85)</f>
        <v>0</v>
      </c>
      <c r="J102" s="6">
        <f>IF('04 Operating Model'!J$85=0,0,'04 Operating Model'!J$80/'04 Operating Model'!J$85)</f>
        <v>0</v>
      </c>
      <c r="K102" s="6">
        <f>IF('04 Operating Model'!K$85=0,0,'04 Operating Model'!K$80/'04 Operating Model'!K$85)</f>
        <v>0</v>
      </c>
      <c r="L102" s="6">
        <f>IF('04 Operating Model'!L$85=0,0,'04 Operating Model'!L$80/'04 Operating Model'!L$85)</f>
        <v>0</v>
      </c>
      <c r="M102" s="6">
        <f>IF('04 Operating Model'!M$85=0,0,'04 Operating Model'!M$80/'04 Operating Model'!M$85)</f>
        <v>0</v>
      </c>
      <c r="N102" s="6">
        <f>IF('04 Operating Model'!N$85=0,0,'04 Operating Model'!N$80/'04 Operating Model'!N$85)</f>
        <v>0</v>
      </c>
      <c r="O102" s="6">
        <f>IF('04 Operating Model'!O$85=0,0,'04 Operating Model'!O$80/'04 Operating Model'!O$85)</f>
        <v>0</v>
      </c>
      <c r="P102" s="6">
        <f>IF('04 Operating Model'!P$85=0,0,'04 Operating Model'!P$80/'04 Operating Model'!P$85)</f>
        <v>0</v>
      </c>
      <c r="Q102" s="6">
        <f>IF('04 Operating Model'!Q$85=0,0,'04 Operating Model'!Q$80/'04 Operating Model'!Q$85)</f>
        <v>0</v>
      </c>
      <c r="R102" s="6">
        <f>IF('04 Operating Model'!R$85=0,0,'04 Operating Model'!R$80/'04 Operating Model'!R$85)</f>
        <v>0</v>
      </c>
      <c r="S102" s="6">
        <f>IF('04 Operating Model'!S$85=0,0,'04 Operating Model'!S$80/'04 Operating Model'!S$85)</f>
        <v>0</v>
      </c>
      <c r="T102" s="6">
        <f>IF('04 Operating Model'!T$85=0,0,'04 Operating Model'!T$80/'04 Operating Model'!T$85)</f>
        <v>0</v>
      </c>
      <c r="U102" s="6">
        <f>IF('04 Operating Model'!U$85=0,0,'04 Operating Model'!U$80/'04 Operating Model'!U$85)</f>
        <v>0</v>
      </c>
      <c r="V102" s="6">
        <f>IF('04 Operating Model'!V$85=0,0,'04 Operating Model'!V$80/'04 Operating Model'!V$85)</f>
        <v>0</v>
      </c>
      <c r="W102" s="6">
        <f>IF('04 Operating Model'!W$85=0,0,'04 Operating Model'!W$80/'04 Operating Model'!W$85)</f>
        <v>0</v>
      </c>
      <c r="X102" s="6">
        <f>IF('04 Operating Model'!X$85=0,0,'04 Operating Model'!X$80/'04 Operating Model'!X$85)</f>
        <v>0</v>
      </c>
      <c r="Y102" s="6">
        <f>IF('04 Operating Model'!Y$85=0,0,'04 Operating Model'!Y$80/'04 Operating Model'!Y$85)</f>
        <v>0</v>
      </c>
      <c r="Z102" s="6">
        <f>IF('04 Operating Model'!Z$85=0,0,'04 Operating Model'!Z$80/'04 Operating Model'!Z$85)</f>
        <v>0</v>
      </c>
      <c r="AA102" s="6">
        <f>IF('04 Operating Model'!AA$85=0,0,'04 Operating Model'!AA$80/'04 Operating Model'!AA$85)</f>
        <v>0</v>
      </c>
      <c r="AB102" s="6">
        <f>IF('04 Operating Model'!AB$85=0,0,'04 Operating Model'!AB$80/'04 Operating Model'!AB$85)</f>
        <v>0.48284625158831007</v>
      </c>
      <c r="AC102" s="6">
        <f>IF('04 Operating Model'!AC$85=0,0,'04 Operating Model'!AC$80/'04 Operating Model'!AC$85)</f>
        <v>0.48284625158831013</v>
      </c>
      <c r="AD102" s="6">
        <f>IF('04 Operating Model'!AD$85=0,0,'04 Operating Model'!AD$80/'04 Operating Model'!AD$85)</f>
        <v>0.48284625158831002</v>
      </c>
      <c r="AE102" s="6">
        <f>IF('04 Operating Model'!AE$85=0,0,'04 Operating Model'!AE$80/'04 Operating Model'!AE$85)</f>
        <v>0.48284625158831002</v>
      </c>
      <c r="AF102" s="6">
        <f>IF('04 Operating Model'!AF$85=0,0,'04 Operating Model'!AF$80/'04 Operating Model'!AF$85)</f>
        <v>0.48284625158831002</v>
      </c>
      <c r="AG102" s="6">
        <f>IF('04 Operating Model'!AG$85=0,0,'04 Operating Model'!AG$80/'04 Operating Model'!AG$85)</f>
        <v>0.48284625158831007</v>
      </c>
      <c r="AH102" s="6">
        <f>IF('04 Operating Model'!AH$85=0,0,'04 Operating Model'!AH$80/'04 Operating Model'!AH$85)</f>
        <v>0.48284625158831007</v>
      </c>
      <c r="AI102" s="6">
        <f>IF('04 Operating Model'!AI$85=0,0,'04 Operating Model'!AI$80/'04 Operating Model'!AI$85)</f>
        <v>0.48284625158831007</v>
      </c>
      <c r="AJ102" s="6">
        <f>IF('04 Operating Model'!AJ$85=0,0,'04 Operating Model'!AJ$80/'04 Operating Model'!AJ$85)</f>
        <v>0.48284625158831002</v>
      </c>
      <c r="AK102" s="6">
        <f>IF('04 Operating Model'!AK$85=0,0,'04 Operating Model'!AK$80/'04 Operating Model'!AK$85)</f>
        <v>0.48284625158831007</v>
      </c>
      <c r="AL102" s="6">
        <f>IF('04 Operating Model'!AL$85=0,0,'04 Operating Model'!AL$80/'04 Operating Model'!AL$85)</f>
        <v>0.48284625158831013</v>
      </c>
      <c r="AM102" s="6">
        <f>IF('04 Operating Model'!AM$85=0,0,'04 Operating Model'!AM$80/'04 Operating Model'!AM$85)</f>
        <v>0.48284625158831007</v>
      </c>
      <c r="AN102" s="6">
        <f>IF('04 Operating Model'!AN$85=0,0,'04 Operating Model'!AN$80/'04 Operating Model'!AN$85)</f>
        <v>0.48284625158831007</v>
      </c>
      <c r="AO102" s="6">
        <f>IF('04 Operating Model'!AO$85=0,0,'04 Operating Model'!AO$80/'04 Operating Model'!AO$85)</f>
        <v>0.48284625158831007</v>
      </c>
      <c r="AP102" s="6">
        <f>IF('04 Operating Model'!AP$85=0,0,'04 Operating Model'!AP$80/'04 Operating Model'!AP$85)</f>
        <v>0.48284625158831007</v>
      </c>
      <c r="AQ102" s="6">
        <f>IF('04 Operating Model'!AQ$85=0,0,'04 Operating Model'!AQ$80/'04 Operating Model'!AQ$85)</f>
        <v>0.48284625158831007</v>
      </c>
      <c r="AR102" s="6">
        <f>IF('04 Operating Model'!AR$85=0,0,'04 Operating Model'!AR$80/'04 Operating Model'!AR$85)</f>
        <v>0.48284625158831007</v>
      </c>
      <c r="AS102" s="6">
        <f>IF('04 Operating Model'!AS$85=0,0,'04 Operating Model'!AS$80/'04 Operating Model'!AS$85)</f>
        <v>0.48284625158831007</v>
      </c>
      <c r="AT102" s="6">
        <f>IF('04 Operating Model'!AT$85=0,0,'04 Operating Model'!AT$80/'04 Operating Model'!AT$85)</f>
        <v>0.48284625158831007</v>
      </c>
      <c r="AU102" s="6">
        <f>IF('04 Operating Model'!AU$85=0,0,'04 Operating Model'!AU$80/'04 Operating Model'!AU$85)</f>
        <v>0.48284625158831007</v>
      </c>
      <c r="AV102" s="6">
        <f>IF('04 Operating Model'!AV$85=0,0,'04 Operating Model'!AV$80/'04 Operating Model'!AV$85)</f>
        <v>0.48284625158831007</v>
      </c>
      <c r="AW102" s="6">
        <f>IF('04 Operating Model'!AW$85=0,0,'04 Operating Model'!AW$80/'04 Operating Model'!AW$85)</f>
        <v>0.48284625158831007</v>
      </c>
      <c r="AX102" s="6">
        <f>IF('04 Operating Model'!AX$85=0,0,'04 Operating Model'!AX$80/'04 Operating Model'!AX$85)</f>
        <v>0.48284625158831007</v>
      </c>
      <c r="AY102" s="6">
        <f>IF('04 Operating Model'!AY$85=0,0,'04 Operating Model'!AY$80/'04 Operating Model'!AY$85)</f>
        <v>0.48284625158831007</v>
      </c>
      <c r="AZ102" s="6">
        <f>IF('04 Operating Model'!AZ$85=0,0,'04 Operating Model'!AZ$80/'04 Operating Model'!AZ$85)</f>
        <v>0.48284625158831007</v>
      </c>
      <c r="BA102" s="6">
        <f>IF('04 Operating Model'!BA$85=0,0,'04 Operating Model'!BA$80/'04 Operating Model'!BA$85)</f>
        <v>0.48284625158831007</v>
      </c>
      <c r="BB102" s="6">
        <f>IF('04 Operating Model'!BB$85=0,0,'04 Operating Model'!BB$80/'04 Operating Model'!BB$85)</f>
        <v>0.48284625158831007</v>
      </c>
      <c r="BC102" s="6">
        <f>IF('04 Operating Model'!BC$85=0,0,'04 Operating Model'!BC$80/'04 Operating Model'!BC$85)</f>
        <v>0.48284625158831007</v>
      </c>
      <c r="BD102" s="6">
        <f>IF('04 Operating Model'!BD$85=0,0,'04 Operating Model'!BD$80/'04 Operating Model'!BD$85)</f>
        <v>0.48284625158831007</v>
      </c>
      <c r="BE102" s="6">
        <f>IF('04 Operating Model'!BE$85=0,0,'04 Operating Model'!BE$80/'04 Operating Model'!BE$85)</f>
        <v>0.48284625158831007</v>
      </c>
      <c r="BF102" s="6">
        <f>IF('04 Operating Model'!BF$85=0,0,'04 Operating Model'!BF$80/'04 Operating Model'!BF$85)</f>
        <v>0.48284625158831007</v>
      </c>
      <c r="BG102" s="6">
        <f>IF('04 Operating Model'!BG$85=0,0,'04 Operating Model'!BG$80/'04 Operating Model'!BG$85)</f>
        <v>0.48284625158831007</v>
      </c>
      <c r="BH102" s="6">
        <f>IF('04 Operating Model'!BH$85=0,0,'04 Operating Model'!BH$80/'04 Operating Model'!BH$85)</f>
        <v>0.48284625158831007</v>
      </c>
      <c r="BI102" s="6">
        <f>IF('04 Operating Model'!BI$85=0,0,'04 Operating Model'!BI$80/'04 Operating Model'!BI$85)</f>
        <v>0.48284625158831007</v>
      </c>
      <c r="BJ102" s="6">
        <f>IF('04 Operating Model'!BJ$85=0,0,'04 Operating Model'!BJ$80/'04 Operating Model'!BJ$85)</f>
        <v>0.48284625158831007</v>
      </c>
      <c r="BK102" s="6">
        <f>IF('04 Operating Model'!BK$85=0,0,'04 Operating Model'!BK$80/'04 Operating Model'!BK$85)</f>
        <v>0.48284625158831007</v>
      </c>
      <c r="BL102" s="6">
        <f>IF('04 Operating Model'!BL$85=0,0,'04 Operating Model'!BL$80/'04 Operating Model'!BL$85)</f>
        <v>0.48284625158831007</v>
      </c>
      <c r="BM102" s="6">
        <f>IF('04 Operating Model'!BM$85=0,0,'04 Operating Model'!BM$80/'04 Operating Model'!BM$85)</f>
        <v>0.48284625158831007</v>
      </c>
      <c r="BN102" s="6">
        <f>IF('04 Operating Model'!BN$85=0,0,'04 Operating Model'!BN$80/'04 Operating Model'!BN$85)</f>
        <v>0.48284625158831007</v>
      </c>
      <c r="BO102" s="6">
        <f>IF('04 Operating Model'!BO$85=0,0,'04 Operating Model'!BO$80/'04 Operating Model'!BO$85)</f>
        <v>0.48284625158831007</v>
      </c>
    </row>
    <row r="103" spans="1:67">
      <c r="A103" s="11"/>
      <c r="B103" s="11"/>
      <c r="C103" s="11" t="s">
        <v>252</v>
      </c>
      <c r="D103" s="33"/>
      <c r="E103" s="33"/>
      <c r="F103" s="10" t="s">
        <v>7</v>
      </c>
      <c r="G103" s="6">
        <f>IF('04 Operating Model'!G$85=0,0,'04 Operating Model'!G$81/'04 Operating Model'!G$85)</f>
        <v>0</v>
      </c>
      <c r="H103" s="6">
        <f>IF('04 Operating Model'!H$85=0,0,'04 Operating Model'!H$81/'04 Operating Model'!H$85)</f>
        <v>0</v>
      </c>
      <c r="I103" s="6">
        <f>IF('04 Operating Model'!I$85=0,0,'04 Operating Model'!I$81/'04 Operating Model'!I$85)</f>
        <v>0</v>
      </c>
      <c r="J103" s="6">
        <f>IF('04 Operating Model'!J$85=0,0,'04 Operating Model'!J$81/'04 Operating Model'!J$85)</f>
        <v>0</v>
      </c>
      <c r="K103" s="6">
        <f>IF('04 Operating Model'!K$85=0,0,'04 Operating Model'!K$81/'04 Operating Model'!K$85)</f>
        <v>0</v>
      </c>
      <c r="L103" s="6">
        <f>IF('04 Operating Model'!L$85=0,0,'04 Operating Model'!L$81/'04 Operating Model'!L$85)</f>
        <v>0</v>
      </c>
      <c r="M103" s="6">
        <f>IF('04 Operating Model'!M$85=0,0,'04 Operating Model'!M$81/'04 Operating Model'!M$85)</f>
        <v>0</v>
      </c>
      <c r="N103" s="6">
        <f>IF('04 Operating Model'!N$85=0,0,'04 Operating Model'!N$81/'04 Operating Model'!N$85)</f>
        <v>0</v>
      </c>
      <c r="O103" s="6">
        <f>IF('04 Operating Model'!O$85=0,0,'04 Operating Model'!O$81/'04 Operating Model'!O$85)</f>
        <v>0</v>
      </c>
      <c r="P103" s="6">
        <f>IF('04 Operating Model'!P$85=0,0,'04 Operating Model'!P$81/'04 Operating Model'!P$85)</f>
        <v>0</v>
      </c>
      <c r="Q103" s="6">
        <f>IF('04 Operating Model'!Q$85=0,0,'04 Operating Model'!Q$81/'04 Operating Model'!Q$85)</f>
        <v>0</v>
      </c>
      <c r="R103" s="6">
        <f>IF('04 Operating Model'!R$85=0,0,'04 Operating Model'!R$81/'04 Operating Model'!R$85)</f>
        <v>0</v>
      </c>
      <c r="S103" s="6">
        <f>IF('04 Operating Model'!S$85=0,0,'04 Operating Model'!S$81/'04 Operating Model'!S$85)</f>
        <v>0</v>
      </c>
      <c r="T103" s="6">
        <f>IF('04 Operating Model'!T$85=0,0,'04 Operating Model'!T$81/'04 Operating Model'!T$85)</f>
        <v>0</v>
      </c>
      <c r="U103" s="6">
        <f>IF('04 Operating Model'!U$85=0,0,'04 Operating Model'!U$81/'04 Operating Model'!U$85)</f>
        <v>0</v>
      </c>
      <c r="V103" s="6">
        <f>IF('04 Operating Model'!V$85=0,0,'04 Operating Model'!V$81/'04 Operating Model'!V$85)</f>
        <v>0</v>
      </c>
      <c r="W103" s="6">
        <f>IF('04 Operating Model'!W$85=0,0,'04 Operating Model'!W$81/'04 Operating Model'!W$85)</f>
        <v>0</v>
      </c>
      <c r="X103" s="6">
        <f>IF('04 Operating Model'!X$85=0,0,'04 Operating Model'!X$81/'04 Operating Model'!X$85)</f>
        <v>0</v>
      </c>
      <c r="Y103" s="6">
        <f>IF('04 Operating Model'!Y$85=0,0,'04 Operating Model'!Y$81/'04 Operating Model'!Y$85)</f>
        <v>0</v>
      </c>
      <c r="Z103" s="6">
        <f>IF('04 Operating Model'!Z$85=0,0,'04 Operating Model'!Z$81/'04 Operating Model'!Z$85)</f>
        <v>0</v>
      </c>
      <c r="AA103" s="6">
        <f>IF('04 Operating Model'!AA$85=0,0,'04 Operating Model'!AA$81/'04 Operating Model'!AA$85)</f>
        <v>0</v>
      </c>
      <c r="AB103" s="6">
        <f>IF('04 Operating Model'!AB$85=0,0,'04 Operating Model'!AB$81/'04 Operating Model'!AB$85)</f>
        <v>0</v>
      </c>
      <c r="AC103" s="6">
        <f>IF('04 Operating Model'!AC$85=0,0,'04 Operating Model'!AC$81/'04 Operating Model'!AC$85)</f>
        <v>0</v>
      </c>
      <c r="AD103" s="6">
        <f>IF('04 Operating Model'!AD$85=0,0,'04 Operating Model'!AD$81/'04 Operating Model'!AD$85)</f>
        <v>0</v>
      </c>
      <c r="AE103" s="6">
        <f>IF('04 Operating Model'!AE$85=0,0,'04 Operating Model'!AE$81/'04 Operating Model'!AE$85)</f>
        <v>0</v>
      </c>
      <c r="AF103" s="6">
        <f>IF('04 Operating Model'!AF$85=0,0,'04 Operating Model'!AF$81/'04 Operating Model'!AF$85)</f>
        <v>0</v>
      </c>
      <c r="AG103" s="6">
        <f>IF('04 Operating Model'!AG$85=0,0,'04 Operating Model'!AG$81/'04 Operating Model'!AG$85)</f>
        <v>0</v>
      </c>
      <c r="AH103" s="6">
        <f>IF('04 Operating Model'!AH$85=0,0,'04 Operating Model'!AH$81/'04 Operating Model'!AH$85)</f>
        <v>0</v>
      </c>
      <c r="AI103" s="6">
        <f>IF('04 Operating Model'!AI$85=0,0,'04 Operating Model'!AI$81/'04 Operating Model'!AI$85)</f>
        <v>0</v>
      </c>
      <c r="AJ103" s="6">
        <f>IF('04 Operating Model'!AJ$85=0,0,'04 Operating Model'!AJ$81/'04 Operating Model'!AJ$85)</f>
        <v>0</v>
      </c>
      <c r="AK103" s="6">
        <f>IF('04 Operating Model'!AK$85=0,0,'04 Operating Model'!AK$81/'04 Operating Model'!AK$85)</f>
        <v>0</v>
      </c>
      <c r="AL103" s="6">
        <f>IF('04 Operating Model'!AL$85=0,0,'04 Operating Model'!AL$81/'04 Operating Model'!AL$85)</f>
        <v>0</v>
      </c>
      <c r="AM103" s="6">
        <f>IF('04 Operating Model'!AM$85=0,0,'04 Operating Model'!AM$81/'04 Operating Model'!AM$85)</f>
        <v>0</v>
      </c>
      <c r="AN103" s="6">
        <f>IF('04 Operating Model'!AN$85=0,0,'04 Operating Model'!AN$81/'04 Operating Model'!AN$85)</f>
        <v>0</v>
      </c>
      <c r="AO103" s="6">
        <f>IF('04 Operating Model'!AO$85=0,0,'04 Operating Model'!AO$81/'04 Operating Model'!AO$85)</f>
        <v>0</v>
      </c>
      <c r="AP103" s="6">
        <f>IF('04 Operating Model'!AP$85=0,0,'04 Operating Model'!AP$81/'04 Operating Model'!AP$85)</f>
        <v>0</v>
      </c>
      <c r="AQ103" s="6">
        <f>IF('04 Operating Model'!AQ$85=0,0,'04 Operating Model'!AQ$81/'04 Operating Model'!AQ$85)</f>
        <v>0</v>
      </c>
      <c r="AR103" s="6">
        <f>IF('04 Operating Model'!AR$85=0,0,'04 Operating Model'!AR$81/'04 Operating Model'!AR$85)</f>
        <v>0</v>
      </c>
      <c r="AS103" s="6">
        <f>IF('04 Operating Model'!AS$85=0,0,'04 Operating Model'!AS$81/'04 Operating Model'!AS$85)</f>
        <v>0</v>
      </c>
      <c r="AT103" s="6">
        <f>IF('04 Operating Model'!AT$85=0,0,'04 Operating Model'!AT$81/'04 Operating Model'!AT$85)</f>
        <v>0</v>
      </c>
      <c r="AU103" s="6">
        <f>IF('04 Operating Model'!AU$85=0,0,'04 Operating Model'!AU$81/'04 Operating Model'!AU$85)</f>
        <v>0</v>
      </c>
      <c r="AV103" s="6">
        <f>IF('04 Operating Model'!AV$85=0,0,'04 Operating Model'!AV$81/'04 Operating Model'!AV$85)</f>
        <v>0</v>
      </c>
      <c r="AW103" s="6">
        <f>IF('04 Operating Model'!AW$85=0,0,'04 Operating Model'!AW$81/'04 Operating Model'!AW$85)</f>
        <v>0</v>
      </c>
      <c r="AX103" s="6">
        <f>IF('04 Operating Model'!AX$85=0,0,'04 Operating Model'!AX$81/'04 Operating Model'!AX$85)</f>
        <v>0</v>
      </c>
      <c r="AY103" s="6">
        <f>IF('04 Operating Model'!AY$85=0,0,'04 Operating Model'!AY$81/'04 Operating Model'!AY$85)</f>
        <v>0</v>
      </c>
      <c r="AZ103" s="6">
        <f>IF('04 Operating Model'!AZ$85=0,0,'04 Operating Model'!AZ$81/'04 Operating Model'!AZ$85)</f>
        <v>0</v>
      </c>
      <c r="BA103" s="6">
        <f>IF('04 Operating Model'!BA$85=0,0,'04 Operating Model'!BA$81/'04 Operating Model'!BA$85)</f>
        <v>0</v>
      </c>
      <c r="BB103" s="6">
        <f>IF('04 Operating Model'!BB$85=0,0,'04 Operating Model'!BB$81/'04 Operating Model'!BB$85)</f>
        <v>0</v>
      </c>
      <c r="BC103" s="6">
        <f>IF('04 Operating Model'!BC$85=0,0,'04 Operating Model'!BC$81/'04 Operating Model'!BC$85)</f>
        <v>0</v>
      </c>
      <c r="BD103" s="6">
        <f>IF('04 Operating Model'!BD$85=0,0,'04 Operating Model'!BD$81/'04 Operating Model'!BD$85)</f>
        <v>0</v>
      </c>
      <c r="BE103" s="6">
        <f>IF('04 Operating Model'!BE$85=0,0,'04 Operating Model'!BE$81/'04 Operating Model'!BE$85)</f>
        <v>0</v>
      </c>
      <c r="BF103" s="6">
        <f>IF('04 Operating Model'!BF$85=0,0,'04 Operating Model'!BF$81/'04 Operating Model'!BF$85)</f>
        <v>0</v>
      </c>
      <c r="BG103" s="6">
        <f>IF('04 Operating Model'!BG$85=0,0,'04 Operating Model'!BG$81/'04 Operating Model'!BG$85)</f>
        <v>0</v>
      </c>
      <c r="BH103" s="6">
        <f>IF('04 Operating Model'!BH$85=0,0,'04 Operating Model'!BH$81/'04 Operating Model'!BH$85)</f>
        <v>0</v>
      </c>
      <c r="BI103" s="6">
        <f>IF('04 Operating Model'!BI$85=0,0,'04 Operating Model'!BI$81/'04 Operating Model'!BI$85)</f>
        <v>0</v>
      </c>
      <c r="BJ103" s="6">
        <f>IF('04 Operating Model'!BJ$85=0,0,'04 Operating Model'!BJ$81/'04 Operating Model'!BJ$85)</f>
        <v>0</v>
      </c>
      <c r="BK103" s="6">
        <f>IF('04 Operating Model'!BK$85=0,0,'04 Operating Model'!BK$81/'04 Operating Model'!BK$85)</f>
        <v>0</v>
      </c>
      <c r="BL103" s="6">
        <f>IF('04 Operating Model'!BL$85=0,0,'04 Operating Model'!BL$81/'04 Operating Model'!BL$85)</f>
        <v>0</v>
      </c>
      <c r="BM103" s="6">
        <f>IF('04 Operating Model'!BM$85=0,0,'04 Operating Model'!BM$81/'04 Operating Model'!BM$85)</f>
        <v>0</v>
      </c>
      <c r="BN103" s="6">
        <f>IF('04 Operating Model'!BN$85=0,0,'04 Operating Model'!BN$81/'04 Operating Model'!BN$85)</f>
        <v>0</v>
      </c>
      <c r="BO103" s="6">
        <f>IF('04 Operating Model'!BO$85=0,0,'04 Operating Model'!BO$81/'04 Operating Model'!BO$85)</f>
        <v>0</v>
      </c>
    </row>
    <row r="104" spans="1:67">
      <c r="A104" s="11"/>
      <c r="B104" s="11"/>
      <c r="C104" s="11" t="s">
        <v>253</v>
      </c>
      <c r="D104" s="33"/>
      <c r="E104" s="33"/>
      <c r="F104" s="10" t="s">
        <v>7</v>
      </c>
      <c r="G104" s="6">
        <f>IF('04 Operating Model'!G$85=0,0,'04 Operating Model'!G$82/'04 Operating Model'!G$85)</f>
        <v>0</v>
      </c>
      <c r="H104" s="6">
        <f>IF('04 Operating Model'!H$85=0,0,'04 Operating Model'!H$82/'04 Operating Model'!H$85)</f>
        <v>0</v>
      </c>
      <c r="I104" s="6">
        <f>IF('04 Operating Model'!I$85=0,0,'04 Operating Model'!I$82/'04 Operating Model'!I$85)</f>
        <v>0</v>
      </c>
      <c r="J104" s="6">
        <f>IF('04 Operating Model'!J$85=0,0,'04 Operating Model'!J$82/'04 Operating Model'!J$85)</f>
        <v>0</v>
      </c>
      <c r="K104" s="6">
        <f>IF('04 Operating Model'!K$85=0,0,'04 Operating Model'!K$82/'04 Operating Model'!K$85)</f>
        <v>0</v>
      </c>
      <c r="L104" s="6">
        <f>IF('04 Operating Model'!L$85=0,0,'04 Operating Model'!L$82/'04 Operating Model'!L$85)</f>
        <v>0</v>
      </c>
      <c r="M104" s="6">
        <f>IF('04 Operating Model'!M$85=0,0,'04 Operating Model'!M$82/'04 Operating Model'!M$85)</f>
        <v>0</v>
      </c>
      <c r="N104" s="6">
        <f>IF('04 Operating Model'!N$85=0,0,'04 Operating Model'!N$82/'04 Operating Model'!N$85)</f>
        <v>0</v>
      </c>
      <c r="O104" s="6">
        <f>IF('04 Operating Model'!O$85=0,0,'04 Operating Model'!O$82/'04 Operating Model'!O$85)</f>
        <v>0</v>
      </c>
      <c r="P104" s="6">
        <f>IF('04 Operating Model'!P$85=0,0,'04 Operating Model'!P$82/'04 Operating Model'!P$85)</f>
        <v>0</v>
      </c>
      <c r="Q104" s="6">
        <f>IF('04 Operating Model'!Q$85=0,0,'04 Operating Model'!Q$82/'04 Operating Model'!Q$85)</f>
        <v>0</v>
      </c>
      <c r="R104" s="6">
        <f>IF('04 Operating Model'!R$85=0,0,'04 Operating Model'!R$82/'04 Operating Model'!R$85)</f>
        <v>0</v>
      </c>
      <c r="S104" s="6">
        <f>IF('04 Operating Model'!S$85=0,0,'04 Operating Model'!S$82/'04 Operating Model'!S$85)</f>
        <v>0</v>
      </c>
      <c r="T104" s="6">
        <f>IF('04 Operating Model'!T$85=0,0,'04 Operating Model'!T$82/'04 Operating Model'!T$85)</f>
        <v>0</v>
      </c>
      <c r="U104" s="6">
        <f>IF('04 Operating Model'!U$85=0,0,'04 Operating Model'!U$82/'04 Operating Model'!U$85)</f>
        <v>0</v>
      </c>
      <c r="V104" s="6">
        <f>IF('04 Operating Model'!V$85=0,0,'04 Operating Model'!V$82/'04 Operating Model'!V$85)</f>
        <v>0</v>
      </c>
      <c r="W104" s="6">
        <f>IF('04 Operating Model'!W$85=0,0,'04 Operating Model'!W$82/'04 Operating Model'!W$85)</f>
        <v>0</v>
      </c>
      <c r="X104" s="6">
        <f>IF('04 Operating Model'!X$85=0,0,'04 Operating Model'!X$82/'04 Operating Model'!X$85)</f>
        <v>0</v>
      </c>
      <c r="Y104" s="6">
        <f>IF('04 Operating Model'!Y$85=0,0,'04 Operating Model'!Y$82/'04 Operating Model'!Y$85)</f>
        <v>0</v>
      </c>
      <c r="Z104" s="6">
        <f>IF('04 Operating Model'!Z$85=0,0,'04 Operating Model'!Z$82/'04 Operating Model'!Z$85)</f>
        <v>0</v>
      </c>
      <c r="AA104" s="6">
        <f>IF('04 Operating Model'!AA$85=0,0,'04 Operating Model'!AA$82/'04 Operating Model'!AA$85)</f>
        <v>0</v>
      </c>
      <c r="AB104" s="6">
        <f>IF('04 Operating Model'!AB$85=0,0,'04 Operating Model'!AB$82/'04 Operating Model'!AB$85)</f>
        <v>0.37738246505717915</v>
      </c>
      <c r="AC104" s="6">
        <f>IF('04 Operating Model'!AC$85=0,0,'04 Operating Model'!AC$82/'04 Operating Model'!AC$85)</f>
        <v>0.37738246505717921</v>
      </c>
      <c r="AD104" s="6">
        <f>IF('04 Operating Model'!AD$85=0,0,'04 Operating Model'!AD$82/'04 Operating Model'!AD$85)</f>
        <v>0.3773824650571791</v>
      </c>
      <c r="AE104" s="6">
        <f>IF('04 Operating Model'!AE$85=0,0,'04 Operating Model'!AE$82/'04 Operating Model'!AE$85)</f>
        <v>0.37738246505717921</v>
      </c>
      <c r="AF104" s="6">
        <f>IF('04 Operating Model'!AF$85=0,0,'04 Operating Model'!AF$82/'04 Operating Model'!AF$85)</f>
        <v>0.3773824650571791</v>
      </c>
      <c r="AG104" s="6">
        <f>IF('04 Operating Model'!AG$85=0,0,'04 Operating Model'!AG$82/'04 Operating Model'!AG$85)</f>
        <v>0.37738246505717915</v>
      </c>
      <c r="AH104" s="6">
        <f>IF('04 Operating Model'!AH$85=0,0,'04 Operating Model'!AH$82/'04 Operating Model'!AH$85)</f>
        <v>0.37738246505717921</v>
      </c>
      <c r="AI104" s="6">
        <f>IF('04 Operating Model'!AI$85=0,0,'04 Operating Model'!AI$82/'04 Operating Model'!AI$85)</f>
        <v>0.37738246505717915</v>
      </c>
      <c r="AJ104" s="6">
        <f>IF('04 Operating Model'!AJ$85=0,0,'04 Operating Model'!AJ$82/'04 Operating Model'!AJ$85)</f>
        <v>0.37738246505717915</v>
      </c>
      <c r="AK104" s="6">
        <f>IF('04 Operating Model'!AK$85=0,0,'04 Operating Model'!AK$82/'04 Operating Model'!AK$85)</f>
        <v>0.3773824650571791</v>
      </c>
      <c r="AL104" s="6">
        <f>IF('04 Operating Model'!AL$85=0,0,'04 Operating Model'!AL$82/'04 Operating Model'!AL$85)</f>
        <v>0.37738246505717915</v>
      </c>
      <c r="AM104" s="6">
        <f>IF('04 Operating Model'!AM$85=0,0,'04 Operating Model'!AM$82/'04 Operating Model'!AM$85)</f>
        <v>0.37738246505717915</v>
      </c>
      <c r="AN104" s="6">
        <f>IF('04 Operating Model'!AN$85=0,0,'04 Operating Model'!AN$82/'04 Operating Model'!AN$85)</f>
        <v>0.3773824650571791</v>
      </c>
      <c r="AO104" s="6">
        <f>IF('04 Operating Model'!AO$85=0,0,'04 Operating Model'!AO$82/'04 Operating Model'!AO$85)</f>
        <v>0.3773824650571791</v>
      </c>
      <c r="AP104" s="6">
        <f>IF('04 Operating Model'!AP$85=0,0,'04 Operating Model'!AP$82/'04 Operating Model'!AP$85)</f>
        <v>0.3773824650571791</v>
      </c>
      <c r="AQ104" s="6">
        <f>IF('04 Operating Model'!AQ$85=0,0,'04 Operating Model'!AQ$82/'04 Operating Model'!AQ$85)</f>
        <v>0.3773824650571791</v>
      </c>
      <c r="AR104" s="6">
        <f>IF('04 Operating Model'!AR$85=0,0,'04 Operating Model'!AR$82/'04 Operating Model'!AR$85)</f>
        <v>0.3773824650571791</v>
      </c>
      <c r="AS104" s="6">
        <f>IF('04 Operating Model'!AS$85=0,0,'04 Operating Model'!AS$82/'04 Operating Model'!AS$85)</f>
        <v>0.3773824650571791</v>
      </c>
      <c r="AT104" s="6">
        <f>IF('04 Operating Model'!AT$85=0,0,'04 Operating Model'!AT$82/'04 Operating Model'!AT$85)</f>
        <v>0.3773824650571791</v>
      </c>
      <c r="AU104" s="6">
        <f>IF('04 Operating Model'!AU$85=0,0,'04 Operating Model'!AU$82/'04 Operating Model'!AU$85)</f>
        <v>0.3773824650571791</v>
      </c>
      <c r="AV104" s="6">
        <f>IF('04 Operating Model'!AV$85=0,0,'04 Operating Model'!AV$82/'04 Operating Model'!AV$85)</f>
        <v>0.3773824650571791</v>
      </c>
      <c r="AW104" s="6">
        <f>IF('04 Operating Model'!AW$85=0,0,'04 Operating Model'!AW$82/'04 Operating Model'!AW$85)</f>
        <v>0.3773824650571791</v>
      </c>
      <c r="AX104" s="6">
        <f>IF('04 Operating Model'!AX$85=0,0,'04 Operating Model'!AX$82/'04 Operating Model'!AX$85)</f>
        <v>0.3773824650571791</v>
      </c>
      <c r="AY104" s="6">
        <f>IF('04 Operating Model'!AY$85=0,0,'04 Operating Model'!AY$82/'04 Operating Model'!AY$85)</f>
        <v>0.3773824650571791</v>
      </c>
      <c r="AZ104" s="6">
        <f>IF('04 Operating Model'!AZ$85=0,0,'04 Operating Model'!AZ$82/'04 Operating Model'!AZ$85)</f>
        <v>0.3773824650571791</v>
      </c>
      <c r="BA104" s="6">
        <f>IF('04 Operating Model'!BA$85=0,0,'04 Operating Model'!BA$82/'04 Operating Model'!BA$85)</f>
        <v>0.3773824650571791</v>
      </c>
      <c r="BB104" s="6">
        <f>IF('04 Operating Model'!BB$85=0,0,'04 Operating Model'!BB$82/'04 Operating Model'!BB$85)</f>
        <v>0.3773824650571791</v>
      </c>
      <c r="BC104" s="6">
        <f>IF('04 Operating Model'!BC$85=0,0,'04 Operating Model'!BC$82/'04 Operating Model'!BC$85)</f>
        <v>0.3773824650571791</v>
      </c>
      <c r="BD104" s="6">
        <f>IF('04 Operating Model'!BD$85=0,0,'04 Operating Model'!BD$82/'04 Operating Model'!BD$85)</f>
        <v>0.3773824650571791</v>
      </c>
      <c r="BE104" s="6">
        <f>IF('04 Operating Model'!BE$85=0,0,'04 Operating Model'!BE$82/'04 Operating Model'!BE$85)</f>
        <v>0.3773824650571791</v>
      </c>
      <c r="BF104" s="6">
        <f>IF('04 Operating Model'!BF$85=0,0,'04 Operating Model'!BF$82/'04 Operating Model'!BF$85)</f>
        <v>0.3773824650571791</v>
      </c>
      <c r="BG104" s="6">
        <f>IF('04 Operating Model'!BG$85=0,0,'04 Operating Model'!BG$82/'04 Operating Model'!BG$85)</f>
        <v>0.3773824650571791</v>
      </c>
      <c r="BH104" s="6">
        <f>IF('04 Operating Model'!BH$85=0,0,'04 Operating Model'!BH$82/'04 Operating Model'!BH$85)</f>
        <v>0.3773824650571791</v>
      </c>
      <c r="BI104" s="6">
        <f>IF('04 Operating Model'!BI$85=0,0,'04 Operating Model'!BI$82/'04 Operating Model'!BI$85)</f>
        <v>0.37738246505717921</v>
      </c>
      <c r="BJ104" s="6">
        <f>IF('04 Operating Model'!BJ$85=0,0,'04 Operating Model'!BJ$82/'04 Operating Model'!BJ$85)</f>
        <v>0.37738246505717921</v>
      </c>
      <c r="BK104" s="6">
        <f>IF('04 Operating Model'!BK$85=0,0,'04 Operating Model'!BK$82/'04 Operating Model'!BK$85)</f>
        <v>0.37738246505717921</v>
      </c>
      <c r="BL104" s="6">
        <f>IF('04 Operating Model'!BL$85=0,0,'04 Operating Model'!BL$82/'04 Operating Model'!BL$85)</f>
        <v>0.37738246505717921</v>
      </c>
      <c r="BM104" s="6">
        <f>IF('04 Operating Model'!BM$85=0,0,'04 Operating Model'!BM$82/'04 Operating Model'!BM$85)</f>
        <v>0.37738246505717921</v>
      </c>
      <c r="BN104" s="6">
        <f>IF('04 Operating Model'!BN$85=0,0,'04 Operating Model'!BN$82/'04 Operating Model'!BN$85)</f>
        <v>0.37738246505717921</v>
      </c>
      <c r="BO104" s="6">
        <f>IF('04 Operating Model'!BO$85=0,0,'04 Operating Model'!BO$82/'04 Operating Model'!BO$85)</f>
        <v>0.37738246505717921</v>
      </c>
    </row>
    <row r="105" spans="1:67">
      <c r="A105" s="11"/>
      <c r="B105" s="11"/>
      <c r="C105" s="11" t="s">
        <v>75</v>
      </c>
      <c r="D105" s="33"/>
      <c r="E105" s="33"/>
      <c r="F105" s="10" t="s">
        <v>7</v>
      </c>
      <c r="G105" s="6">
        <f>IF('04 Operating Model'!G$85=0,0,'04 Operating Model'!G$83/'04 Operating Model'!G$85)</f>
        <v>0</v>
      </c>
      <c r="H105" s="6">
        <f>IF('04 Operating Model'!H$85=0,0,'04 Operating Model'!H$83/'04 Operating Model'!H$85)</f>
        <v>0</v>
      </c>
      <c r="I105" s="6">
        <f>IF('04 Operating Model'!I$85=0,0,'04 Operating Model'!I$83/'04 Operating Model'!I$85)</f>
        <v>0</v>
      </c>
      <c r="J105" s="6">
        <f>IF('04 Operating Model'!J$85=0,0,'04 Operating Model'!J$83/'04 Operating Model'!J$85)</f>
        <v>0</v>
      </c>
      <c r="K105" s="6">
        <f>IF('04 Operating Model'!K$85=0,0,'04 Operating Model'!K$83/'04 Operating Model'!K$85)</f>
        <v>0</v>
      </c>
      <c r="L105" s="6">
        <f>IF('04 Operating Model'!L$85=0,0,'04 Operating Model'!L$83/'04 Operating Model'!L$85)</f>
        <v>0</v>
      </c>
      <c r="M105" s="6">
        <f>IF('04 Operating Model'!M$85=0,0,'04 Operating Model'!M$83/'04 Operating Model'!M$85)</f>
        <v>0</v>
      </c>
      <c r="N105" s="6">
        <f>IF('04 Operating Model'!N$85=0,0,'04 Operating Model'!N$83/'04 Operating Model'!N$85)</f>
        <v>0</v>
      </c>
      <c r="O105" s="6">
        <f>IF('04 Operating Model'!O$85=0,0,'04 Operating Model'!O$83/'04 Operating Model'!O$85)</f>
        <v>0</v>
      </c>
      <c r="P105" s="6">
        <f>IF('04 Operating Model'!P$85=0,0,'04 Operating Model'!P$83/'04 Operating Model'!P$85)</f>
        <v>0</v>
      </c>
      <c r="Q105" s="6">
        <f>IF('04 Operating Model'!Q$85=0,0,'04 Operating Model'!Q$83/'04 Operating Model'!Q$85)</f>
        <v>0</v>
      </c>
      <c r="R105" s="6">
        <f>IF('04 Operating Model'!R$85=0,0,'04 Operating Model'!R$83/'04 Operating Model'!R$85)</f>
        <v>0</v>
      </c>
      <c r="S105" s="6">
        <f>IF('04 Operating Model'!S$85=0,0,'04 Operating Model'!S$83/'04 Operating Model'!S$85)</f>
        <v>0</v>
      </c>
      <c r="T105" s="6">
        <f>IF('04 Operating Model'!T$85=0,0,'04 Operating Model'!T$83/'04 Operating Model'!T$85)</f>
        <v>0</v>
      </c>
      <c r="U105" s="6">
        <f>IF('04 Operating Model'!U$85=0,0,'04 Operating Model'!U$83/'04 Operating Model'!U$85)</f>
        <v>0</v>
      </c>
      <c r="V105" s="6">
        <f>IF('04 Operating Model'!V$85=0,0,'04 Operating Model'!V$83/'04 Operating Model'!V$85)</f>
        <v>0</v>
      </c>
      <c r="W105" s="6">
        <f>IF('04 Operating Model'!W$85=0,0,'04 Operating Model'!W$83/'04 Operating Model'!W$85)</f>
        <v>0</v>
      </c>
      <c r="X105" s="6">
        <f>IF('04 Operating Model'!X$85=0,0,'04 Operating Model'!X$83/'04 Operating Model'!X$85)</f>
        <v>0</v>
      </c>
      <c r="Y105" s="6">
        <f>IF('04 Operating Model'!Y$85=0,0,'04 Operating Model'!Y$83/'04 Operating Model'!Y$85)</f>
        <v>0</v>
      </c>
      <c r="Z105" s="6">
        <f>IF('04 Operating Model'!Z$85=0,0,'04 Operating Model'!Z$83/'04 Operating Model'!Z$85)</f>
        <v>0</v>
      </c>
      <c r="AA105" s="6">
        <f>IF('04 Operating Model'!AA$85=0,0,'04 Operating Model'!AA$83/'04 Operating Model'!AA$85)</f>
        <v>0</v>
      </c>
      <c r="AB105" s="6">
        <f>IF('04 Operating Model'!AB$85=0,0,'04 Operating Model'!AB$83/'04 Operating Model'!AB$85)</f>
        <v>0.13977128335451078</v>
      </c>
      <c r="AC105" s="6">
        <f>IF('04 Operating Model'!AC$85=0,0,'04 Operating Model'!AC$83/'04 Operating Model'!AC$85)</f>
        <v>0.13977128335451083</v>
      </c>
      <c r="AD105" s="6">
        <f>IF('04 Operating Model'!AD$85=0,0,'04 Operating Model'!AD$83/'04 Operating Model'!AD$85)</f>
        <v>0.13977128335451078</v>
      </c>
      <c r="AE105" s="6">
        <f>IF('04 Operating Model'!AE$85=0,0,'04 Operating Model'!AE$83/'04 Operating Model'!AE$85)</f>
        <v>0.13977128335451081</v>
      </c>
      <c r="AF105" s="6">
        <f>IF('04 Operating Model'!AF$85=0,0,'04 Operating Model'!AF$83/'04 Operating Model'!AF$85)</f>
        <v>0.13977128335451078</v>
      </c>
      <c r="AG105" s="6">
        <f>IF('04 Operating Model'!AG$85=0,0,'04 Operating Model'!AG$83/'04 Operating Model'!AG$85)</f>
        <v>0.13977128335451081</v>
      </c>
      <c r="AH105" s="6">
        <f>IF('04 Operating Model'!AH$85=0,0,'04 Operating Model'!AH$83/'04 Operating Model'!AH$85)</f>
        <v>0.13977128335451083</v>
      </c>
      <c r="AI105" s="6">
        <f>IF('04 Operating Model'!AI$85=0,0,'04 Operating Model'!AI$83/'04 Operating Model'!AI$85)</f>
        <v>0.13977128335451081</v>
      </c>
      <c r="AJ105" s="6">
        <f>IF('04 Operating Model'!AJ$85=0,0,'04 Operating Model'!AJ$83/'04 Operating Model'!AJ$85)</f>
        <v>0.13977128335451081</v>
      </c>
      <c r="AK105" s="6">
        <f>IF('04 Operating Model'!AK$85=0,0,'04 Operating Model'!AK$83/'04 Operating Model'!AK$85)</f>
        <v>0.13977128335451078</v>
      </c>
      <c r="AL105" s="6">
        <f>IF('04 Operating Model'!AL$85=0,0,'04 Operating Model'!AL$83/'04 Operating Model'!AL$85)</f>
        <v>0.13977128335451081</v>
      </c>
      <c r="AM105" s="6">
        <f>IF('04 Operating Model'!AM$85=0,0,'04 Operating Model'!AM$83/'04 Operating Model'!AM$85)</f>
        <v>0.13977128335451081</v>
      </c>
      <c r="AN105" s="6">
        <f>IF('04 Operating Model'!AN$85=0,0,'04 Operating Model'!AN$83/'04 Operating Model'!AN$85)</f>
        <v>0.13977128335451078</v>
      </c>
      <c r="AO105" s="6">
        <f>IF('04 Operating Model'!AO$85=0,0,'04 Operating Model'!AO$83/'04 Operating Model'!AO$85)</f>
        <v>0.13977128335451078</v>
      </c>
      <c r="AP105" s="6">
        <f>IF('04 Operating Model'!AP$85=0,0,'04 Operating Model'!AP$83/'04 Operating Model'!AP$85)</f>
        <v>0.13977128335451078</v>
      </c>
      <c r="AQ105" s="6">
        <f>IF('04 Operating Model'!AQ$85=0,0,'04 Operating Model'!AQ$83/'04 Operating Model'!AQ$85)</f>
        <v>0.13977128335451078</v>
      </c>
      <c r="AR105" s="6">
        <f>IF('04 Operating Model'!AR$85=0,0,'04 Operating Model'!AR$83/'04 Operating Model'!AR$85)</f>
        <v>0.13977128335451078</v>
      </c>
      <c r="AS105" s="6">
        <f>IF('04 Operating Model'!AS$85=0,0,'04 Operating Model'!AS$83/'04 Operating Model'!AS$85)</f>
        <v>0.13977128335451078</v>
      </c>
      <c r="AT105" s="6">
        <f>IF('04 Operating Model'!AT$85=0,0,'04 Operating Model'!AT$83/'04 Operating Model'!AT$85)</f>
        <v>0.13977128335451078</v>
      </c>
      <c r="AU105" s="6">
        <f>IF('04 Operating Model'!AU$85=0,0,'04 Operating Model'!AU$83/'04 Operating Model'!AU$85)</f>
        <v>0.13977128335451078</v>
      </c>
      <c r="AV105" s="6">
        <f>IF('04 Operating Model'!AV$85=0,0,'04 Operating Model'!AV$83/'04 Operating Model'!AV$85)</f>
        <v>0.13977128335451078</v>
      </c>
      <c r="AW105" s="6">
        <f>IF('04 Operating Model'!AW$85=0,0,'04 Operating Model'!AW$83/'04 Operating Model'!AW$85)</f>
        <v>0.13977128335451078</v>
      </c>
      <c r="AX105" s="6">
        <f>IF('04 Operating Model'!AX$85=0,0,'04 Operating Model'!AX$83/'04 Operating Model'!AX$85)</f>
        <v>0.13977128335451078</v>
      </c>
      <c r="AY105" s="6">
        <f>IF('04 Operating Model'!AY$85=0,0,'04 Operating Model'!AY$83/'04 Operating Model'!AY$85)</f>
        <v>0.13977128335451078</v>
      </c>
      <c r="AZ105" s="6">
        <f>IF('04 Operating Model'!AZ$85=0,0,'04 Operating Model'!AZ$83/'04 Operating Model'!AZ$85)</f>
        <v>0.13977128335451078</v>
      </c>
      <c r="BA105" s="6">
        <f>IF('04 Operating Model'!BA$85=0,0,'04 Operating Model'!BA$83/'04 Operating Model'!BA$85)</f>
        <v>0.13977128335451078</v>
      </c>
      <c r="BB105" s="6">
        <f>IF('04 Operating Model'!BB$85=0,0,'04 Operating Model'!BB$83/'04 Operating Model'!BB$85)</f>
        <v>0.13977128335451078</v>
      </c>
      <c r="BC105" s="6">
        <f>IF('04 Operating Model'!BC$85=0,0,'04 Operating Model'!BC$83/'04 Operating Model'!BC$85)</f>
        <v>0.13977128335451078</v>
      </c>
      <c r="BD105" s="6">
        <f>IF('04 Operating Model'!BD$85=0,0,'04 Operating Model'!BD$83/'04 Operating Model'!BD$85)</f>
        <v>0.13977128335451078</v>
      </c>
      <c r="BE105" s="6">
        <f>IF('04 Operating Model'!BE$85=0,0,'04 Operating Model'!BE$83/'04 Operating Model'!BE$85)</f>
        <v>0.13977128335451078</v>
      </c>
      <c r="BF105" s="6">
        <f>IF('04 Operating Model'!BF$85=0,0,'04 Operating Model'!BF$83/'04 Operating Model'!BF$85)</f>
        <v>0.13977128335451078</v>
      </c>
      <c r="BG105" s="6">
        <f>IF('04 Operating Model'!BG$85=0,0,'04 Operating Model'!BG$83/'04 Operating Model'!BG$85)</f>
        <v>0.13977128335451078</v>
      </c>
      <c r="BH105" s="6">
        <f>IF('04 Operating Model'!BH$85=0,0,'04 Operating Model'!BH$83/'04 Operating Model'!BH$85)</f>
        <v>0.13977128335451078</v>
      </c>
      <c r="BI105" s="6">
        <f>IF('04 Operating Model'!BI$85=0,0,'04 Operating Model'!BI$83/'04 Operating Model'!BI$85)</f>
        <v>0.13977128335451081</v>
      </c>
      <c r="BJ105" s="6">
        <f>IF('04 Operating Model'!BJ$85=0,0,'04 Operating Model'!BJ$83/'04 Operating Model'!BJ$85)</f>
        <v>0.13977128335451081</v>
      </c>
      <c r="BK105" s="6">
        <f>IF('04 Operating Model'!BK$85=0,0,'04 Operating Model'!BK$83/'04 Operating Model'!BK$85)</f>
        <v>0.13977128335451081</v>
      </c>
      <c r="BL105" s="6">
        <f>IF('04 Operating Model'!BL$85=0,0,'04 Operating Model'!BL$83/'04 Operating Model'!BL$85)</f>
        <v>0.13977128335451081</v>
      </c>
      <c r="BM105" s="6">
        <f>IF('04 Operating Model'!BM$85=0,0,'04 Operating Model'!BM$83/'04 Operating Model'!BM$85)</f>
        <v>0.13977128335451081</v>
      </c>
      <c r="BN105" s="6">
        <f>IF('04 Operating Model'!BN$85=0,0,'04 Operating Model'!BN$83/'04 Operating Model'!BN$85)</f>
        <v>0.13977128335451081</v>
      </c>
      <c r="BO105" s="6">
        <f>IF('04 Operating Model'!BO$85=0,0,'04 Operating Model'!BO$83/'04 Operating Model'!BO$85)</f>
        <v>0.13977128335451081</v>
      </c>
    </row>
    <row r="106" spans="1:67">
      <c r="A106" s="11"/>
      <c r="B106" s="11"/>
      <c r="C106" s="11" t="s">
        <v>78</v>
      </c>
      <c r="D106" s="33"/>
      <c r="E106" s="33"/>
      <c r="F106" s="10" t="s">
        <v>7</v>
      </c>
      <c r="G106" s="6">
        <f>IF('04 Operating Model'!G$85=0,0,'04 Operating Model'!G$84/'04 Operating Model'!G$85)</f>
        <v>0</v>
      </c>
      <c r="H106" s="6">
        <f>IF('04 Operating Model'!H$85=0,0,'04 Operating Model'!H$84/'04 Operating Model'!H$85)</f>
        <v>0</v>
      </c>
      <c r="I106" s="6">
        <f>IF('04 Operating Model'!I$85=0,0,'04 Operating Model'!I$84/'04 Operating Model'!I$85)</f>
        <v>0</v>
      </c>
      <c r="J106" s="6">
        <f>IF('04 Operating Model'!J$85=0,0,'04 Operating Model'!J$84/'04 Operating Model'!J$85)</f>
        <v>0</v>
      </c>
      <c r="K106" s="6">
        <f>IF('04 Operating Model'!K$85=0,0,'04 Operating Model'!K$84/'04 Operating Model'!K$85)</f>
        <v>0</v>
      </c>
      <c r="L106" s="6">
        <f>IF('04 Operating Model'!L$85=0,0,'04 Operating Model'!L$84/'04 Operating Model'!L$85)</f>
        <v>0</v>
      </c>
      <c r="M106" s="6">
        <f>IF('04 Operating Model'!M$85=0,0,'04 Operating Model'!M$84/'04 Operating Model'!M$85)</f>
        <v>0</v>
      </c>
      <c r="N106" s="6">
        <f>IF('04 Operating Model'!N$85=0,0,'04 Operating Model'!N$84/'04 Operating Model'!N$85)</f>
        <v>0</v>
      </c>
      <c r="O106" s="6">
        <f>IF('04 Operating Model'!O$85=0,0,'04 Operating Model'!O$84/'04 Operating Model'!O$85)</f>
        <v>0</v>
      </c>
      <c r="P106" s="6">
        <f>IF('04 Operating Model'!P$85=0,0,'04 Operating Model'!P$84/'04 Operating Model'!P$85)</f>
        <v>0</v>
      </c>
      <c r="Q106" s="6">
        <f>IF('04 Operating Model'!Q$85=0,0,'04 Operating Model'!Q$84/'04 Operating Model'!Q$85)</f>
        <v>0</v>
      </c>
      <c r="R106" s="6">
        <f>IF('04 Operating Model'!R$85=0,0,'04 Operating Model'!R$84/'04 Operating Model'!R$85)</f>
        <v>0</v>
      </c>
      <c r="S106" s="6">
        <f>IF('04 Operating Model'!S$85=0,0,'04 Operating Model'!S$84/'04 Operating Model'!S$85)</f>
        <v>0</v>
      </c>
      <c r="T106" s="6">
        <f>IF('04 Operating Model'!T$85=0,0,'04 Operating Model'!T$84/'04 Operating Model'!T$85)</f>
        <v>0</v>
      </c>
      <c r="U106" s="6">
        <f>IF('04 Operating Model'!U$85=0,0,'04 Operating Model'!U$84/'04 Operating Model'!U$85)</f>
        <v>0</v>
      </c>
      <c r="V106" s="6">
        <f>IF('04 Operating Model'!V$85=0,0,'04 Operating Model'!V$84/'04 Operating Model'!V$85)</f>
        <v>0</v>
      </c>
      <c r="W106" s="6">
        <f>IF('04 Operating Model'!W$85=0,0,'04 Operating Model'!W$84/'04 Operating Model'!W$85)</f>
        <v>0</v>
      </c>
      <c r="X106" s="6">
        <f>IF('04 Operating Model'!X$85=0,0,'04 Operating Model'!X$84/'04 Operating Model'!X$85)</f>
        <v>0</v>
      </c>
      <c r="Y106" s="6">
        <f>IF('04 Operating Model'!Y$85=0,0,'04 Operating Model'!Y$84/'04 Operating Model'!Y$85)</f>
        <v>0</v>
      </c>
      <c r="Z106" s="6">
        <f>IF('04 Operating Model'!Z$85=0,0,'04 Operating Model'!Z$84/'04 Operating Model'!Z$85)</f>
        <v>0</v>
      </c>
      <c r="AA106" s="6">
        <f>IF('04 Operating Model'!AA$85=0,0,'04 Operating Model'!AA$84/'04 Operating Model'!AA$85)</f>
        <v>0</v>
      </c>
      <c r="AB106" s="6">
        <f>IF('04 Operating Model'!AB$85=0,0,'04 Operating Model'!AB$84/'04 Operating Model'!AB$85)</f>
        <v>0</v>
      </c>
      <c r="AC106" s="6">
        <f>IF('04 Operating Model'!AC$85=0,0,'04 Operating Model'!AC$84/'04 Operating Model'!AC$85)</f>
        <v>0</v>
      </c>
      <c r="AD106" s="6">
        <f>IF('04 Operating Model'!AD$85=0,0,'04 Operating Model'!AD$84/'04 Operating Model'!AD$85)</f>
        <v>0</v>
      </c>
      <c r="AE106" s="6">
        <f>IF('04 Operating Model'!AE$85=0,0,'04 Operating Model'!AE$84/'04 Operating Model'!AE$85)</f>
        <v>0</v>
      </c>
      <c r="AF106" s="6">
        <f>IF('04 Operating Model'!AF$85=0,0,'04 Operating Model'!AF$84/'04 Operating Model'!AF$85)</f>
        <v>0</v>
      </c>
      <c r="AG106" s="6">
        <f>IF('04 Operating Model'!AG$85=0,0,'04 Operating Model'!AG$84/'04 Operating Model'!AG$85)</f>
        <v>0</v>
      </c>
      <c r="AH106" s="6">
        <f>IF('04 Operating Model'!AH$85=0,0,'04 Operating Model'!AH$84/'04 Operating Model'!AH$85)</f>
        <v>0</v>
      </c>
      <c r="AI106" s="6">
        <f>IF('04 Operating Model'!AI$85=0,0,'04 Operating Model'!AI$84/'04 Operating Model'!AI$85)</f>
        <v>0</v>
      </c>
      <c r="AJ106" s="6">
        <f>IF('04 Operating Model'!AJ$85=0,0,'04 Operating Model'!AJ$84/'04 Operating Model'!AJ$85)</f>
        <v>0</v>
      </c>
      <c r="AK106" s="6">
        <f>IF('04 Operating Model'!AK$85=0,0,'04 Operating Model'!AK$84/'04 Operating Model'!AK$85)</f>
        <v>0</v>
      </c>
      <c r="AL106" s="6">
        <f>IF('04 Operating Model'!AL$85=0,0,'04 Operating Model'!AL$84/'04 Operating Model'!AL$85)</f>
        <v>0</v>
      </c>
      <c r="AM106" s="6">
        <f>IF('04 Operating Model'!AM$85=0,0,'04 Operating Model'!AM$84/'04 Operating Model'!AM$85)</f>
        <v>0</v>
      </c>
      <c r="AN106" s="6">
        <f>IF('04 Operating Model'!AN$85=0,0,'04 Operating Model'!AN$84/'04 Operating Model'!AN$85)</f>
        <v>0</v>
      </c>
      <c r="AO106" s="6">
        <f>IF('04 Operating Model'!AO$85=0,0,'04 Operating Model'!AO$84/'04 Operating Model'!AO$85)</f>
        <v>0</v>
      </c>
      <c r="AP106" s="6">
        <f>IF('04 Operating Model'!AP$85=0,0,'04 Operating Model'!AP$84/'04 Operating Model'!AP$85)</f>
        <v>0</v>
      </c>
      <c r="AQ106" s="6">
        <f>IF('04 Operating Model'!AQ$85=0,0,'04 Operating Model'!AQ$84/'04 Operating Model'!AQ$85)</f>
        <v>0</v>
      </c>
      <c r="AR106" s="6">
        <f>IF('04 Operating Model'!AR$85=0,0,'04 Operating Model'!AR$84/'04 Operating Model'!AR$85)</f>
        <v>0</v>
      </c>
      <c r="AS106" s="6">
        <f>IF('04 Operating Model'!AS$85=0,0,'04 Operating Model'!AS$84/'04 Operating Model'!AS$85)</f>
        <v>0</v>
      </c>
      <c r="AT106" s="6">
        <f>IF('04 Operating Model'!AT$85=0,0,'04 Operating Model'!AT$84/'04 Operating Model'!AT$85)</f>
        <v>0</v>
      </c>
      <c r="AU106" s="6">
        <f>IF('04 Operating Model'!AU$85=0,0,'04 Operating Model'!AU$84/'04 Operating Model'!AU$85)</f>
        <v>0</v>
      </c>
      <c r="AV106" s="6">
        <f>IF('04 Operating Model'!AV$85=0,0,'04 Operating Model'!AV$84/'04 Operating Model'!AV$85)</f>
        <v>0</v>
      </c>
      <c r="AW106" s="6">
        <f>IF('04 Operating Model'!AW$85=0,0,'04 Operating Model'!AW$84/'04 Operating Model'!AW$85)</f>
        <v>0</v>
      </c>
      <c r="AX106" s="6">
        <f>IF('04 Operating Model'!AX$85=0,0,'04 Operating Model'!AX$84/'04 Operating Model'!AX$85)</f>
        <v>0</v>
      </c>
      <c r="AY106" s="6">
        <f>IF('04 Operating Model'!AY$85=0,0,'04 Operating Model'!AY$84/'04 Operating Model'!AY$85)</f>
        <v>0</v>
      </c>
      <c r="AZ106" s="6">
        <f>IF('04 Operating Model'!AZ$85=0,0,'04 Operating Model'!AZ$84/'04 Operating Model'!AZ$85)</f>
        <v>0</v>
      </c>
      <c r="BA106" s="6">
        <f>IF('04 Operating Model'!BA$85=0,0,'04 Operating Model'!BA$84/'04 Operating Model'!BA$85)</f>
        <v>0</v>
      </c>
      <c r="BB106" s="6">
        <f>IF('04 Operating Model'!BB$85=0,0,'04 Operating Model'!BB$84/'04 Operating Model'!BB$85)</f>
        <v>0</v>
      </c>
      <c r="BC106" s="6">
        <f>IF('04 Operating Model'!BC$85=0,0,'04 Operating Model'!BC$84/'04 Operating Model'!BC$85)</f>
        <v>0</v>
      </c>
      <c r="BD106" s="6">
        <f>IF('04 Operating Model'!BD$85=0,0,'04 Operating Model'!BD$84/'04 Operating Model'!BD$85)</f>
        <v>0</v>
      </c>
      <c r="BE106" s="6">
        <f>IF('04 Operating Model'!BE$85=0,0,'04 Operating Model'!BE$84/'04 Operating Model'!BE$85)</f>
        <v>0</v>
      </c>
      <c r="BF106" s="6">
        <f>IF('04 Operating Model'!BF$85=0,0,'04 Operating Model'!BF$84/'04 Operating Model'!BF$85)</f>
        <v>0</v>
      </c>
      <c r="BG106" s="6">
        <f>IF('04 Operating Model'!BG$85=0,0,'04 Operating Model'!BG$84/'04 Operating Model'!BG$85)</f>
        <v>0</v>
      </c>
      <c r="BH106" s="6">
        <f>IF('04 Operating Model'!BH$85=0,0,'04 Operating Model'!BH$84/'04 Operating Model'!BH$85)</f>
        <v>0</v>
      </c>
      <c r="BI106" s="6">
        <f>IF('04 Operating Model'!BI$85=0,0,'04 Operating Model'!BI$84/'04 Operating Model'!BI$85)</f>
        <v>0</v>
      </c>
      <c r="BJ106" s="6">
        <f>IF('04 Operating Model'!BJ$85=0,0,'04 Operating Model'!BJ$84/'04 Operating Model'!BJ$85)</f>
        <v>0</v>
      </c>
      <c r="BK106" s="6">
        <f>IF('04 Operating Model'!BK$85=0,0,'04 Operating Model'!BK$84/'04 Operating Model'!BK$85)</f>
        <v>0</v>
      </c>
      <c r="BL106" s="6">
        <f>IF('04 Operating Model'!BL$85=0,0,'04 Operating Model'!BL$84/'04 Operating Model'!BL$85)</f>
        <v>0</v>
      </c>
      <c r="BM106" s="6">
        <f>IF('04 Operating Model'!BM$85=0,0,'04 Operating Model'!BM$84/'04 Operating Model'!BM$85)</f>
        <v>0</v>
      </c>
      <c r="BN106" s="6">
        <f>IF('04 Operating Model'!BN$85=0,0,'04 Operating Model'!BN$84/'04 Operating Model'!BN$85)</f>
        <v>0</v>
      </c>
      <c r="BO106" s="6">
        <f>IF('04 Operating Model'!BO$85=0,0,'04 Operating Model'!BO$84/'04 Operating Model'!BO$85)</f>
        <v>0</v>
      </c>
    </row>
    <row r="107" spans="1:67">
      <c r="A107" s="11"/>
      <c r="B107" s="11"/>
      <c r="C107" s="11"/>
      <c r="D107" s="33"/>
      <c r="E107" s="33"/>
      <c r="F107" s="43"/>
      <c r="G107" s="33"/>
      <c r="H107" s="33"/>
      <c r="I107" s="33"/>
      <c r="J107" s="33"/>
      <c r="K107" s="33"/>
      <c r="L107" s="33"/>
      <c r="M107" s="33"/>
      <c r="N107" s="33"/>
      <c r="O107" s="33"/>
      <c r="P107" s="33"/>
      <c r="Q107" s="33"/>
      <c r="R107" s="33"/>
      <c r="S107" s="33"/>
      <c r="T107" s="33"/>
      <c r="U107" s="33"/>
      <c r="V107" s="33"/>
      <c r="W107" s="33"/>
      <c r="X107" s="33"/>
      <c r="Y107" s="33"/>
      <c r="Z107" s="33"/>
      <c r="AA107" s="33"/>
      <c r="AB107" s="33"/>
      <c r="AC107" s="33"/>
      <c r="AD107" s="33"/>
      <c r="AE107" s="33"/>
      <c r="AF107" s="33"/>
      <c r="AG107" s="33"/>
      <c r="AH107" s="33"/>
      <c r="AI107" s="33"/>
      <c r="AJ107" s="33"/>
      <c r="AK107" s="33"/>
      <c r="AL107" s="33"/>
      <c r="AM107" s="33"/>
      <c r="AN107" s="33"/>
      <c r="AO107" s="33"/>
      <c r="AP107" s="33"/>
      <c r="AQ107" s="33"/>
      <c r="AR107" s="33"/>
      <c r="AS107" s="33"/>
      <c r="AT107" s="33"/>
      <c r="AU107" s="33"/>
      <c r="AV107" s="33"/>
      <c r="AW107" s="33"/>
      <c r="AX107" s="33"/>
      <c r="AY107" s="33"/>
      <c r="AZ107" s="33"/>
      <c r="BA107" s="33"/>
      <c r="BB107" s="33"/>
      <c r="BC107" s="33"/>
      <c r="BD107" s="33"/>
      <c r="BE107" s="33"/>
      <c r="BF107" s="33"/>
      <c r="BG107" s="33"/>
      <c r="BH107" s="33"/>
      <c r="BI107" s="33"/>
      <c r="BJ107" s="33"/>
      <c r="BK107" s="33"/>
      <c r="BL107" s="33"/>
      <c r="BM107" s="33"/>
      <c r="BN107" s="33"/>
      <c r="BO107" s="33"/>
    </row>
    <row r="108" spans="1:67">
      <c r="A108" s="11"/>
      <c r="B108" s="22" t="s">
        <v>439</v>
      </c>
      <c r="C108" s="11"/>
      <c r="D108" s="33"/>
      <c r="E108" s="33"/>
      <c r="F108" s="43"/>
      <c r="G108" s="33"/>
      <c r="H108" s="33"/>
      <c r="I108" s="33"/>
      <c r="J108" s="33"/>
      <c r="K108" s="33"/>
      <c r="L108" s="33"/>
      <c r="M108" s="33"/>
      <c r="N108" s="33"/>
      <c r="O108" s="33"/>
      <c r="P108" s="33"/>
      <c r="Q108" s="33"/>
      <c r="R108" s="33"/>
      <c r="S108" s="33"/>
      <c r="T108" s="33"/>
      <c r="U108" s="33"/>
      <c r="V108" s="33"/>
      <c r="W108" s="33"/>
      <c r="X108" s="33"/>
      <c r="Y108" s="33"/>
      <c r="Z108" s="33"/>
      <c r="AA108" s="33"/>
      <c r="AB108" s="33"/>
      <c r="AC108" s="33"/>
      <c r="AD108" s="33"/>
      <c r="AE108" s="33"/>
      <c r="AF108" s="33"/>
      <c r="AG108" s="33"/>
      <c r="AH108" s="33"/>
      <c r="AI108" s="33"/>
      <c r="AJ108" s="33"/>
      <c r="AK108" s="33"/>
      <c r="AL108" s="33"/>
      <c r="AM108" s="33"/>
      <c r="AN108" s="33"/>
      <c r="AO108" s="33"/>
      <c r="AP108" s="33"/>
      <c r="AQ108" s="33"/>
      <c r="AR108" s="33"/>
      <c r="AS108" s="33"/>
      <c r="AT108" s="33"/>
      <c r="AU108" s="33"/>
      <c r="AV108" s="33"/>
      <c r="AW108" s="33"/>
      <c r="AX108" s="33"/>
      <c r="AY108" s="33"/>
      <c r="AZ108" s="33"/>
      <c r="BA108" s="33"/>
      <c r="BB108" s="33"/>
      <c r="BC108" s="33"/>
      <c r="BD108" s="33"/>
      <c r="BE108" s="33"/>
      <c r="BF108" s="33"/>
      <c r="BG108" s="33"/>
      <c r="BH108" s="33"/>
      <c r="BI108" s="33"/>
      <c r="BJ108" s="33"/>
      <c r="BK108" s="33"/>
      <c r="BL108" s="33"/>
      <c r="BM108" s="33"/>
      <c r="BN108" s="33"/>
      <c r="BO108" s="33"/>
    </row>
    <row r="109" spans="1:67">
      <c r="A109" s="11"/>
      <c r="B109" s="11"/>
      <c r="C109" s="11" t="s">
        <v>72</v>
      </c>
      <c r="D109" s="33"/>
      <c r="E109" s="33"/>
      <c r="F109" s="10" t="s">
        <v>13</v>
      </c>
      <c r="G109" s="90">
        <f>G$97*G102</f>
        <v>0</v>
      </c>
      <c r="H109" s="90">
        <f t="shared" ref="H109:BI109" si="113">H$97*H102</f>
        <v>0</v>
      </c>
      <c r="I109" s="90">
        <f t="shared" si="113"/>
        <v>0</v>
      </c>
      <c r="J109" s="90">
        <f t="shared" si="113"/>
        <v>0</v>
      </c>
      <c r="K109" s="90">
        <f t="shared" si="113"/>
        <v>0</v>
      </c>
      <c r="L109" s="90">
        <f t="shared" si="113"/>
        <v>0</v>
      </c>
      <c r="M109" s="90">
        <f t="shared" si="113"/>
        <v>0</v>
      </c>
      <c r="N109" s="90">
        <f t="shared" si="113"/>
        <v>0</v>
      </c>
      <c r="O109" s="90">
        <f t="shared" si="113"/>
        <v>0</v>
      </c>
      <c r="P109" s="90">
        <f t="shared" si="113"/>
        <v>0</v>
      </c>
      <c r="Q109" s="90">
        <f t="shared" si="113"/>
        <v>0</v>
      </c>
      <c r="R109" s="90">
        <f t="shared" si="113"/>
        <v>0</v>
      </c>
      <c r="S109" s="90">
        <f t="shared" si="113"/>
        <v>0</v>
      </c>
      <c r="T109" s="90">
        <f t="shared" si="113"/>
        <v>0</v>
      </c>
      <c r="U109" s="90">
        <f t="shared" si="113"/>
        <v>0</v>
      </c>
      <c r="V109" s="90">
        <f t="shared" si="113"/>
        <v>0</v>
      </c>
      <c r="W109" s="90">
        <f t="shared" si="113"/>
        <v>0</v>
      </c>
      <c r="X109" s="90">
        <f t="shared" si="113"/>
        <v>0</v>
      </c>
      <c r="Y109" s="90">
        <f t="shared" si="113"/>
        <v>0</v>
      </c>
      <c r="Z109" s="90">
        <f t="shared" si="113"/>
        <v>0</v>
      </c>
      <c r="AA109" s="90">
        <f t="shared" si="113"/>
        <v>0</v>
      </c>
      <c r="AB109" s="90">
        <f t="shared" si="113"/>
        <v>17803853.146787096</v>
      </c>
      <c r="AC109" s="90">
        <f t="shared" si="113"/>
        <v>10474637.458533596</v>
      </c>
      <c r="AD109" s="90">
        <f t="shared" si="113"/>
        <v>11283298.687008012</v>
      </c>
      <c r="AE109" s="90">
        <f t="shared" si="113"/>
        <v>12291427.854363462</v>
      </c>
      <c r="AF109" s="90">
        <f t="shared" si="113"/>
        <v>13117574.422733473</v>
      </c>
      <c r="AG109" s="90">
        <f t="shared" si="113"/>
        <v>13943720.991103493</v>
      </c>
      <c r="AH109" s="90">
        <f t="shared" si="113"/>
        <v>14769867.559473507</v>
      </c>
      <c r="AI109" s="90">
        <f t="shared" si="113"/>
        <v>15596014.127843522</v>
      </c>
      <c r="AJ109" s="90">
        <f t="shared" si="113"/>
        <v>16422160.69621354</v>
      </c>
      <c r="AK109" s="90">
        <f t="shared" si="113"/>
        <v>17248307.26458355</v>
      </c>
      <c r="AL109" s="90">
        <f t="shared" si="113"/>
        <v>18074453.832953572</v>
      </c>
      <c r="AM109" s="90">
        <f t="shared" si="113"/>
        <v>18900600.401323587</v>
      </c>
      <c r="AN109" s="90">
        <f t="shared" si="113"/>
        <v>19726746.969693594</v>
      </c>
      <c r="AO109" s="90">
        <f t="shared" si="113"/>
        <v>19733840.83700794</v>
      </c>
      <c r="AP109" s="90">
        <f t="shared" si="113"/>
        <v>19740934.704322286</v>
      </c>
      <c r="AQ109" s="90">
        <f t="shared" si="113"/>
        <v>20114806.352344971</v>
      </c>
      <c r="AR109" s="90">
        <f t="shared" si="113"/>
        <v>20121922.538397405</v>
      </c>
      <c r="AS109" s="90">
        <f t="shared" si="113"/>
        <v>20129038.724449836</v>
      </c>
      <c r="AT109" s="90">
        <f t="shared" si="113"/>
        <v>20136154.910502266</v>
      </c>
      <c r="AU109" s="90">
        <f t="shared" si="113"/>
        <v>20143271.096554697</v>
      </c>
      <c r="AV109" s="90">
        <f t="shared" si="113"/>
        <v>20150387.282607131</v>
      </c>
      <c r="AW109" s="90">
        <f t="shared" si="113"/>
        <v>20157503.468659565</v>
      </c>
      <c r="AX109" s="90">
        <f t="shared" si="113"/>
        <v>20164619.654711995</v>
      </c>
      <c r="AY109" s="90">
        <f t="shared" si="113"/>
        <v>20171735.840764426</v>
      </c>
      <c r="AZ109" s="90">
        <f t="shared" si="113"/>
        <v>20178852.026816856</v>
      </c>
      <c r="BA109" s="90">
        <f t="shared" si="113"/>
        <v>20185968.21286929</v>
      </c>
      <c r="BB109" s="90">
        <f t="shared" si="113"/>
        <v>20193084.398921724</v>
      </c>
      <c r="BC109" s="90">
        <f t="shared" si="113"/>
        <v>20577449.747442156</v>
      </c>
      <c r="BD109" s="90">
        <f t="shared" si="113"/>
        <v>20584588.475420058</v>
      </c>
      <c r="BE109" s="90">
        <f t="shared" si="113"/>
        <v>20591727.203397959</v>
      </c>
      <c r="BF109" s="90">
        <f t="shared" si="113"/>
        <v>20598865.931375857</v>
      </c>
      <c r="BG109" s="90">
        <f t="shared" si="113"/>
        <v>20606004.659353759</v>
      </c>
      <c r="BH109" s="90">
        <f t="shared" si="113"/>
        <v>20613143.387331657</v>
      </c>
      <c r="BI109" s="90">
        <f t="shared" si="113"/>
        <v>253225130.17530552</v>
      </c>
      <c r="BJ109" s="90">
        <f t="shared" ref="BJ109:BO109" si="114">BJ$97*BJ102</f>
        <v>259048590.37184063</v>
      </c>
      <c r="BK109" s="90">
        <f t="shared" si="114"/>
        <v>264144755.97832564</v>
      </c>
      <c r="BL109" s="90">
        <f t="shared" si="114"/>
        <v>269966818.15331447</v>
      </c>
      <c r="BM109" s="90">
        <f t="shared" si="114"/>
        <v>276229902.66764808</v>
      </c>
      <c r="BN109" s="90">
        <f t="shared" si="114"/>
        <v>282843314.41213197</v>
      </c>
      <c r="BO109" s="90">
        <f t="shared" si="114"/>
        <v>289292372.07783836</v>
      </c>
    </row>
    <row r="110" spans="1:67">
      <c r="A110" s="11"/>
      <c r="B110" s="11"/>
      <c r="C110" s="11" t="s">
        <v>252</v>
      </c>
      <c r="D110" s="33"/>
      <c r="E110" s="33"/>
      <c r="F110" s="10" t="s">
        <v>13</v>
      </c>
      <c r="G110" s="90">
        <f>G$97*G103</f>
        <v>0</v>
      </c>
      <c r="H110" s="90">
        <f t="shared" ref="H110:BI110" si="115">H$97*H103</f>
        <v>0</v>
      </c>
      <c r="I110" s="90">
        <f t="shared" si="115"/>
        <v>0</v>
      </c>
      <c r="J110" s="90">
        <f t="shared" si="115"/>
        <v>0</v>
      </c>
      <c r="K110" s="90">
        <f t="shared" si="115"/>
        <v>0</v>
      </c>
      <c r="L110" s="90">
        <f t="shared" si="115"/>
        <v>0</v>
      </c>
      <c r="M110" s="90">
        <f t="shared" si="115"/>
        <v>0</v>
      </c>
      <c r="N110" s="90">
        <f t="shared" si="115"/>
        <v>0</v>
      </c>
      <c r="O110" s="90">
        <f t="shared" si="115"/>
        <v>0</v>
      </c>
      <c r="P110" s="90">
        <f t="shared" si="115"/>
        <v>0</v>
      </c>
      <c r="Q110" s="90">
        <f t="shared" si="115"/>
        <v>0</v>
      </c>
      <c r="R110" s="90">
        <f t="shared" si="115"/>
        <v>0</v>
      </c>
      <c r="S110" s="90">
        <f t="shared" si="115"/>
        <v>0</v>
      </c>
      <c r="T110" s="90">
        <f t="shared" si="115"/>
        <v>0</v>
      </c>
      <c r="U110" s="90">
        <f t="shared" si="115"/>
        <v>0</v>
      </c>
      <c r="V110" s="90">
        <f t="shared" si="115"/>
        <v>0</v>
      </c>
      <c r="W110" s="90">
        <f t="shared" si="115"/>
        <v>0</v>
      </c>
      <c r="X110" s="90">
        <f t="shared" si="115"/>
        <v>0</v>
      </c>
      <c r="Y110" s="90">
        <f t="shared" si="115"/>
        <v>0</v>
      </c>
      <c r="Z110" s="90">
        <f t="shared" si="115"/>
        <v>0</v>
      </c>
      <c r="AA110" s="90">
        <f t="shared" si="115"/>
        <v>0</v>
      </c>
      <c r="AB110" s="90">
        <f t="shared" si="115"/>
        <v>0</v>
      </c>
      <c r="AC110" s="90">
        <f t="shared" si="115"/>
        <v>0</v>
      </c>
      <c r="AD110" s="90">
        <f t="shared" si="115"/>
        <v>0</v>
      </c>
      <c r="AE110" s="90">
        <f t="shared" si="115"/>
        <v>0</v>
      </c>
      <c r="AF110" s="90">
        <f t="shared" si="115"/>
        <v>0</v>
      </c>
      <c r="AG110" s="90">
        <f t="shared" si="115"/>
        <v>0</v>
      </c>
      <c r="AH110" s="90">
        <f t="shared" si="115"/>
        <v>0</v>
      </c>
      <c r="AI110" s="90">
        <f t="shared" si="115"/>
        <v>0</v>
      </c>
      <c r="AJ110" s="90">
        <f t="shared" si="115"/>
        <v>0</v>
      </c>
      <c r="AK110" s="90">
        <f t="shared" si="115"/>
        <v>0</v>
      </c>
      <c r="AL110" s="90">
        <f t="shared" si="115"/>
        <v>0</v>
      </c>
      <c r="AM110" s="90">
        <f t="shared" si="115"/>
        <v>0</v>
      </c>
      <c r="AN110" s="90">
        <f t="shared" si="115"/>
        <v>0</v>
      </c>
      <c r="AO110" s="90">
        <f t="shared" si="115"/>
        <v>0</v>
      </c>
      <c r="AP110" s="90">
        <f t="shared" si="115"/>
        <v>0</v>
      </c>
      <c r="AQ110" s="90">
        <f t="shared" si="115"/>
        <v>0</v>
      </c>
      <c r="AR110" s="90">
        <f t="shared" si="115"/>
        <v>0</v>
      </c>
      <c r="AS110" s="90">
        <f t="shared" si="115"/>
        <v>0</v>
      </c>
      <c r="AT110" s="90">
        <f t="shared" si="115"/>
        <v>0</v>
      </c>
      <c r="AU110" s="90">
        <f t="shared" si="115"/>
        <v>0</v>
      </c>
      <c r="AV110" s="90">
        <f t="shared" si="115"/>
        <v>0</v>
      </c>
      <c r="AW110" s="90">
        <f t="shared" si="115"/>
        <v>0</v>
      </c>
      <c r="AX110" s="90">
        <f t="shared" si="115"/>
        <v>0</v>
      </c>
      <c r="AY110" s="90">
        <f t="shared" si="115"/>
        <v>0</v>
      </c>
      <c r="AZ110" s="90">
        <f t="shared" si="115"/>
        <v>0</v>
      </c>
      <c r="BA110" s="90">
        <f t="shared" si="115"/>
        <v>0</v>
      </c>
      <c r="BB110" s="90">
        <f t="shared" si="115"/>
        <v>0</v>
      </c>
      <c r="BC110" s="90">
        <f t="shared" si="115"/>
        <v>0</v>
      </c>
      <c r="BD110" s="90">
        <f t="shared" si="115"/>
        <v>0</v>
      </c>
      <c r="BE110" s="90">
        <f t="shared" si="115"/>
        <v>0</v>
      </c>
      <c r="BF110" s="90">
        <f t="shared" si="115"/>
        <v>0</v>
      </c>
      <c r="BG110" s="90">
        <f t="shared" si="115"/>
        <v>0</v>
      </c>
      <c r="BH110" s="90">
        <f t="shared" si="115"/>
        <v>0</v>
      </c>
      <c r="BI110" s="90">
        <f t="shared" si="115"/>
        <v>0</v>
      </c>
      <c r="BJ110" s="90">
        <f t="shared" ref="BJ110:BO110" si="116">BJ$97*BJ103</f>
        <v>0</v>
      </c>
      <c r="BK110" s="90">
        <f t="shared" si="116"/>
        <v>0</v>
      </c>
      <c r="BL110" s="90">
        <f t="shared" si="116"/>
        <v>0</v>
      </c>
      <c r="BM110" s="90">
        <f t="shared" si="116"/>
        <v>0</v>
      </c>
      <c r="BN110" s="90">
        <f t="shared" si="116"/>
        <v>0</v>
      </c>
      <c r="BO110" s="90">
        <f t="shared" si="116"/>
        <v>0</v>
      </c>
    </row>
    <row r="111" spans="1:67">
      <c r="A111" s="11"/>
      <c r="B111" s="11"/>
      <c r="C111" s="11" t="s">
        <v>253</v>
      </c>
      <c r="D111" s="33"/>
      <c r="E111" s="33"/>
      <c r="F111" s="10" t="s">
        <v>13</v>
      </c>
      <c r="G111" s="90">
        <f>G$97*G104</f>
        <v>0</v>
      </c>
      <c r="H111" s="90">
        <f t="shared" ref="H111:BI111" si="117">H$97*H104</f>
        <v>0</v>
      </c>
      <c r="I111" s="90">
        <f t="shared" si="117"/>
        <v>0</v>
      </c>
      <c r="J111" s="90">
        <f t="shared" si="117"/>
        <v>0</v>
      </c>
      <c r="K111" s="90">
        <f t="shared" si="117"/>
        <v>0</v>
      </c>
      <c r="L111" s="90">
        <f t="shared" si="117"/>
        <v>0</v>
      </c>
      <c r="M111" s="90">
        <f t="shared" si="117"/>
        <v>0</v>
      </c>
      <c r="N111" s="90">
        <f t="shared" si="117"/>
        <v>0</v>
      </c>
      <c r="O111" s="90">
        <f t="shared" si="117"/>
        <v>0</v>
      </c>
      <c r="P111" s="90">
        <f t="shared" si="117"/>
        <v>0</v>
      </c>
      <c r="Q111" s="90">
        <f t="shared" si="117"/>
        <v>0</v>
      </c>
      <c r="R111" s="90">
        <f t="shared" si="117"/>
        <v>0</v>
      </c>
      <c r="S111" s="90">
        <f t="shared" si="117"/>
        <v>0</v>
      </c>
      <c r="T111" s="90">
        <f t="shared" si="117"/>
        <v>0</v>
      </c>
      <c r="U111" s="90">
        <f t="shared" si="117"/>
        <v>0</v>
      </c>
      <c r="V111" s="90">
        <f t="shared" si="117"/>
        <v>0</v>
      </c>
      <c r="W111" s="90">
        <f t="shared" si="117"/>
        <v>0</v>
      </c>
      <c r="X111" s="90">
        <f t="shared" si="117"/>
        <v>0</v>
      </c>
      <c r="Y111" s="90">
        <f t="shared" si="117"/>
        <v>0</v>
      </c>
      <c r="Z111" s="90">
        <f t="shared" si="117"/>
        <v>0</v>
      </c>
      <c r="AA111" s="90">
        <f t="shared" si="117"/>
        <v>0</v>
      </c>
      <c r="AB111" s="90">
        <f t="shared" si="117"/>
        <v>13915116.80156781</v>
      </c>
      <c r="AC111" s="90">
        <f t="shared" si="117"/>
        <v>8186756.1189065212</v>
      </c>
      <c r="AD111" s="90">
        <f t="shared" si="117"/>
        <v>8818788.7106352076</v>
      </c>
      <c r="AE111" s="90">
        <f t="shared" si="117"/>
        <v>9606721.2440682855</v>
      </c>
      <c r="AF111" s="90">
        <f t="shared" si="117"/>
        <v>10252420.009346951</v>
      </c>
      <c r="AG111" s="90">
        <f t="shared" si="117"/>
        <v>10898118.774625624</v>
      </c>
      <c r="AH111" s="90">
        <f t="shared" si="117"/>
        <v>11543817.539904295</v>
      </c>
      <c r="AI111" s="90">
        <f t="shared" si="117"/>
        <v>12189516.305182962</v>
      </c>
      <c r="AJ111" s="90">
        <f t="shared" si="117"/>
        <v>12835215.070461636</v>
      </c>
      <c r="AK111" s="90">
        <f t="shared" si="117"/>
        <v>13480913.835740298</v>
      </c>
      <c r="AL111" s="90">
        <f t="shared" si="117"/>
        <v>14126612.601018973</v>
      </c>
      <c r="AM111" s="90">
        <f t="shared" si="117"/>
        <v>14772311.366297644</v>
      </c>
      <c r="AN111" s="90">
        <f t="shared" si="117"/>
        <v>15418010.131576307</v>
      </c>
      <c r="AO111" s="90">
        <f t="shared" si="117"/>
        <v>15423554.548924623</v>
      </c>
      <c r="AP111" s="90">
        <f t="shared" si="117"/>
        <v>15429098.966272941</v>
      </c>
      <c r="AQ111" s="90">
        <f t="shared" si="117"/>
        <v>15721309.175385408</v>
      </c>
      <c r="AR111" s="90">
        <f t="shared" si="117"/>
        <v>15726871.036589548</v>
      </c>
      <c r="AS111" s="90">
        <f t="shared" si="117"/>
        <v>15732432.897793682</v>
      </c>
      <c r="AT111" s="90">
        <f t="shared" si="117"/>
        <v>15737994.758997818</v>
      </c>
      <c r="AU111" s="90">
        <f t="shared" si="117"/>
        <v>15743556.620201958</v>
      </c>
      <c r="AV111" s="90">
        <f t="shared" si="117"/>
        <v>15749118.481406096</v>
      </c>
      <c r="AW111" s="90">
        <f t="shared" si="117"/>
        <v>15754680.342610234</v>
      </c>
      <c r="AX111" s="90">
        <f t="shared" si="117"/>
        <v>15760242.203814371</v>
      </c>
      <c r="AY111" s="90">
        <f t="shared" si="117"/>
        <v>15765804.065018509</v>
      </c>
      <c r="AZ111" s="90">
        <f t="shared" si="117"/>
        <v>15771365.926222645</v>
      </c>
      <c r="BA111" s="90">
        <f t="shared" si="117"/>
        <v>15776927.787426783</v>
      </c>
      <c r="BB111" s="90">
        <f t="shared" si="117"/>
        <v>15782489.648630923</v>
      </c>
      <c r="BC111" s="90">
        <f t="shared" si="117"/>
        <v>16082901.513132418</v>
      </c>
      <c r="BD111" s="90">
        <f t="shared" si="117"/>
        <v>16088480.992630934</v>
      </c>
      <c r="BE111" s="90">
        <f t="shared" si="117"/>
        <v>16094060.472129453</v>
      </c>
      <c r="BF111" s="90">
        <f t="shared" si="117"/>
        <v>16099639.951627968</v>
      </c>
      <c r="BG111" s="90">
        <f t="shared" si="117"/>
        <v>16105219.431126487</v>
      </c>
      <c r="BH111" s="90">
        <f t="shared" si="117"/>
        <v>16110798.910625001</v>
      </c>
      <c r="BI111" s="90">
        <f t="shared" si="117"/>
        <v>197915430.68964669</v>
      </c>
      <c r="BJ111" s="90">
        <f t="shared" ref="BJ111:BO111" si="118">BJ$97*BJ104</f>
        <v>202466924.58009648</v>
      </c>
      <c r="BK111" s="90">
        <f t="shared" si="118"/>
        <v>206449980.33042821</v>
      </c>
      <c r="BL111" s="90">
        <f t="shared" si="118"/>
        <v>211000381.5566695</v>
      </c>
      <c r="BM111" s="90">
        <f t="shared" si="118"/>
        <v>215895476.55866179</v>
      </c>
      <c r="BN111" s="90">
        <f t="shared" si="118"/>
        <v>221064379.94842944</v>
      </c>
      <c r="BO111" s="90">
        <f t="shared" si="118"/>
        <v>226104827.65031052</v>
      </c>
    </row>
    <row r="112" spans="1:67">
      <c r="A112" s="11"/>
      <c r="B112" s="11"/>
      <c r="C112" s="11" t="s">
        <v>75</v>
      </c>
      <c r="D112" s="33"/>
      <c r="E112" s="33"/>
      <c r="F112" s="10" t="s">
        <v>13</v>
      </c>
      <c r="G112" s="90">
        <f>G$97*G105</f>
        <v>0</v>
      </c>
      <c r="H112" s="90">
        <f t="shared" ref="H112:BI112" si="119">H$97*H105</f>
        <v>0</v>
      </c>
      <c r="I112" s="90">
        <f t="shared" si="119"/>
        <v>0</v>
      </c>
      <c r="J112" s="90">
        <f t="shared" si="119"/>
        <v>0</v>
      </c>
      <c r="K112" s="90">
        <f t="shared" si="119"/>
        <v>0</v>
      </c>
      <c r="L112" s="90">
        <f t="shared" si="119"/>
        <v>0</v>
      </c>
      <c r="M112" s="90">
        <f t="shared" si="119"/>
        <v>0</v>
      </c>
      <c r="N112" s="90">
        <f t="shared" si="119"/>
        <v>0</v>
      </c>
      <c r="O112" s="90">
        <f t="shared" si="119"/>
        <v>0</v>
      </c>
      <c r="P112" s="90">
        <f t="shared" si="119"/>
        <v>0</v>
      </c>
      <c r="Q112" s="90">
        <f t="shared" si="119"/>
        <v>0</v>
      </c>
      <c r="R112" s="90">
        <f t="shared" si="119"/>
        <v>0</v>
      </c>
      <c r="S112" s="90">
        <f t="shared" si="119"/>
        <v>0</v>
      </c>
      <c r="T112" s="90">
        <f t="shared" si="119"/>
        <v>0</v>
      </c>
      <c r="U112" s="90">
        <f t="shared" si="119"/>
        <v>0</v>
      </c>
      <c r="V112" s="90">
        <f t="shared" si="119"/>
        <v>0</v>
      </c>
      <c r="W112" s="90">
        <f t="shared" si="119"/>
        <v>0</v>
      </c>
      <c r="X112" s="90">
        <f t="shared" si="119"/>
        <v>0</v>
      </c>
      <c r="Y112" s="90">
        <f t="shared" si="119"/>
        <v>0</v>
      </c>
      <c r="Z112" s="90">
        <f t="shared" si="119"/>
        <v>0</v>
      </c>
      <c r="AA112" s="90">
        <f t="shared" si="119"/>
        <v>0</v>
      </c>
      <c r="AB112" s="90">
        <f t="shared" si="119"/>
        <v>5153746.9635436321</v>
      </c>
      <c r="AC112" s="90">
        <f t="shared" si="119"/>
        <v>3032131.8958913041</v>
      </c>
      <c r="AD112" s="90">
        <f t="shared" si="119"/>
        <v>3266218.0409760033</v>
      </c>
      <c r="AE112" s="90">
        <f t="shared" si="119"/>
        <v>3558044.9052104764</v>
      </c>
      <c r="AF112" s="90">
        <f t="shared" si="119"/>
        <v>3797192.5960544259</v>
      </c>
      <c r="AG112" s="90">
        <f t="shared" si="119"/>
        <v>4036340.2868983797</v>
      </c>
      <c r="AH112" s="90">
        <f t="shared" si="119"/>
        <v>4275487.977742332</v>
      </c>
      <c r="AI112" s="90">
        <f t="shared" si="119"/>
        <v>4514635.6685862821</v>
      </c>
      <c r="AJ112" s="90">
        <f t="shared" si="119"/>
        <v>4753783.3594302358</v>
      </c>
      <c r="AK112" s="90">
        <f t="shared" si="119"/>
        <v>4992931.050274184</v>
      </c>
      <c r="AL112" s="90">
        <f t="shared" si="119"/>
        <v>5232078.7411181377</v>
      </c>
      <c r="AM112" s="90">
        <f t="shared" si="119"/>
        <v>5471226.4319620905</v>
      </c>
      <c r="AN112" s="90">
        <f t="shared" si="119"/>
        <v>5710374.1228060396</v>
      </c>
      <c r="AO112" s="90">
        <f t="shared" si="119"/>
        <v>5712427.6107128235</v>
      </c>
      <c r="AP112" s="90">
        <f t="shared" si="119"/>
        <v>5714481.0986196082</v>
      </c>
      <c r="AQ112" s="90">
        <f t="shared" si="119"/>
        <v>5822707.1019945955</v>
      </c>
      <c r="AR112" s="90">
        <f t="shared" si="119"/>
        <v>5824767.0505887214</v>
      </c>
      <c r="AS112" s="90">
        <f t="shared" si="119"/>
        <v>5826826.9991828455</v>
      </c>
      <c r="AT112" s="90">
        <f t="shared" si="119"/>
        <v>5828886.9477769705</v>
      </c>
      <c r="AU112" s="90">
        <f t="shared" si="119"/>
        <v>5830946.8963710954</v>
      </c>
      <c r="AV112" s="90">
        <f t="shared" si="119"/>
        <v>5833006.8449652204</v>
      </c>
      <c r="AW112" s="90">
        <f t="shared" si="119"/>
        <v>5835066.7935593463</v>
      </c>
      <c r="AX112" s="90">
        <f t="shared" si="119"/>
        <v>5837126.7421534704</v>
      </c>
      <c r="AY112" s="90">
        <f t="shared" si="119"/>
        <v>5839186.6907475963</v>
      </c>
      <c r="AZ112" s="90">
        <f t="shared" si="119"/>
        <v>5841246.6393417204</v>
      </c>
      <c r="BA112" s="90">
        <f t="shared" si="119"/>
        <v>5843306.5879358454</v>
      </c>
      <c r="BB112" s="90">
        <f t="shared" si="119"/>
        <v>5845366.5365299713</v>
      </c>
      <c r="BC112" s="90">
        <f t="shared" si="119"/>
        <v>5956630.1900490429</v>
      </c>
      <c r="BD112" s="90">
        <f t="shared" si="119"/>
        <v>5958696.6639373833</v>
      </c>
      <c r="BE112" s="90">
        <f t="shared" si="119"/>
        <v>5960763.1378257237</v>
      </c>
      <c r="BF112" s="90">
        <f t="shared" si="119"/>
        <v>5962829.6117140623</v>
      </c>
      <c r="BG112" s="90">
        <f t="shared" si="119"/>
        <v>5964896.0856024027</v>
      </c>
      <c r="BH112" s="90">
        <f t="shared" si="119"/>
        <v>5966962.5594907412</v>
      </c>
      <c r="BI112" s="90">
        <f t="shared" si="119"/>
        <v>73302011.366535813</v>
      </c>
      <c r="BJ112" s="90">
        <f t="shared" ref="BJ112:BO112" si="120">BJ$97*BJ105</f>
        <v>74987749.844480172</v>
      </c>
      <c r="BK112" s="90">
        <f t="shared" si="120"/>
        <v>76462955.67793636</v>
      </c>
      <c r="BL112" s="90">
        <f t="shared" si="120"/>
        <v>78148289.465433136</v>
      </c>
      <c r="BM112" s="90">
        <f t="shared" si="120"/>
        <v>79961287.614319175</v>
      </c>
      <c r="BN112" s="90">
        <f t="shared" si="120"/>
        <v>81875696.277196079</v>
      </c>
      <c r="BO112" s="90">
        <f t="shared" si="120"/>
        <v>83742528.759374261</v>
      </c>
    </row>
    <row r="113" spans="1:67">
      <c r="A113" s="11"/>
      <c r="B113" s="11"/>
      <c r="C113" s="11" t="s">
        <v>78</v>
      </c>
      <c r="D113" s="33"/>
      <c r="E113" s="33"/>
      <c r="F113" s="10" t="s">
        <v>13</v>
      </c>
      <c r="G113" s="90">
        <f>G$97*G106</f>
        <v>0</v>
      </c>
      <c r="H113" s="90">
        <f t="shared" ref="H113:BI113" si="121">H$97*H106</f>
        <v>0</v>
      </c>
      <c r="I113" s="90">
        <f t="shared" si="121"/>
        <v>0</v>
      </c>
      <c r="J113" s="90">
        <f t="shared" si="121"/>
        <v>0</v>
      </c>
      <c r="K113" s="90">
        <f t="shared" si="121"/>
        <v>0</v>
      </c>
      <c r="L113" s="90">
        <f t="shared" si="121"/>
        <v>0</v>
      </c>
      <c r="M113" s="90">
        <f t="shared" si="121"/>
        <v>0</v>
      </c>
      <c r="N113" s="90">
        <f t="shared" si="121"/>
        <v>0</v>
      </c>
      <c r="O113" s="90">
        <f t="shared" si="121"/>
        <v>0</v>
      </c>
      <c r="P113" s="90">
        <f t="shared" si="121"/>
        <v>0</v>
      </c>
      <c r="Q113" s="90">
        <f t="shared" si="121"/>
        <v>0</v>
      </c>
      <c r="R113" s="90">
        <f t="shared" si="121"/>
        <v>0</v>
      </c>
      <c r="S113" s="90">
        <f t="shared" si="121"/>
        <v>0</v>
      </c>
      <c r="T113" s="90">
        <f t="shared" si="121"/>
        <v>0</v>
      </c>
      <c r="U113" s="90">
        <f t="shared" si="121"/>
        <v>0</v>
      </c>
      <c r="V113" s="90">
        <f t="shared" si="121"/>
        <v>0</v>
      </c>
      <c r="W113" s="90">
        <f t="shared" si="121"/>
        <v>0</v>
      </c>
      <c r="X113" s="90">
        <f t="shared" si="121"/>
        <v>0</v>
      </c>
      <c r="Y113" s="90">
        <f t="shared" si="121"/>
        <v>0</v>
      </c>
      <c r="Z113" s="90">
        <f t="shared" si="121"/>
        <v>0</v>
      </c>
      <c r="AA113" s="90">
        <f t="shared" si="121"/>
        <v>0</v>
      </c>
      <c r="AB113" s="90">
        <f t="shared" si="121"/>
        <v>0</v>
      </c>
      <c r="AC113" s="90">
        <f t="shared" si="121"/>
        <v>0</v>
      </c>
      <c r="AD113" s="90">
        <f t="shared" si="121"/>
        <v>0</v>
      </c>
      <c r="AE113" s="90">
        <f t="shared" si="121"/>
        <v>0</v>
      </c>
      <c r="AF113" s="90">
        <f t="shared" si="121"/>
        <v>0</v>
      </c>
      <c r="AG113" s="90">
        <f t="shared" si="121"/>
        <v>0</v>
      </c>
      <c r="AH113" s="90">
        <f t="shared" si="121"/>
        <v>0</v>
      </c>
      <c r="AI113" s="90">
        <f t="shared" si="121"/>
        <v>0</v>
      </c>
      <c r="AJ113" s="90">
        <f t="shared" si="121"/>
        <v>0</v>
      </c>
      <c r="AK113" s="90">
        <f t="shared" si="121"/>
        <v>0</v>
      </c>
      <c r="AL113" s="90">
        <f t="shared" si="121"/>
        <v>0</v>
      </c>
      <c r="AM113" s="90">
        <f t="shared" si="121"/>
        <v>0</v>
      </c>
      <c r="AN113" s="90">
        <f t="shared" si="121"/>
        <v>0</v>
      </c>
      <c r="AO113" s="90">
        <f t="shared" si="121"/>
        <v>0</v>
      </c>
      <c r="AP113" s="90">
        <f t="shared" si="121"/>
        <v>0</v>
      </c>
      <c r="AQ113" s="90">
        <f t="shared" si="121"/>
        <v>0</v>
      </c>
      <c r="AR113" s="90">
        <f t="shared" si="121"/>
        <v>0</v>
      </c>
      <c r="AS113" s="90">
        <f t="shared" si="121"/>
        <v>0</v>
      </c>
      <c r="AT113" s="90">
        <f t="shared" si="121"/>
        <v>0</v>
      </c>
      <c r="AU113" s="90">
        <f t="shared" si="121"/>
        <v>0</v>
      </c>
      <c r="AV113" s="90">
        <f t="shared" si="121"/>
        <v>0</v>
      </c>
      <c r="AW113" s="90">
        <f t="shared" si="121"/>
        <v>0</v>
      </c>
      <c r="AX113" s="90">
        <f t="shared" si="121"/>
        <v>0</v>
      </c>
      <c r="AY113" s="90">
        <f t="shared" si="121"/>
        <v>0</v>
      </c>
      <c r="AZ113" s="90">
        <f t="shared" si="121"/>
        <v>0</v>
      </c>
      <c r="BA113" s="90">
        <f t="shared" si="121"/>
        <v>0</v>
      </c>
      <c r="BB113" s="90">
        <f t="shared" si="121"/>
        <v>0</v>
      </c>
      <c r="BC113" s="90">
        <f t="shared" si="121"/>
        <v>0</v>
      </c>
      <c r="BD113" s="90">
        <f t="shared" si="121"/>
        <v>0</v>
      </c>
      <c r="BE113" s="90">
        <f t="shared" si="121"/>
        <v>0</v>
      </c>
      <c r="BF113" s="90">
        <f t="shared" si="121"/>
        <v>0</v>
      </c>
      <c r="BG113" s="90">
        <f t="shared" si="121"/>
        <v>0</v>
      </c>
      <c r="BH113" s="90">
        <f t="shared" si="121"/>
        <v>0</v>
      </c>
      <c r="BI113" s="90">
        <f t="shared" si="121"/>
        <v>0</v>
      </c>
      <c r="BJ113" s="90">
        <f t="shared" ref="BJ113:BO113" si="122">BJ$97*BJ106</f>
        <v>0</v>
      </c>
      <c r="BK113" s="90">
        <f t="shared" si="122"/>
        <v>0</v>
      </c>
      <c r="BL113" s="90">
        <f t="shared" si="122"/>
        <v>0</v>
      </c>
      <c r="BM113" s="90">
        <f t="shared" si="122"/>
        <v>0</v>
      </c>
      <c r="BN113" s="90">
        <f t="shared" si="122"/>
        <v>0</v>
      </c>
      <c r="BO113" s="90">
        <f t="shared" si="122"/>
        <v>0</v>
      </c>
    </row>
    <row r="114" spans="1:67">
      <c r="A114" s="11"/>
      <c r="B114" s="11"/>
      <c r="C114" s="11"/>
      <c r="D114" s="33"/>
      <c r="E114" s="33"/>
      <c r="F114" s="4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
      <c r="BF114" s="3"/>
      <c r="BG114" s="3"/>
      <c r="BH114" s="3"/>
      <c r="BI114" s="3"/>
      <c r="BJ114" s="3"/>
      <c r="BK114" s="3"/>
      <c r="BL114" s="3"/>
      <c r="BM114" s="3"/>
      <c r="BN114" s="3"/>
      <c r="BO114" s="3"/>
    </row>
    <row r="115" spans="1:67">
      <c r="A115" s="11"/>
      <c r="B115" s="22" t="s">
        <v>440</v>
      </c>
      <c r="C115" s="11"/>
      <c r="D115" s="33"/>
      <c r="E115" s="33"/>
      <c r="F115" s="43"/>
      <c r="G115" s="33"/>
      <c r="H115" s="33"/>
      <c r="I115" s="33"/>
      <c r="J115" s="33"/>
      <c r="K115" s="33"/>
      <c r="L115" s="33"/>
      <c r="M115" s="33"/>
      <c r="N115" s="33"/>
      <c r="O115" s="33"/>
      <c r="P115" s="33"/>
      <c r="Q115" s="33"/>
      <c r="R115" s="33"/>
      <c r="S115" s="33"/>
      <c r="T115" s="33"/>
      <c r="U115" s="33"/>
      <c r="V115" s="33"/>
      <c r="W115" s="33"/>
      <c r="X115" s="33"/>
      <c r="Y115" s="33"/>
      <c r="Z115" s="33"/>
      <c r="AA115" s="33"/>
      <c r="AB115" s="33"/>
      <c r="AC115" s="33"/>
      <c r="AD115" s="33"/>
      <c r="AE115" s="33"/>
      <c r="AF115" s="33"/>
      <c r="AG115" s="33"/>
      <c r="AH115" s="33"/>
      <c r="AI115" s="33"/>
      <c r="AJ115" s="33"/>
      <c r="AK115" s="33"/>
      <c r="AL115" s="33"/>
      <c r="AM115" s="33"/>
      <c r="AN115" s="33"/>
      <c r="AO115" s="33"/>
      <c r="AP115" s="33"/>
      <c r="AQ115" s="33"/>
      <c r="AR115" s="33"/>
      <c r="AS115" s="33"/>
      <c r="AT115" s="33"/>
      <c r="AU115" s="33"/>
      <c r="AV115" s="33"/>
      <c r="AW115" s="33"/>
      <c r="AX115" s="33"/>
      <c r="AY115" s="33"/>
      <c r="AZ115" s="33"/>
      <c r="BA115" s="33"/>
      <c r="BB115" s="33"/>
      <c r="BC115" s="33"/>
      <c r="BD115" s="33"/>
      <c r="BE115" s="33"/>
      <c r="BF115" s="33"/>
      <c r="BG115" s="33"/>
      <c r="BH115" s="33"/>
      <c r="BI115" s="33"/>
      <c r="BJ115" s="33"/>
      <c r="BK115" s="33"/>
      <c r="BL115" s="33"/>
      <c r="BM115" s="33"/>
      <c r="BN115" s="33"/>
      <c r="BO115" s="33"/>
    </row>
    <row r="116" spans="1:67">
      <c r="A116" s="11"/>
      <c r="B116" s="11"/>
      <c r="C116" s="11" t="s">
        <v>72</v>
      </c>
      <c r="D116" s="33"/>
      <c r="E116" s="33"/>
      <c r="F116" s="10" t="s">
        <v>70</v>
      </c>
      <c r="G116" s="90">
        <f>IF('04 Operating Model'!G$80=0,0,G109/'04 Operating Model'!G$80)</f>
        <v>0</v>
      </c>
      <c r="H116" s="90">
        <f>IF('04 Operating Model'!H$80=0,0,H109/'04 Operating Model'!H$80)</f>
        <v>0</v>
      </c>
      <c r="I116" s="90">
        <f>IF('04 Operating Model'!I$80=0,0,I109/'04 Operating Model'!I$80)</f>
        <v>0</v>
      </c>
      <c r="J116" s="90">
        <f>IF('04 Operating Model'!J$80=0,0,J109/'04 Operating Model'!J$80)</f>
        <v>0</v>
      </c>
      <c r="K116" s="90">
        <f>IF('04 Operating Model'!K$80=0,0,K109/'04 Operating Model'!K$80)</f>
        <v>0</v>
      </c>
      <c r="L116" s="90">
        <f>IF('04 Operating Model'!L$80=0,0,L109/'04 Operating Model'!L$80)</f>
        <v>0</v>
      </c>
      <c r="M116" s="90">
        <f>IF('04 Operating Model'!M$80=0,0,M109/'04 Operating Model'!M$80)</f>
        <v>0</v>
      </c>
      <c r="N116" s="90">
        <f>IF('04 Operating Model'!N$80=0,0,N109/'04 Operating Model'!N$80)</f>
        <v>0</v>
      </c>
      <c r="O116" s="90">
        <f>IF('04 Operating Model'!O$80=0,0,O109/'04 Operating Model'!O$80)</f>
        <v>0</v>
      </c>
      <c r="P116" s="90">
        <f>IF('04 Operating Model'!P$80=0,0,P109/'04 Operating Model'!P$80)</f>
        <v>0</v>
      </c>
      <c r="Q116" s="90">
        <f>IF('04 Operating Model'!Q$80=0,0,Q109/'04 Operating Model'!Q$80)</f>
        <v>0</v>
      </c>
      <c r="R116" s="90">
        <f>IF('04 Operating Model'!R$80=0,0,R109/'04 Operating Model'!R$80)</f>
        <v>0</v>
      </c>
      <c r="S116" s="90">
        <f>IF('04 Operating Model'!S$80=0,0,S109/'04 Operating Model'!S$80)</f>
        <v>0</v>
      </c>
      <c r="T116" s="90">
        <f>IF('04 Operating Model'!T$80=0,0,T109/'04 Operating Model'!T$80)</f>
        <v>0</v>
      </c>
      <c r="U116" s="90">
        <f>IF('04 Operating Model'!U$80=0,0,U109/'04 Operating Model'!U$80)</f>
        <v>0</v>
      </c>
      <c r="V116" s="90">
        <f>IF('04 Operating Model'!V$80=0,0,V109/'04 Operating Model'!V$80)</f>
        <v>0</v>
      </c>
      <c r="W116" s="90">
        <f>IF('04 Operating Model'!W$80=0,0,W109/'04 Operating Model'!W$80)</f>
        <v>0</v>
      </c>
      <c r="X116" s="90">
        <f>IF('04 Operating Model'!X$80=0,0,X109/'04 Operating Model'!X$80)</f>
        <v>0</v>
      </c>
      <c r="Y116" s="90">
        <f>IF('04 Operating Model'!Y$80=0,0,Y109/'04 Operating Model'!Y$80)</f>
        <v>0</v>
      </c>
      <c r="Z116" s="90">
        <f>IF('04 Operating Model'!Z$80=0,0,Z109/'04 Operating Model'!Z$80)</f>
        <v>0</v>
      </c>
      <c r="AA116" s="90">
        <f>IF('04 Operating Model'!AA$80=0,0,AA109/'04 Operating Model'!AA$80)</f>
        <v>0</v>
      </c>
      <c r="AB116" s="90">
        <f>IF('04 Operating Model'!AB$80=0,0,AB109/'04 Operating Model'!AB$80)</f>
        <v>68698.30663214653</v>
      </c>
      <c r="AC116" s="90">
        <f>IF('04 Operating Model'!AC$80=0,0,AC109/'04 Operating Model'!AC$80)</f>
        <v>30503.884708895788</v>
      </c>
      <c r="AD116" s="90">
        <f>IF('04 Operating Model'!AD$80=0,0,AD109/'04 Operating Model'!AD$80)</f>
        <v>26386.644700613193</v>
      </c>
      <c r="AE116" s="90">
        <f>IF('04 Operating Model'!AE$80=0,0,AE109/'04 Operating Model'!AE$80)</f>
        <v>24014.15254808321</v>
      </c>
      <c r="AF116" s="90">
        <f>IF('04 Operating Model'!AF$80=0,0,AF109/'04 Operating Model'!AF$80)</f>
        <v>22006.84221050865</v>
      </c>
      <c r="AG116" s="90">
        <f>IF('04 Operating Model'!AG$80=0,0,AG109/'04 Operating Model'!AG$80)</f>
        <v>20496.580147000186</v>
      </c>
      <c r="AH116" s="90">
        <f>IF('04 Operating Model'!AH$80=0,0,AH109/'04 Operating Model'!AH$80)</f>
        <v>19319.087690705444</v>
      </c>
      <c r="AI116" s="90">
        <f>IF('04 Operating Model'!AI$80=0,0,AI109/'04 Operating Model'!AI$80)</f>
        <v>18375.296027263092</v>
      </c>
      <c r="AJ116" s="90">
        <f>IF('04 Operating Model'!AJ$80=0,0,AJ109/'04 Operating Model'!AJ$80)</f>
        <v>17601.911191942276</v>
      </c>
      <c r="AK116" s="90">
        <f>IF('04 Operating Model'!AK$80=0,0,AK109/'04 Operating Model'!AK$80)</f>
        <v>16956.602826165032</v>
      </c>
      <c r="AL116" s="90">
        <f>IF('04 Operating Model'!AL$80=0,0,AL109/'04 Operating Model'!AL$80)</f>
        <v>16409.98868103608</v>
      </c>
      <c r="AM116" s="90">
        <f>IF('04 Operating Model'!AM$80=0,0,AM109/'04 Operating Model'!AM$80)</f>
        <v>15941.035561991019</v>
      </c>
      <c r="AN116" s="90">
        <f>IF('04 Operating Model'!AN$80=0,0,AN109/'04 Operating Model'!AN$80)</f>
        <v>15534.290509758051</v>
      </c>
      <c r="AO116" s="90">
        <f>IF('04 Operating Model'!AO$80=0,0,AO109/'04 Operating Model'!AO$80)</f>
        <v>15539.876742291375</v>
      </c>
      <c r="AP116" s="90">
        <f>IF('04 Operating Model'!AP$80=0,0,AP109/'04 Operating Model'!AP$80)</f>
        <v>15545.462974824697</v>
      </c>
      <c r="AQ116" s="90">
        <f>IF('04 Operating Model'!AQ$80=0,0,AQ109/'04 Operating Model'!AQ$80)</f>
        <v>15839.87699061093</v>
      </c>
      <c r="AR116" s="90">
        <f>IF('04 Operating Model'!AR$80=0,0,AR109/'04 Operating Model'!AR$80)</f>
        <v>15845.480798559085</v>
      </c>
      <c r="AS116" s="90">
        <f>IF('04 Operating Model'!AS$80=0,0,AS109/'04 Operating Model'!AS$80)</f>
        <v>15851.084606507236</v>
      </c>
      <c r="AT116" s="90">
        <f>IF('04 Operating Model'!AT$80=0,0,AT109/'04 Operating Model'!AT$80)</f>
        <v>15856.688414455388</v>
      </c>
      <c r="AU116" s="90">
        <f>IF('04 Operating Model'!AU$80=0,0,AU109/'04 Operating Model'!AU$80)</f>
        <v>15862.292222403539</v>
      </c>
      <c r="AV116" s="90">
        <f>IF('04 Operating Model'!AV$80=0,0,AV109/'04 Operating Model'!AV$80)</f>
        <v>15867.896030351694</v>
      </c>
      <c r="AW116" s="90">
        <f>IF('04 Operating Model'!AW$80=0,0,AW109/'04 Operating Model'!AW$80)</f>
        <v>15873.499838299849</v>
      </c>
      <c r="AX116" s="90">
        <f>IF('04 Operating Model'!AX$80=0,0,AX109/'04 Operating Model'!AX$80)</f>
        <v>15879.103646248001</v>
      </c>
      <c r="AY116" s="90">
        <f>IF('04 Operating Model'!AY$80=0,0,AY109/'04 Operating Model'!AY$80)</f>
        <v>15884.707454196152</v>
      </c>
      <c r="AZ116" s="90">
        <f>IF('04 Operating Model'!AZ$80=0,0,AZ109/'04 Operating Model'!AZ$80)</f>
        <v>15890.311262144303</v>
      </c>
      <c r="BA116" s="90">
        <f>IF('04 Operating Model'!BA$80=0,0,BA109/'04 Operating Model'!BA$80)</f>
        <v>15895.915070092457</v>
      </c>
      <c r="BB116" s="90">
        <f>IF('04 Operating Model'!BB$80=0,0,BB109/'04 Operating Model'!BB$80)</f>
        <v>15901.518878040612</v>
      </c>
      <c r="BC116" s="90">
        <f>IF('04 Operating Model'!BC$80=0,0,BC109/'04 Operating Model'!BC$80)</f>
        <v>16204.196404901673</v>
      </c>
      <c r="BD116" s="90">
        <f>IF('04 Operating Model'!BD$80=0,0,BD109/'04 Operating Model'!BD$80)</f>
        <v>16209.817964018806</v>
      </c>
      <c r="BE116" s="90">
        <f>IF('04 Operating Model'!BE$80=0,0,BE109/'04 Operating Model'!BE$80)</f>
        <v>16215.439523135939</v>
      </c>
      <c r="BF116" s="90">
        <f>IF('04 Operating Model'!BF$80=0,0,BF109/'04 Operating Model'!BF$80)</f>
        <v>16221.061082253069</v>
      </c>
      <c r="BG116" s="90">
        <f>IF('04 Operating Model'!BG$80=0,0,BG109/'04 Operating Model'!BG$80)</f>
        <v>16226.682641370204</v>
      </c>
      <c r="BH116" s="90">
        <f>IF('04 Operating Model'!BH$80=0,0,BH109/'04 Operating Model'!BH$80)</f>
        <v>16232.304200487333</v>
      </c>
      <c r="BI116" s="90">
        <f>IF('04 Operating Model'!BI$80=0,0,BI109/'04 Operating Model'!BI$80)</f>
        <v>16617.339994263617</v>
      </c>
      <c r="BJ116" s="90">
        <f>IF('04 Operating Model'!BJ$80=0,0,BJ109/'04 Operating Model'!BJ$80)</f>
        <v>16999.491710255992</v>
      </c>
      <c r="BK116" s="90">
        <f>IF('04 Operating Model'!BK$80=0,0,BK109/'04 Operating Model'!BK$80)</f>
        <v>17333.916324793292</v>
      </c>
      <c r="BL116" s="90">
        <f>IF('04 Operating Model'!BL$80=0,0,BL109/'04 Operating Model'!BL$80)</f>
        <v>17715.976298708811</v>
      </c>
      <c r="BM116" s="90">
        <f>IF('04 Operating Model'!BM$80=0,0,BM109/'04 Operating Model'!BM$80)</f>
        <v>18126.977389775238</v>
      </c>
      <c r="BN116" s="90">
        <f>IF('04 Operating Model'!BN$80=0,0,BN109/'04 Operating Model'!BN$80)</f>
        <v>18560.967931725256</v>
      </c>
      <c r="BO116" s="90">
        <f>IF('04 Operating Model'!BO$80=0,0,BO109/'04 Operating Model'!BO$80)</f>
        <v>18984.173100183321</v>
      </c>
    </row>
    <row r="117" spans="1:67">
      <c r="A117" s="11"/>
      <c r="B117" s="11"/>
      <c r="C117" s="11" t="s">
        <v>252</v>
      </c>
      <c r="D117" s="33"/>
      <c r="E117" s="33"/>
      <c r="F117" s="10" t="s">
        <v>70</v>
      </c>
      <c r="G117" s="90">
        <f>IF('04 Operating Model'!G$81=0,0,G110/'04 Operating Model'!G$81)</f>
        <v>0</v>
      </c>
      <c r="H117" s="90">
        <f>IF('04 Operating Model'!H$81=0,0,H110/'04 Operating Model'!H$81)</f>
        <v>0</v>
      </c>
      <c r="I117" s="90">
        <f>IF('04 Operating Model'!I$81=0,0,I110/'04 Operating Model'!I$81)</f>
        <v>0</v>
      </c>
      <c r="J117" s="90">
        <f>IF('04 Operating Model'!J$81=0,0,J110/'04 Operating Model'!J$81)</f>
        <v>0</v>
      </c>
      <c r="K117" s="90">
        <f>IF('04 Operating Model'!K$81=0,0,K110/'04 Operating Model'!K$81)</f>
        <v>0</v>
      </c>
      <c r="L117" s="90">
        <f>IF('04 Operating Model'!L$81=0,0,L110/'04 Operating Model'!L$81)</f>
        <v>0</v>
      </c>
      <c r="M117" s="90">
        <f>IF('04 Operating Model'!M$81=0,0,M110/'04 Operating Model'!M$81)</f>
        <v>0</v>
      </c>
      <c r="N117" s="90">
        <f>IF('04 Operating Model'!N$81=0,0,N110/'04 Operating Model'!N$81)</f>
        <v>0</v>
      </c>
      <c r="O117" s="90">
        <f>IF('04 Operating Model'!O$81=0,0,O110/'04 Operating Model'!O$81)</f>
        <v>0</v>
      </c>
      <c r="P117" s="90">
        <f>IF('04 Operating Model'!P$81=0,0,P110/'04 Operating Model'!P$81)</f>
        <v>0</v>
      </c>
      <c r="Q117" s="90">
        <f>IF('04 Operating Model'!Q$81=0,0,Q110/'04 Operating Model'!Q$81)</f>
        <v>0</v>
      </c>
      <c r="R117" s="90">
        <f>IF('04 Operating Model'!R$81=0,0,R110/'04 Operating Model'!R$81)</f>
        <v>0</v>
      </c>
      <c r="S117" s="90">
        <f>IF('04 Operating Model'!S$81=0,0,S110/'04 Operating Model'!S$81)</f>
        <v>0</v>
      </c>
      <c r="T117" s="90">
        <f>IF('04 Operating Model'!T$81=0,0,T110/'04 Operating Model'!T$81)</f>
        <v>0</v>
      </c>
      <c r="U117" s="90">
        <f>IF('04 Operating Model'!U$81=0,0,U110/'04 Operating Model'!U$81)</f>
        <v>0</v>
      </c>
      <c r="V117" s="90">
        <f>IF('04 Operating Model'!V$81=0,0,V110/'04 Operating Model'!V$81)</f>
        <v>0</v>
      </c>
      <c r="W117" s="90">
        <f>IF('04 Operating Model'!W$81=0,0,W110/'04 Operating Model'!W$81)</f>
        <v>0</v>
      </c>
      <c r="X117" s="90">
        <f>IF('04 Operating Model'!X$81=0,0,X110/'04 Operating Model'!X$81)</f>
        <v>0</v>
      </c>
      <c r="Y117" s="90">
        <f>IF('04 Operating Model'!Y$81=0,0,Y110/'04 Operating Model'!Y$81)</f>
        <v>0</v>
      </c>
      <c r="Z117" s="90">
        <f>IF('04 Operating Model'!Z$81=0,0,Z110/'04 Operating Model'!Z$81)</f>
        <v>0</v>
      </c>
      <c r="AA117" s="90">
        <f>IF('04 Operating Model'!AA$81=0,0,AA110/'04 Operating Model'!AA$81)</f>
        <v>0</v>
      </c>
      <c r="AB117" s="90">
        <f>IF('04 Operating Model'!AB$81=0,0,AB110/'04 Operating Model'!AB$81)</f>
        <v>0</v>
      </c>
      <c r="AC117" s="90">
        <f>IF('04 Operating Model'!AC$81=0,0,AC110/'04 Operating Model'!AC$81)</f>
        <v>0</v>
      </c>
      <c r="AD117" s="90">
        <f>IF('04 Operating Model'!AD$81=0,0,AD110/'04 Operating Model'!AD$81)</f>
        <v>0</v>
      </c>
      <c r="AE117" s="90">
        <f>IF('04 Operating Model'!AE$81=0,0,AE110/'04 Operating Model'!AE$81)</f>
        <v>0</v>
      </c>
      <c r="AF117" s="90">
        <f>IF('04 Operating Model'!AF$81=0,0,AF110/'04 Operating Model'!AF$81)</f>
        <v>0</v>
      </c>
      <c r="AG117" s="90">
        <f>IF('04 Operating Model'!AG$81=0,0,AG110/'04 Operating Model'!AG$81)</f>
        <v>0</v>
      </c>
      <c r="AH117" s="90">
        <f>IF('04 Operating Model'!AH$81=0,0,AH110/'04 Operating Model'!AH$81)</f>
        <v>0</v>
      </c>
      <c r="AI117" s="90">
        <f>IF('04 Operating Model'!AI$81=0,0,AI110/'04 Operating Model'!AI$81)</f>
        <v>0</v>
      </c>
      <c r="AJ117" s="90">
        <f>IF('04 Operating Model'!AJ$81=0,0,AJ110/'04 Operating Model'!AJ$81)</f>
        <v>0</v>
      </c>
      <c r="AK117" s="90">
        <f>IF('04 Operating Model'!AK$81=0,0,AK110/'04 Operating Model'!AK$81)</f>
        <v>0</v>
      </c>
      <c r="AL117" s="90">
        <f>IF('04 Operating Model'!AL$81=0,0,AL110/'04 Operating Model'!AL$81)</f>
        <v>0</v>
      </c>
      <c r="AM117" s="90">
        <f>IF('04 Operating Model'!AM$81=0,0,AM110/'04 Operating Model'!AM$81)</f>
        <v>0</v>
      </c>
      <c r="AN117" s="90">
        <f>IF('04 Operating Model'!AN$81=0,0,AN110/'04 Operating Model'!AN$81)</f>
        <v>0</v>
      </c>
      <c r="AO117" s="90">
        <f>IF('04 Operating Model'!AO$81=0,0,AO110/'04 Operating Model'!AO$81)</f>
        <v>0</v>
      </c>
      <c r="AP117" s="90">
        <f>IF('04 Operating Model'!AP$81=0,0,AP110/'04 Operating Model'!AP$81)</f>
        <v>0</v>
      </c>
      <c r="AQ117" s="90">
        <f>IF('04 Operating Model'!AQ$81=0,0,AQ110/'04 Operating Model'!AQ$81)</f>
        <v>0</v>
      </c>
      <c r="AR117" s="90">
        <f>IF('04 Operating Model'!AR$81=0,0,AR110/'04 Operating Model'!AR$81)</f>
        <v>0</v>
      </c>
      <c r="AS117" s="90">
        <f>IF('04 Operating Model'!AS$81=0,0,AS110/'04 Operating Model'!AS$81)</f>
        <v>0</v>
      </c>
      <c r="AT117" s="90">
        <f>IF('04 Operating Model'!AT$81=0,0,AT110/'04 Operating Model'!AT$81)</f>
        <v>0</v>
      </c>
      <c r="AU117" s="90">
        <f>IF('04 Operating Model'!AU$81=0,0,AU110/'04 Operating Model'!AU$81)</f>
        <v>0</v>
      </c>
      <c r="AV117" s="90">
        <f>IF('04 Operating Model'!AV$81=0,0,AV110/'04 Operating Model'!AV$81)</f>
        <v>0</v>
      </c>
      <c r="AW117" s="90">
        <f>IF('04 Operating Model'!AW$81=0,0,AW110/'04 Operating Model'!AW$81)</f>
        <v>0</v>
      </c>
      <c r="AX117" s="90">
        <f>IF('04 Operating Model'!AX$81=0,0,AX110/'04 Operating Model'!AX$81)</f>
        <v>0</v>
      </c>
      <c r="AY117" s="90">
        <f>IF('04 Operating Model'!AY$81=0,0,AY110/'04 Operating Model'!AY$81)</f>
        <v>0</v>
      </c>
      <c r="AZ117" s="90">
        <f>IF('04 Operating Model'!AZ$81=0,0,AZ110/'04 Operating Model'!AZ$81)</f>
        <v>0</v>
      </c>
      <c r="BA117" s="90">
        <f>IF('04 Operating Model'!BA$81=0,0,BA110/'04 Operating Model'!BA$81)</f>
        <v>0</v>
      </c>
      <c r="BB117" s="90">
        <f>IF('04 Operating Model'!BB$81=0,0,BB110/'04 Operating Model'!BB$81)</f>
        <v>0</v>
      </c>
      <c r="BC117" s="90">
        <f>IF('04 Operating Model'!BC$81=0,0,BC110/'04 Operating Model'!BC$81)</f>
        <v>0</v>
      </c>
      <c r="BD117" s="90">
        <f>IF('04 Operating Model'!BD$81=0,0,BD110/'04 Operating Model'!BD$81)</f>
        <v>0</v>
      </c>
      <c r="BE117" s="90">
        <f>IF('04 Operating Model'!BE$81=0,0,BE110/'04 Operating Model'!BE$81)</f>
        <v>0</v>
      </c>
      <c r="BF117" s="90">
        <f>IF('04 Operating Model'!BF$81=0,0,BF110/'04 Operating Model'!BF$81)</f>
        <v>0</v>
      </c>
      <c r="BG117" s="90">
        <f>IF('04 Operating Model'!BG$81=0,0,BG110/'04 Operating Model'!BG$81)</f>
        <v>0</v>
      </c>
      <c r="BH117" s="90">
        <f>IF('04 Operating Model'!BH$81=0,0,BH110/'04 Operating Model'!BH$81)</f>
        <v>0</v>
      </c>
      <c r="BI117" s="90">
        <f>IF('04 Operating Model'!BI$81=0,0,BI110/'04 Operating Model'!BI$81)</f>
        <v>0</v>
      </c>
      <c r="BJ117" s="90">
        <f>IF('04 Operating Model'!BJ$81=0,0,BJ110/'04 Operating Model'!BJ$81)</f>
        <v>0</v>
      </c>
      <c r="BK117" s="90">
        <f>IF('04 Operating Model'!BK$81=0,0,BK110/'04 Operating Model'!BK$81)</f>
        <v>0</v>
      </c>
      <c r="BL117" s="90">
        <f>IF('04 Operating Model'!BL$81=0,0,BL110/'04 Operating Model'!BL$81)</f>
        <v>0</v>
      </c>
      <c r="BM117" s="90">
        <f>IF('04 Operating Model'!BM$81=0,0,BM110/'04 Operating Model'!BM$81)</f>
        <v>0</v>
      </c>
      <c r="BN117" s="90">
        <f>IF('04 Operating Model'!BN$81=0,0,BN110/'04 Operating Model'!BN$81)</f>
        <v>0</v>
      </c>
      <c r="BO117" s="90">
        <f>IF('04 Operating Model'!BO$81=0,0,BO110/'04 Operating Model'!BO$81)</f>
        <v>0</v>
      </c>
    </row>
    <row r="118" spans="1:67">
      <c r="A118" s="11"/>
      <c r="B118" s="11"/>
      <c r="C118" s="11" t="s">
        <v>253</v>
      </c>
      <c r="D118" s="33"/>
      <c r="E118" s="33"/>
      <c r="F118" s="10" t="s">
        <v>70</v>
      </c>
      <c r="G118" s="90">
        <f>IF('04 Operating Model'!G$82=0,0,G111/'04 Operating Model'!G$82)</f>
        <v>0</v>
      </c>
      <c r="H118" s="90">
        <f>IF('04 Operating Model'!H$82=0,0,H111/'04 Operating Model'!H$82)</f>
        <v>0</v>
      </c>
      <c r="I118" s="90">
        <f>IF('04 Operating Model'!I$82=0,0,I111/'04 Operating Model'!I$82)</f>
        <v>0</v>
      </c>
      <c r="J118" s="90">
        <f>IF('04 Operating Model'!J$82=0,0,J111/'04 Operating Model'!J$82)</f>
        <v>0</v>
      </c>
      <c r="K118" s="90">
        <f>IF('04 Operating Model'!K$82=0,0,K111/'04 Operating Model'!K$82)</f>
        <v>0</v>
      </c>
      <c r="L118" s="90">
        <f>IF('04 Operating Model'!L$82=0,0,L111/'04 Operating Model'!L$82)</f>
        <v>0</v>
      </c>
      <c r="M118" s="90">
        <f>IF('04 Operating Model'!M$82=0,0,M111/'04 Operating Model'!M$82)</f>
        <v>0</v>
      </c>
      <c r="N118" s="90">
        <f>IF('04 Operating Model'!N$82=0,0,N111/'04 Operating Model'!N$82)</f>
        <v>0</v>
      </c>
      <c r="O118" s="90">
        <f>IF('04 Operating Model'!O$82=0,0,O111/'04 Operating Model'!O$82)</f>
        <v>0</v>
      </c>
      <c r="P118" s="90">
        <f>IF('04 Operating Model'!P$82=0,0,P111/'04 Operating Model'!P$82)</f>
        <v>0</v>
      </c>
      <c r="Q118" s="90">
        <f>IF('04 Operating Model'!Q$82=0,0,Q111/'04 Operating Model'!Q$82)</f>
        <v>0</v>
      </c>
      <c r="R118" s="90">
        <f>IF('04 Operating Model'!R$82=0,0,R111/'04 Operating Model'!R$82)</f>
        <v>0</v>
      </c>
      <c r="S118" s="90">
        <f>IF('04 Operating Model'!S$82=0,0,S111/'04 Operating Model'!S$82)</f>
        <v>0</v>
      </c>
      <c r="T118" s="90">
        <f>IF('04 Operating Model'!T$82=0,0,T111/'04 Operating Model'!T$82)</f>
        <v>0</v>
      </c>
      <c r="U118" s="90">
        <f>IF('04 Operating Model'!U$82=0,0,U111/'04 Operating Model'!U$82)</f>
        <v>0</v>
      </c>
      <c r="V118" s="90">
        <f>IF('04 Operating Model'!V$82=0,0,V111/'04 Operating Model'!V$82)</f>
        <v>0</v>
      </c>
      <c r="W118" s="90">
        <f>IF('04 Operating Model'!W$82=0,0,W111/'04 Operating Model'!W$82)</f>
        <v>0</v>
      </c>
      <c r="X118" s="90">
        <f>IF('04 Operating Model'!X$82=0,0,X111/'04 Operating Model'!X$82)</f>
        <v>0</v>
      </c>
      <c r="Y118" s="90">
        <f>IF('04 Operating Model'!Y$82=0,0,Y111/'04 Operating Model'!Y$82)</f>
        <v>0</v>
      </c>
      <c r="Z118" s="90">
        <f>IF('04 Operating Model'!Z$82=0,0,Z111/'04 Operating Model'!Z$82)</f>
        <v>0</v>
      </c>
      <c r="AA118" s="90">
        <f>IF('04 Operating Model'!AA$82=0,0,AA111/'04 Operating Model'!AA$82)</f>
        <v>0</v>
      </c>
      <c r="AB118" s="90">
        <f>IF('04 Operating Model'!AB$82=0,0,AB111/'04 Operating Model'!AB$82)</f>
        <v>68698.30663214653</v>
      </c>
      <c r="AC118" s="90">
        <f>IF('04 Operating Model'!AC$82=0,0,AC111/'04 Operating Model'!AC$82)</f>
        <v>30503.884708895788</v>
      </c>
      <c r="AD118" s="90">
        <f>IF('04 Operating Model'!AD$82=0,0,AD111/'04 Operating Model'!AD$82)</f>
        <v>26386.644700613189</v>
      </c>
      <c r="AE118" s="90">
        <f>IF('04 Operating Model'!AE$82=0,0,AE111/'04 Operating Model'!AE$82)</f>
        <v>24014.15254808321</v>
      </c>
      <c r="AF118" s="90">
        <f>IF('04 Operating Model'!AF$82=0,0,AF111/'04 Operating Model'!AF$82)</f>
        <v>22006.842210508654</v>
      </c>
      <c r="AG118" s="90">
        <f>IF('04 Operating Model'!AG$82=0,0,AG111/'04 Operating Model'!AG$82)</f>
        <v>20496.580147000186</v>
      </c>
      <c r="AH118" s="90">
        <f>IF('04 Operating Model'!AH$82=0,0,AH111/'04 Operating Model'!AH$82)</f>
        <v>19319.087690705448</v>
      </c>
      <c r="AI118" s="90">
        <f>IF('04 Operating Model'!AI$82=0,0,AI111/'04 Operating Model'!AI$82)</f>
        <v>18375.296027263092</v>
      </c>
      <c r="AJ118" s="90">
        <f>IF('04 Operating Model'!AJ$82=0,0,AJ111/'04 Operating Model'!AJ$82)</f>
        <v>17601.911191942279</v>
      </c>
      <c r="AK118" s="90">
        <f>IF('04 Operating Model'!AK$82=0,0,AK111/'04 Operating Model'!AK$82)</f>
        <v>16956.602826165028</v>
      </c>
      <c r="AL118" s="90">
        <f>IF('04 Operating Model'!AL$82=0,0,AL111/'04 Operating Model'!AL$82)</f>
        <v>16409.98868103608</v>
      </c>
      <c r="AM118" s="90">
        <f>IF('04 Operating Model'!AM$82=0,0,AM111/'04 Operating Model'!AM$82)</f>
        <v>15941.035561991017</v>
      </c>
      <c r="AN118" s="90">
        <f>IF('04 Operating Model'!AN$82=0,0,AN111/'04 Operating Model'!AN$82)</f>
        <v>15534.290509758051</v>
      </c>
      <c r="AO118" s="90">
        <f>IF('04 Operating Model'!AO$82=0,0,AO111/'04 Operating Model'!AO$82)</f>
        <v>15539.876742291373</v>
      </c>
      <c r="AP118" s="90">
        <f>IF('04 Operating Model'!AP$82=0,0,AP111/'04 Operating Model'!AP$82)</f>
        <v>15545.462974824695</v>
      </c>
      <c r="AQ118" s="90">
        <f>IF('04 Operating Model'!AQ$82=0,0,AQ111/'04 Operating Model'!AQ$82)</f>
        <v>15839.87699061093</v>
      </c>
      <c r="AR118" s="90">
        <f>IF('04 Operating Model'!AR$82=0,0,AR111/'04 Operating Model'!AR$82)</f>
        <v>15845.480798559085</v>
      </c>
      <c r="AS118" s="90">
        <f>IF('04 Operating Model'!AS$82=0,0,AS111/'04 Operating Model'!AS$82)</f>
        <v>15851.084606507235</v>
      </c>
      <c r="AT118" s="90">
        <f>IF('04 Operating Model'!AT$82=0,0,AT111/'04 Operating Model'!AT$82)</f>
        <v>15856.688414455384</v>
      </c>
      <c r="AU118" s="90">
        <f>IF('04 Operating Model'!AU$82=0,0,AU111/'04 Operating Model'!AU$82)</f>
        <v>15862.292222403539</v>
      </c>
      <c r="AV118" s="90">
        <f>IF('04 Operating Model'!AV$82=0,0,AV111/'04 Operating Model'!AV$82)</f>
        <v>15867.896030351692</v>
      </c>
      <c r="AW118" s="90">
        <f>IF('04 Operating Model'!AW$82=0,0,AW111/'04 Operating Model'!AW$82)</f>
        <v>15873.499838299846</v>
      </c>
      <c r="AX118" s="90">
        <f>IF('04 Operating Model'!AX$82=0,0,AX111/'04 Operating Model'!AX$82)</f>
        <v>15879.103646247997</v>
      </c>
      <c r="AY118" s="90">
        <f>IF('04 Operating Model'!AY$82=0,0,AY111/'04 Operating Model'!AY$82)</f>
        <v>15884.70745419615</v>
      </c>
      <c r="AZ118" s="90">
        <f>IF('04 Operating Model'!AZ$82=0,0,AZ111/'04 Operating Model'!AZ$82)</f>
        <v>15890.311262144302</v>
      </c>
      <c r="BA118" s="90">
        <f>IF('04 Operating Model'!BA$82=0,0,BA111/'04 Operating Model'!BA$82)</f>
        <v>15895.915070092455</v>
      </c>
      <c r="BB118" s="90">
        <f>IF('04 Operating Model'!BB$82=0,0,BB111/'04 Operating Model'!BB$82)</f>
        <v>15901.51887804061</v>
      </c>
      <c r="BC118" s="90">
        <f>IF('04 Operating Model'!BC$82=0,0,BC111/'04 Operating Model'!BC$82)</f>
        <v>16204.196404901671</v>
      </c>
      <c r="BD118" s="90">
        <f>IF('04 Operating Model'!BD$82=0,0,BD111/'04 Operating Model'!BD$82)</f>
        <v>16209.817964018803</v>
      </c>
      <c r="BE118" s="90">
        <f>IF('04 Operating Model'!BE$82=0,0,BE111/'04 Operating Model'!BE$82)</f>
        <v>16215.439523135938</v>
      </c>
      <c r="BF118" s="90">
        <f>IF('04 Operating Model'!BF$82=0,0,BF111/'04 Operating Model'!BF$82)</f>
        <v>16221.061082253067</v>
      </c>
      <c r="BG118" s="90">
        <f>IF('04 Operating Model'!BG$82=0,0,BG111/'04 Operating Model'!BG$82)</f>
        <v>16226.682641370202</v>
      </c>
      <c r="BH118" s="90">
        <f>IF('04 Operating Model'!BH$82=0,0,BH111/'04 Operating Model'!BH$82)</f>
        <v>16232.304200487331</v>
      </c>
      <c r="BI118" s="90">
        <f>IF('04 Operating Model'!BI$82=0,0,BI111/'04 Operating Model'!BI$82)</f>
        <v>16617.339994263621</v>
      </c>
      <c r="BJ118" s="90">
        <f>IF('04 Operating Model'!BJ$82=0,0,BJ111/'04 Operating Model'!BJ$82)</f>
        <v>16999.491710255992</v>
      </c>
      <c r="BK118" s="90">
        <f>IF('04 Operating Model'!BK$82=0,0,BK111/'04 Operating Model'!BK$82)</f>
        <v>17333.916324793292</v>
      </c>
      <c r="BL118" s="90">
        <f>IF('04 Operating Model'!BL$82=0,0,BL111/'04 Operating Model'!BL$82)</f>
        <v>17715.976298708814</v>
      </c>
      <c r="BM118" s="90">
        <f>IF('04 Operating Model'!BM$82=0,0,BM111/'04 Operating Model'!BM$82)</f>
        <v>18126.977389775238</v>
      </c>
      <c r="BN118" s="90">
        <f>IF('04 Operating Model'!BN$82=0,0,BN111/'04 Operating Model'!BN$82)</f>
        <v>18560.967931725256</v>
      </c>
      <c r="BO118" s="90">
        <f>IF('04 Operating Model'!BO$82=0,0,BO111/'04 Operating Model'!BO$82)</f>
        <v>18984.173100183321</v>
      </c>
    </row>
    <row r="119" spans="1:67">
      <c r="A119" s="11"/>
      <c r="B119" s="11"/>
      <c r="C119" s="11" t="s">
        <v>75</v>
      </c>
      <c r="D119" s="33"/>
      <c r="E119" s="33"/>
      <c r="F119" s="10" t="s">
        <v>70</v>
      </c>
      <c r="G119" s="90">
        <f>IF('04 Operating Model'!G$83=0,0,G112/'04 Operating Model'!G$83)</f>
        <v>0</v>
      </c>
      <c r="H119" s="90">
        <f>IF('04 Operating Model'!H$83=0,0,H112/'04 Operating Model'!H$83)</f>
        <v>0</v>
      </c>
      <c r="I119" s="90">
        <f>IF('04 Operating Model'!I$83=0,0,I112/'04 Operating Model'!I$83)</f>
        <v>0</v>
      </c>
      <c r="J119" s="90">
        <f>IF('04 Operating Model'!J$83=0,0,J112/'04 Operating Model'!J$83)</f>
        <v>0</v>
      </c>
      <c r="K119" s="90">
        <f>IF('04 Operating Model'!K$83=0,0,K112/'04 Operating Model'!K$83)</f>
        <v>0</v>
      </c>
      <c r="L119" s="90">
        <f>IF('04 Operating Model'!L$83=0,0,L112/'04 Operating Model'!L$83)</f>
        <v>0</v>
      </c>
      <c r="M119" s="90">
        <f>IF('04 Operating Model'!M$83=0,0,M112/'04 Operating Model'!M$83)</f>
        <v>0</v>
      </c>
      <c r="N119" s="90">
        <f>IF('04 Operating Model'!N$83=0,0,N112/'04 Operating Model'!N$83)</f>
        <v>0</v>
      </c>
      <c r="O119" s="90">
        <f>IF('04 Operating Model'!O$83=0,0,O112/'04 Operating Model'!O$83)</f>
        <v>0</v>
      </c>
      <c r="P119" s="90">
        <f>IF('04 Operating Model'!P$83=0,0,P112/'04 Operating Model'!P$83)</f>
        <v>0</v>
      </c>
      <c r="Q119" s="90">
        <f>IF('04 Operating Model'!Q$83=0,0,Q112/'04 Operating Model'!Q$83)</f>
        <v>0</v>
      </c>
      <c r="R119" s="90">
        <f>IF('04 Operating Model'!R$83=0,0,R112/'04 Operating Model'!R$83)</f>
        <v>0</v>
      </c>
      <c r="S119" s="90">
        <f>IF('04 Operating Model'!S$83=0,0,S112/'04 Operating Model'!S$83)</f>
        <v>0</v>
      </c>
      <c r="T119" s="90">
        <f>IF('04 Operating Model'!T$83=0,0,T112/'04 Operating Model'!T$83)</f>
        <v>0</v>
      </c>
      <c r="U119" s="90">
        <f>IF('04 Operating Model'!U$83=0,0,U112/'04 Operating Model'!U$83)</f>
        <v>0</v>
      </c>
      <c r="V119" s="90">
        <f>IF('04 Operating Model'!V$83=0,0,V112/'04 Operating Model'!V$83)</f>
        <v>0</v>
      </c>
      <c r="W119" s="90">
        <f>IF('04 Operating Model'!W$83=0,0,W112/'04 Operating Model'!W$83)</f>
        <v>0</v>
      </c>
      <c r="X119" s="90">
        <f>IF('04 Operating Model'!X$83=0,0,X112/'04 Operating Model'!X$83)</f>
        <v>0</v>
      </c>
      <c r="Y119" s="90">
        <f>IF('04 Operating Model'!Y$83=0,0,Y112/'04 Operating Model'!Y$83)</f>
        <v>0</v>
      </c>
      <c r="Z119" s="90">
        <f>IF('04 Operating Model'!Z$83=0,0,Z112/'04 Operating Model'!Z$83)</f>
        <v>0</v>
      </c>
      <c r="AA119" s="90">
        <f>IF('04 Operating Model'!AA$83=0,0,AA112/'04 Operating Model'!AA$83)</f>
        <v>0</v>
      </c>
      <c r="AB119" s="90">
        <f>IF('04 Operating Model'!AB$83=0,0,AB112/'04 Operating Model'!AB$83)</f>
        <v>68698.30663214653</v>
      </c>
      <c r="AC119" s="90">
        <f>IF('04 Operating Model'!AC$83=0,0,AC112/'04 Operating Model'!AC$83)</f>
        <v>30503.884708895788</v>
      </c>
      <c r="AD119" s="90">
        <f>IF('04 Operating Model'!AD$83=0,0,AD112/'04 Operating Model'!AD$83)</f>
        <v>26386.644700613193</v>
      </c>
      <c r="AE119" s="90">
        <f>IF('04 Operating Model'!AE$83=0,0,AE112/'04 Operating Model'!AE$83)</f>
        <v>24014.15254808321</v>
      </c>
      <c r="AF119" s="90">
        <f>IF('04 Operating Model'!AF$83=0,0,AF112/'04 Operating Model'!AF$83)</f>
        <v>22006.84221050865</v>
      </c>
      <c r="AG119" s="90">
        <f>IF('04 Operating Model'!AG$83=0,0,AG112/'04 Operating Model'!AG$83)</f>
        <v>20496.580147000186</v>
      </c>
      <c r="AH119" s="90">
        <f>IF('04 Operating Model'!AH$83=0,0,AH112/'04 Operating Model'!AH$83)</f>
        <v>19319.087690705448</v>
      </c>
      <c r="AI119" s="90">
        <f>IF('04 Operating Model'!AI$83=0,0,AI112/'04 Operating Model'!AI$83)</f>
        <v>18375.296027263092</v>
      </c>
      <c r="AJ119" s="90">
        <f>IF('04 Operating Model'!AJ$83=0,0,AJ112/'04 Operating Model'!AJ$83)</f>
        <v>17601.911191942276</v>
      </c>
      <c r="AK119" s="90">
        <f>IF('04 Operating Model'!AK$83=0,0,AK112/'04 Operating Model'!AK$83)</f>
        <v>16956.602826165028</v>
      </c>
      <c r="AL119" s="90">
        <f>IF('04 Operating Model'!AL$83=0,0,AL112/'04 Operating Model'!AL$83)</f>
        <v>16409.988681036077</v>
      </c>
      <c r="AM119" s="90">
        <f>IF('04 Operating Model'!AM$83=0,0,AM112/'04 Operating Model'!AM$83)</f>
        <v>15941.035561991017</v>
      </c>
      <c r="AN119" s="90">
        <f>IF('04 Operating Model'!AN$83=0,0,AN112/'04 Operating Model'!AN$83)</f>
        <v>15534.290509758051</v>
      </c>
      <c r="AO119" s="90">
        <f>IF('04 Operating Model'!AO$83=0,0,AO112/'04 Operating Model'!AO$83)</f>
        <v>15539.876742291373</v>
      </c>
      <c r="AP119" s="90">
        <f>IF('04 Operating Model'!AP$83=0,0,AP112/'04 Operating Model'!AP$83)</f>
        <v>15545.462974824697</v>
      </c>
      <c r="AQ119" s="90">
        <f>IF('04 Operating Model'!AQ$83=0,0,AQ112/'04 Operating Model'!AQ$83)</f>
        <v>15839.876990610928</v>
      </c>
      <c r="AR119" s="90">
        <f>IF('04 Operating Model'!AR$83=0,0,AR112/'04 Operating Model'!AR$83)</f>
        <v>15845.480798559083</v>
      </c>
      <c r="AS119" s="90">
        <f>IF('04 Operating Model'!AS$83=0,0,AS112/'04 Operating Model'!AS$83)</f>
        <v>15851.084606507235</v>
      </c>
      <c r="AT119" s="90">
        <f>IF('04 Operating Model'!AT$83=0,0,AT112/'04 Operating Model'!AT$83)</f>
        <v>15856.688414455386</v>
      </c>
      <c r="AU119" s="90">
        <f>IF('04 Operating Model'!AU$83=0,0,AU112/'04 Operating Model'!AU$83)</f>
        <v>15862.292222403539</v>
      </c>
      <c r="AV119" s="90">
        <f>IF('04 Operating Model'!AV$83=0,0,AV112/'04 Operating Model'!AV$83)</f>
        <v>15867.896030351692</v>
      </c>
      <c r="AW119" s="90">
        <f>IF('04 Operating Model'!AW$83=0,0,AW112/'04 Operating Model'!AW$83)</f>
        <v>15873.499838299847</v>
      </c>
      <c r="AX119" s="90">
        <f>IF('04 Operating Model'!AX$83=0,0,AX112/'04 Operating Model'!AX$83)</f>
        <v>15879.103646247997</v>
      </c>
      <c r="AY119" s="90">
        <f>IF('04 Operating Model'!AY$83=0,0,AY112/'04 Operating Model'!AY$83)</f>
        <v>15884.707454196152</v>
      </c>
      <c r="AZ119" s="90">
        <f>IF('04 Operating Model'!AZ$83=0,0,AZ112/'04 Operating Model'!AZ$83)</f>
        <v>15890.311262144302</v>
      </c>
      <c r="BA119" s="90">
        <f>IF('04 Operating Model'!BA$83=0,0,BA112/'04 Operating Model'!BA$83)</f>
        <v>15895.915070092455</v>
      </c>
      <c r="BB119" s="90">
        <f>IF('04 Operating Model'!BB$83=0,0,BB112/'04 Operating Model'!BB$83)</f>
        <v>15901.51887804061</v>
      </c>
      <c r="BC119" s="90">
        <f>IF('04 Operating Model'!BC$83=0,0,BC112/'04 Operating Model'!BC$83)</f>
        <v>16204.19640490167</v>
      </c>
      <c r="BD119" s="90">
        <f>IF('04 Operating Model'!BD$83=0,0,BD112/'04 Operating Model'!BD$83)</f>
        <v>16209.817964018803</v>
      </c>
      <c r="BE119" s="90">
        <f>IF('04 Operating Model'!BE$83=0,0,BE112/'04 Operating Model'!BE$83)</f>
        <v>16215.439523135938</v>
      </c>
      <c r="BF119" s="90">
        <f>IF('04 Operating Model'!BF$83=0,0,BF112/'04 Operating Model'!BF$83)</f>
        <v>16221.061082253067</v>
      </c>
      <c r="BG119" s="90">
        <f>IF('04 Operating Model'!BG$83=0,0,BG112/'04 Operating Model'!BG$83)</f>
        <v>16226.682641370202</v>
      </c>
      <c r="BH119" s="90">
        <f>IF('04 Operating Model'!BH$83=0,0,BH112/'04 Operating Model'!BH$83)</f>
        <v>16232.304200487331</v>
      </c>
      <c r="BI119" s="90">
        <f>IF('04 Operating Model'!BI$83=0,0,BI112/'04 Operating Model'!BI$83)</f>
        <v>16617.339994263621</v>
      </c>
      <c r="BJ119" s="90">
        <f>IF('04 Operating Model'!BJ$83=0,0,BJ112/'04 Operating Model'!BJ$83)</f>
        <v>16999.491710255992</v>
      </c>
      <c r="BK119" s="90">
        <f>IF('04 Operating Model'!BK$83=0,0,BK112/'04 Operating Model'!BK$83)</f>
        <v>17333.916324793292</v>
      </c>
      <c r="BL119" s="90">
        <f>IF('04 Operating Model'!BL$83=0,0,BL112/'04 Operating Model'!BL$83)</f>
        <v>17715.976298708814</v>
      </c>
      <c r="BM119" s="90">
        <f>IF('04 Operating Model'!BM$83=0,0,BM112/'04 Operating Model'!BM$83)</f>
        <v>18126.977389775238</v>
      </c>
      <c r="BN119" s="90">
        <f>IF('04 Operating Model'!BN$83=0,0,BN112/'04 Operating Model'!BN$83)</f>
        <v>18560.967931725256</v>
      </c>
      <c r="BO119" s="90">
        <f>IF('04 Operating Model'!BO$83=0,0,BO112/'04 Operating Model'!BO$83)</f>
        <v>18984.173100183325</v>
      </c>
    </row>
    <row r="120" spans="1:67">
      <c r="A120" s="11"/>
      <c r="B120" s="11"/>
      <c r="C120" s="11" t="s">
        <v>78</v>
      </c>
      <c r="D120" s="33"/>
      <c r="E120" s="33"/>
      <c r="F120" s="10" t="s">
        <v>70</v>
      </c>
      <c r="G120" s="90">
        <f>IF('04 Operating Model'!G$84=0,0,G113/'04 Operating Model'!G$84)</f>
        <v>0</v>
      </c>
      <c r="H120" s="90">
        <f>IF('04 Operating Model'!H$84=0,0,H113/'04 Operating Model'!H$84)</f>
        <v>0</v>
      </c>
      <c r="I120" s="90">
        <f>IF('04 Operating Model'!I$84=0,0,I113/'04 Operating Model'!I$84)</f>
        <v>0</v>
      </c>
      <c r="J120" s="90">
        <f>IF('04 Operating Model'!J$84=0,0,J113/'04 Operating Model'!J$84)</f>
        <v>0</v>
      </c>
      <c r="K120" s="90">
        <f>IF('04 Operating Model'!K$84=0,0,K113/'04 Operating Model'!K$84)</f>
        <v>0</v>
      </c>
      <c r="L120" s="90">
        <f>IF('04 Operating Model'!L$84=0,0,L113/'04 Operating Model'!L$84)</f>
        <v>0</v>
      </c>
      <c r="M120" s="90">
        <f>IF('04 Operating Model'!M$84=0,0,M113/'04 Operating Model'!M$84)</f>
        <v>0</v>
      </c>
      <c r="N120" s="90">
        <f>IF('04 Operating Model'!N$84=0,0,N113/'04 Operating Model'!N$84)</f>
        <v>0</v>
      </c>
      <c r="O120" s="90">
        <f>IF('04 Operating Model'!O$84=0,0,O113/'04 Operating Model'!O$84)</f>
        <v>0</v>
      </c>
      <c r="P120" s="90">
        <f>IF('04 Operating Model'!P$84=0,0,P113/'04 Operating Model'!P$84)</f>
        <v>0</v>
      </c>
      <c r="Q120" s="90">
        <f>IF('04 Operating Model'!Q$84=0,0,Q113/'04 Operating Model'!Q$84)</f>
        <v>0</v>
      </c>
      <c r="R120" s="90">
        <f>IF('04 Operating Model'!R$84=0,0,R113/'04 Operating Model'!R$84)</f>
        <v>0</v>
      </c>
      <c r="S120" s="90">
        <f>IF('04 Operating Model'!S$84=0,0,S113/'04 Operating Model'!S$84)</f>
        <v>0</v>
      </c>
      <c r="T120" s="90">
        <f>IF('04 Operating Model'!T$84=0,0,T113/'04 Operating Model'!T$84)</f>
        <v>0</v>
      </c>
      <c r="U120" s="90">
        <f>IF('04 Operating Model'!U$84=0,0,U113/'04 Operating Model'!U$84)</f>
        <v>0</v>
      </c>
      <c r="V120" s="90">
        <f>IF('04 Operating Model'!V$84=0,0,V113/'04 Operating Model'!V$84)</f>
        <v>0</v>
      </c>
      <c r="W120" s="90">
        <f>IF('04 Operating Model'!W$84=0,0,W113/'04 Operating Model'!W$84)</f>
        <v>0</v>
      </c>
      <c r="X120" s="90">
        <f>IF('04 Operating Model'!X$84=0,0,X113/'04 Operating Model'!X$84)</f>
        <v>0</v>
      </c>
      <c r="Y120" s="90">
        <f>IF('04 Operating Model'!Y$84=0,0,Y113/'04 Operating Model'!Y$84)</f>
        <v>0</v>
      </c>
      <c r="Z120" s="90">
        <f>IF('04 Operating Model'!Z$84=0,0,Z113/'04 Operating Model'!Z$84)</f>
        <v>0</v>
      </c>
      <c r="AA120" s="90">
        <f>IF('04 Operating Model'!AA$84=0,0,AA113/'04 Operating Model'!AA$84)</f>
        <v>0</v>
      </c>
      <c r="AB120" s="90">
        <f>IF('04 Operating Model'!AB$84=0,0,AB113/'04 Operating Model'!AB$84)</f>
        <v>0</v>
      </c>
      <c r="AC120" s="90">
        <f>IF('04 Operating Model'!AC$84=0,0,AC113/'04 Operating Model'!AC$84)</f>
        <v>0</v>
      </c>
      <c r="AD120" s="90">
        <f>IF('04 Operating Model'!AD$84=0,0,AD113/'04 Operating Model'!AD$84)</f>
        <v>0</v>
      </c>
      <c r="AE120" s="90">
        <f>IF('04 Operating Model'!AE$84=0,0,AE113/'04 Operating Model'!AE$84)</f>
        <v>0</v>
      </c>
      <c r="AF120" s="90">
        <f>IF('04 Operating Model'!AF$84=0,0,AF113/'04 Operating Model'!AF$84)</f>
        <v>0</v>
      </c>
      <c r="AG120" s="90">
        <f>IF('04 Operating Model'!AG$84=0,0,AG113/'04 Operating Model'!AG$84)</f>
        <v>0</v>
      </c>
      <c r="AH120" s="90">
        <f>IF('04 Operating Model'!AH$84=0,0,AH113/'04 Operating Model'!AH$84)</f>
        <v>0</v>
      </c>
      <c r="AI120" s="90">
        <f>IF('04 Operating Model'!AI$84=0,0,AI113/'04 Operating Model'!AI$84)</f>
        <v>0</v>
      </c>
      <c r="AJ120" s="90">
        <f>IF('04 Operating Model'!AJ$84=0,0,AJ113/'04 Operating Model'!AJ$84)</f>
        <v>0</v>
      </c>
      <c r="AK120" s="90">
        <f>IF('04 Operating Model'!AK$84=0,0,AK113/'04 Operating Model'!AK$84)</f>
        <v>0</v>
      </c>
      <c r="AL120" s="90">
        <f>IF('04 Operating Model'!AL$84=0,0,AL113/'04 Operating Model'!AL$84)</f>
        <v>0</v>
      </c>
      <c r="AM120" s="90">
        <f>IF('04 Operating Model'!AM$84=0,0,AM113/'04 Operating Model'!AM$84)</f>
        <v>0</v>
      </c>
      <c r="AN120" s="90">
        <f>IF('04 Operating Model'!AN$84=0,0,AN113/'04 Operating Model'!AN$84)</f>
        <v>0</v>
      </c>
      <c r="AO120" s="90">
        <f>IF('04 Operating Model'!AO$84=0,0,AO113/'04 Operating Model'!AO$84)</f>
        <v>0</v>
      </c>
      <c r="AP120" s="90">
        <f>IF('04 Operating Model'!AP$84=0,0,AP113/'04 Operating Model'!AP$84)</f>
        <v>0</v>
      </c>
      <c r="AQ120" s="90">
        <f>IF('04 Operating Model'!AQ$84=0,0,AQ113/'04 Operating Model'!AQ$84)</f>
        <v>0</v>
      </c>
      <c r="AR120" s="90">
        <f>IF('04 Operating Model'!AR$84=0,0,AR113/'04 Operating Model'!AR$84)</f>
        <v>0</v>
      </c>
      <c r="AS120" s="90">
        <f>IF('04 Operating Model'!AS$84=0,0,AS113/'04 Operating Model'!AS$84)</f>
        <v>0</v>
      </c>
      <c r="AT120" s="90">
        <f>IF('04 Operating Model'!AT$84=0,0,AT113/'04 Operating Model'!AT$84)</f>
        <v>0</v>
      </c>
      <c r="AU120" s="90">
        <f>IF('04 Operating Model'!AU$84=0,0,AU113/'04 Operating Model'!AU$84)</f>
        <v>0</v>
      </c>
      <c r="AV120" s="90">
        <f>IF('04 Operating Model'!AV$84=0,0,AV113/'04 Operating Model'!AV$84)</f>
        <v>0</v>
      </c>
      <c r="AW120" s="90">
        <f>IF('04 Operating Model'!AW$84=0,0,AW113/'04 Operating Model'!AW$84)</f>
        <v>0</v>
      </c>
      <c r="AX120" s="90">
        <f>IF('04 Operating Model'!AX$84=0,0,AX113/'04 Operating Model'!AX$84)</f>
        <v>0</v>
      </c>
      <c r="AY120" s="90">
        <f>IF('04 Operating Model'!AY$84=0,0,AY113/'04 Operating Model'!AY$84)</f>
        <v>0</v>
      </c>
      <c r="AZ120" s="90">
        <f>IF('04 Operating Model'!AZ$84=0,0,AZ113/'04 Operating Model'!AZ$84)</f>
        <v>0</v>
      </c>
      <c r="BA120" s="90">
        <f>IF('04 Operating Model'!BA$84=0,0,BA113/'04 Operating Model'!BA$84)</f>
        <v>0</v>
      </c>
      <c r="BB120" s="90">
        <f>IF('04 Operating Model'!BB$84=0,0,BB113/'04 Operating Model'!BB$84)</f>
        <v>0</v>
      </c>
      <c r="BC120" s="90">
        <f>IF('04 Operating Model'!BC$84=0,0,BC113/'04 Operating Model'!BC$84)</f>
        <v>0</v>
      </c>
      <c r="BD120" s="90">
        <f>IF('04 Operating Model'!BD$84=0,0,BD113/'04 Operating Model'!BD$84)</f>
        <v>0</v>
      </c>
      <c r="BE120" s="90">
        <f>IF('04 Operating Model'!BE$84=0,0,BE113/'04 Operating Model'!BE$84)</f>
        <v>0</v>
      </c>
      <c r="BF120" s="90">
        <f>IF('04 Operating Model'!BF$84=0,0,BF113/'04 Operating Model'!BF$84)</f>
        <v>0</v>
      </c>
      <c r="BG120" s="90">
        <f>IF('04 Operating Model'!BG$84=0,0,BG113/'04 Operating Model'!BG$84)</f>
        <v>0</v>
      </c>
      <c r="BH120" s="90">
        <f>IF('04 Operating Model'!BH$84=0,0,BH113/'04 Operating Model'!BH$84)</f>
        <v>0</v>
      </c>
      <c r="BI120" s="90">
        <f>IF('04 Operating Model'!BI$84=0,0,BI113/'04 Operating Model'!BI$84)</f>
        <v>0</v>
      </c>
      <c r="BJ120" s="90">
        <f>IF('04 Operating Model'!BJ$84=0,0,BJ113/'04 Operating Model'!BJ$84)</f>
        <v>0</v>
      </c>
      <c r="BK120" s="90">
        <f>IF('04 Operating Model'!BK$84=0,0,BK113/'04 Operating Model'!BK$84)</f>
        <v>0</v>
      </c>
      <c r="BL120" s="90">
        <f>IF('04 Operating Model'!BL$84=0,0,BL113/'04 Operating Model'!BL$84)</f>
        <v>0</v>
      </c>
      <c r="BM120" s="90">
        <f>IF('04 Operating Model'!BM$84=0,0,BM113/'04 Operating Model'!BM$84)</f>
        <v>0</v>
      </c>
      <c r="BN120" s="90">
        <f>IF('04 Operating Model'!BN$84=0,0,BN113/'04 Operating Model'!BN$84)</f>
        <v>0</v>
      </c>
      <c r="BO120" s="90">
        <f>IF('04 Operating Model'!BO$84=0,0,BO113/'04 Operating Model'!BO$84)</f>
        <v>0</v>
      </c>
    </row>
    <row r="121" spans="1:67">
      <c r="A121" s="11"/>
      <c r="B121" s="11"/>
      <c r="C121" s="11"/>
      <c r="D121" s="33"/>
      <c r="E121" s="33"/>
      <c r="F121" s="43"/>
      <c r="G121" s="33"/>
      <c r="H121" s="33"/>
      <c r="I121" s="33"/>
      <c r="J121" s="33"/>
      <c r="K121" s="33"/>
      <c r="L121" s="33"/>
      <c r="M121" s="33"/>
      <c r="N121" s="33"/>
      <c r="O121" s="33"/>
      <c r="P121" s="33"/>
      <c r="Q121" s="33"/>
      <c r="R121" s="33"/>
      <c r="S121" s="33"/>
      <c r="T121" s="33"/>
      <c r="U121" s="33"/>
      <c r="V121" s="33"/>
      <c r="W121" s="33"/>
      <c r="X121" s="33"/>
      <c r="Y121" s="33"/>
      <c r="Z121" s="33"/>
      <c r="AA121" s="33"/>
      <c r="AB121" s="33"/>
      <c r="AC121" s="33"/>
      <c r="AD121" s="33"/>
      <c r="AE121" s="33"/>
      <c r="AF121" s="33"/>
      <c r="AG121" s="33"/>
      <c r="AH121" s="33"/>
      <c r="AI121" s="33"/>
      <c r="AJ121" s="33"/>
      <c r="AK121" s="33"/>
      <c r="AL121" s="33"/>
      <c r="AM121" s="33"/>
      <c r="AN121" s="33"/>
      <c r="AO121" s="33"/>
      <c r="AP121" s="33"/>
      <c r="AQ121" s="33"/>
      <c r="AR121" s="33"/>
      <c r="AS121" s="33"/>
      <c r="AT121" s="33"/>
      <c r="AU121" s="33"/>
      <c r="AV121" s="33"/>
      <c r="AW121" s="33"/>
      <c r="AX121" s="33"/>
      <c r="AY121" s="33"/>
      <c r="AZ121" s="33"/>
      <c r="BA121" s="33"/>
      <c r="BB121" s="33"/>
      <c r="BC121" s="33"/>
      <c r="BD121" s="33"/>
      <c r="BE121" s="33"/>
      <c r="BF121" s="33"/>
      <c r="BG121" s="33"/>
      <c r="BH121" s="33"/>
      <c r="BI121" s="33"/>
      <c r="BJ121" s="33"/>
      <c r="BK121" s="33"/>
      <c r="BL121" s="33"/>
      <c r="BM121" s="33"/>
      <c r="BN121" s="33"/>
      <c r="BO121" s="33"/>
    </row>
    <row r="122" spans="1:67">
      <c r="A122" s="11"/>
      <c r="B122" s="22" t="s">
        <v>441</v>
      </c>
      <c r="C122" s="11"/>
      <c r="D122" s="33"/>
      <c r="E122" s="33"/>
      <c r="F122" s="43"/>
      <c r="G122" s="33"/>
      <c r="H122" s="33"/>
      <c r="I122" s="33"/>
      <c r="J122" s="33"/>
      <c r="K122" s="33"/>
      <c r="L122" s="33"/>
      <c r="M122" s="33"/>
      <c r="N122" s="33"/>
      <c r="O122" s="33"/>
      <c r="P122" s="33"/>
      <c r="Q122" s="33"/>
      <c r="R122" s="33"/>
      <c r="S122" s="33"/>
      <c r="T122" s="33"/>
      <c r="U122" s="33"/>
      <c r="V122" s="33"/>
      <c r="W122" s="33"/>
      <c r="X122" s="33"/>
      <c r="Y122" s="33"/>
      <c r="Z122" s="33"/>
      <c r="AA122" s="33"/>
      <c r="AB122" s="33"/>
      <c r="AC122" s="33"/>
      <c r="AD122" s="33"/>
      <c r="AE122" s="33"/>
      <c r="AF122" s="33"/>
      <c r="AG122" s="33"/>
      <c r="AH122" s="33"/>
      <c r="AI122" s="33"/>
      <c r="AJ122" s="33"/>
      <c r="AK122" s="33"/>
      <c r="AL122" s="33"/>
      <c r="AM122" s="33"/>
      <c r="AN122" s="33"/>
      <c r="AO122" s="33"/>
      <c r="AP122" s="33"/>
      <c r="AQ122" s="33"/>
      <c r="AR122" s="33"/>
      <c r="AS122" s="33"/>
      <c r="AT122" s="33"/>
      <c r="AU122" s="33"/>
      <c r="AV122" s="33"/>
      <c r="AW122" s="33"/>
      <c r="AX122" s="33"/>
      <c r="AY122" s="33"/>
      <c r="AZ122" s="33"/>
      <c r="BA122" s="33"/>
      <c r="BB122" s="33"/>
      <c r="BC122" s="33"/>
      <c r="BD122" s="33"/>
      <c r="BE122" s="33"/>
      <c r="BF122" s="33"/>
      <c r="BG122" s="33"/>
      <c r="BH122" s="33"/>
      <c r="BI122" s="33"/>
      <c r="BJ122" s="33"/>
      <c r="BK122" s="33"/>
      <c r="BL122" s="33"/>
      <c r="BM122" s="33"/>
      <c r="BN122" s="33"/>
      <c r="BO122" s="33"/>
    </row>
    <row r="123" spans="1:67">
      <c r="A123" s="11"/>
      <c r="B123" s="11"/>
      <c r="C123" s="11" t="s">
        <v>72</v>
      </c>
      <c r="D123" s="33"/>
      <c r="E123" s="33"/>
      <c r="F123" s="10" t="s">
        <v>13</v>
      </c>
      <c r="G123" s="90">
        <f>'04 Operating Model'!G$96-G109</f>
        <v>0</v>
      </c>
      <c r="H123" s="90">
        <f>'04 Operating Model'!H$96-H109</f>
        <v>0</v>
      </c>
      <c r="I123" s="90">
        <f>'04 Operating Model'!I$96-I109</f>
        <v>0</v>
      </c>
      <c r="J123" s="90">
        <f>'04 Operating Model'!J$96-J109</f>
        <v>0</v>
      </c>
      <c r="K123" s="90">
        <f>'04 Operating Model'!K$96-K109</f>
        <v>0</v>
      </c>
      <c r="L123" s="90">
        <f>'04 Operating Model'!L$96-L109</f>
        <v>0</v>
      </c>
      <c r="M123" s="90">
        <f>'04 Operating Model'!M$96-M109</f>
        <v>0</v>
      </c>
      <c r="N123" s="90">
        <f>'04 Operating Model'!N$96-N109</f>
        <v>0</v>
      </c>
      <c r="O123" s="90">
        <f>'04 Operating Model'!O$96-O109</f>
        <v>0</v>
      </c>
      <c r="P123" s="90">
        <f>'04 Operating Model'!P$96-P109</f>
        <v>0</v>
      </c>
      <c r="Q123" s="90">
        <f>'04 Operating Model'!Q$96-Q109</f>
        <v>0</v>
      </c>
      <c r="R123" s="90">
        <f>'04 Operating Model'!R$96-R109</f>
        <v>0</v>
      </c>
      <c r="S123" s="90">
        <f>'04 Operating Model'!S$96-S109</f>
        <v>0</v>
      </c>
      <c r="T123" s="90">
        <f>'04 Operating Model'!T$96-T109</f>
        <v>0</v>
      </c>
      <c r="U123" s="90">
        <f>'04 Operating Model'!U$96-U109</f>
        <v>0</v>
      </c>
      <c r="V123" s="90">
        <f>'04 Operating Model'!V$96-V109</f>
        <v>0</v>
      </c>
      <c r="W123" s="90">
        <f>'04 Operating Model'!W$96-W109</f>
        <v>0</v>
      </c>
      <c r="X123" s="90">
        <f>'04 Operating Model'!X$96-X109</f>
        <v>0</v>
      </c>
      <c r="Y123" s="90">
        <f>'04 Operating Model'!Y$96-Y109</f>
        <v>0</v>
      </c>
      <c r="Z123" s="90">
        <f>'04 Operating Model'!Z$96-Z109</f>
        <v>0</v>
      </c>
      <c r="AA123" s="90">
        <f>'04 Operating Model'!AA$96-AA109</f>
        <v>0</v>
      </c>
      <c r="AB123" s="90">
        <f>'04 Operating Model'!AB$96-AB109</f>
        <v>-13515254.407089377</v>
      </c>
      <c r="AC123" s="90">
        <f>'04 Operating Model'!AC$96-AC109</f>
        <v>-4792244.1284341197</v>
      </c>
      <c r="AD123" s="90">
        <f>'04 Operating Model'!AD$96-AD109</f>
        <v>-4207110.7665067753</v>
      </c>
      <c r="AE123" s="90">
        <f>'04 Operating Model'!AE$96-AE109</f>
        <v>-3652045.6932424046</v>
      </c>
      <c r="AF123" s="90">
        <f>'04 Operating Model'!AF$96-AF109</f>
        <v>-3056521.779402623</v>
      </c>
      <c r="AG123" s="90">
        <f>'04 Operating Model'!AG$96-AG109</f>
        <v>-2460997.8655628487</v>
      </c>
      <c r="AH123" s="90">
        <f>'04 Operating Model'!AH$96-AH109</f>
        <v>-1865473.9517230727</v>
      </c>
      <c r="AI123" s="90">
        <f>'04 Operating Model'!AI$96-AI109</f>
        <v>-1269950.0378832929</v>
      </c>
      <c r="AJ123" s="90">
        <f>'04 Operating Model'!AJ$96-AJ109</f>
        <v>-674426.12404351495</v>
      </c>
      <c r="AK123" s="90">
        <f>'04 Operating Model'!AK$96-AK109</f>
        <v>-78902.21020372957</v>
      </c>
      <c r="AL123" s="90">
        <f>'04 Operating Model'!AL$96-AL109</f>
        <v>516621.70363603905</v>
      </c>
      <c r="AM123" s="90">
        <f>'04 Operating Model'!AM$96-AM109</f>
        <v>1112145.6174758226</v>
      </c>
      <c r="AN123" s="90">
        <f>'04 Operating Model'!AN$96-AN109</f>
        <v>1707669.5313156061</v>
      </c>
      <c r="AO123" s="90">
        <f>'04 Operating Model'!AO$96-AO109</f>
        <v>1700575.66400126</v>
      </c>
      <c r="AP123" s="90">
        <f>'04 Operating Model'!AP$96-AP109</f>
        <v>1693481.7966869138</v>
      </c>
      <c r="AQ123" s="90">
        <f>'04 Operating Model'!AQ$96-AQ109</f>
        <v>1748298.4786844142</v>
      </c>
      <c r="AR123" s="90">
        <f>'04 Operating Model'!AR$96-AR109</f>
        <v>1741182.29263198</v>
      </c>
      <c r="AS123" s="90">
        <f>'04 Operating Model'!AS$96-AS109</f>
        <v>1734066.1065795496</v>
      </c>
      <c r="AT123" s="90">
        <f>'04 Operating Model'!AT$96-AT109</f>
        <v>1726949.9205271192</v>
      </c>
      <c r="AU123" s="90">
        <f>'04 Operating Model'!AU$96-AU109</f>
        <v>1719833.7344746888</v>
      </c>
      <c r="AV123" s="90">
        <f>'04 Operating Model'!AV$96-AV109</f>
        <v>1712717.5484222546</v>
      </c>
      <c r="AW123" s="90">
        <f>'04 Operating Model'!AW$96-AW109</f>
        <v>1705601.3623698205</v>
      </c>
      <c r="AX123" s="90">
        <f>'04 Operating Model'!AX$96-AX109</f>
        <v>1698485.1763173901</v>
      </c>
      <c r="AY123" s="90">
        <f>'04 Operating Model'!AY$96-AY109</f>
        <v>1691368.9902649596</v>
      </c>
      <c r="AZ123" s="90">
        <f>'04 Operating Model'!AZ$96-AZ109</f>
        <v>1684252.8042125292</v>
      </c>
      <c r="BA123" s="90">
        <f>'04 Operating Model'!BA$96-BA109</f>
        <v>1677136.6181600951</v>
      </c>
      <c r="BB123" s="90">
        <f>'04 Operating Model'!BB$96-BB109</f>
        <v>1670020.4321076609</v>
      </c>
      <c r="BC123" s="90">
        <f>'04 Operating Model'!BC$96-BC109</f>
        <v>1722917.1802078187</v>
      </c>
      <c r="BD123" s="90">
        <f>'04 Operating Model'!BD$96-BD109</f>
        <v>1715778.452229917</v>
      </c>
      <c r="BE123" s="90">
        <f>'04 Operating Model'!BE$96-BE109</f>
        <v>1708639.7242520154</v>
      </c>
      <c r="BF123" s="90">
        <f>'04 Operating Model'!BF$96-BF109</f>
        <v>1701500.9962741174</v>
      </c>
      <c r="BG123" s="90">
        <f>'04 Operating Model'!BG$96-BG109</f>
        <v>1694362.2682962157</v>
      </c>
      <c r="BH123" s="90">
        <f>'04 Operating Model'!BH$96-BH109</f>
        <v>1687223.5403183177</v>
      </c>
      <c r="BI123" s="90">
        <f>'04 Operating Model'!BI$96-BI109</f>
        <v>19731361.019130141</v>
      </c>
      <c r="BJ123" s="90">
        <f>'04 Operating Model'!BJ$96-BJ109</f>
        <v>19367030.646483809</v>
      </c>
      <c r="BK123" s="90">
        <f>'04 Operating Model'!BK$96-BK109</f>
        <v>19839177.460365266</v>
      </c>
      <c r="BL123" s="90">
        <f>'04 Operating Model'!BL$96-BL109</f>
        <v>19696793.954150259</v>
      </c>
      <c r="BM123" s="90">
        <f>'04 Operating Model'!BM$96-BM109</f>
        <v>19226981.681965947</v>
      </c>
      <c r="BN123" s="90">
        <f>'04 Operating Model'!BN$96-BN109</f>
        <v>18522707.624474347</v>
      </c>
      <c r="BO123" s="90">
        <f>'04 Operating Model'!BO$96-BO109</f>
        <v>12073649.958767951</v>
      </c>
    </row>
    <row r="124" spans="1:67">
      <c r="A124" s="11"/>
      <c r="B124" s="11"/>
      <c r="C124" s="11" t="s">
        <v>252</v>
      </c>
      <c r="D124" s="33"/>
      <c r="E124" s="33"/>
      <c r="F124" s="10" t="s">
        <v>13</v>
      </c>
      <c r="G124" s="90">
        <f>'04 Operating Model'!G$97-G110</f>
        <v>0</v>
      </c>
      <c r="H124" s="90">
        <f>'04 Operating Model'!H$97-H110</f>
        <v>0</v>
      </c>
      <c r="I124" s="90">
        <f>'04 Operating Model'!I$97-I110</f>
        <v>0</v>
      </c>
      <c r="J124" s="90">
        <f>'04 Operating Model'!J$97-J110</f>
        <v>0</v>
      </c>
      <c r="K124" s="90">
        <f>'04 Operating Model'!K$97-K110</f>
        <v>0</v>
      </c>
      <c r="L124" s="90">
        <f>'04 Operating Model'!L$97-L110</f>
        <v>0</v>
      </c>
      <c r="M124" s="90">
        <f>'04 Operating Model'!M$97-M110</f>
        <v>0</v>
      </c>
      <c r="N124" s="90">
        <f>'04 Operating Model'!N$97-N110</f>
        <v>0</v>
      </c>
      <c r="O124" s="90">
        <f>'04 Operating Model'!O$97-O110</f>
        <v>0</v>
      </c>
      <c r="P124" s="90">
        <f>'04 Operating Model'!P$97-P110</f>
        <v>0</v>
      </c>
      <c r="Q124" s="90">
        <f>'04 Operating Model'!Q$97-Q110</f>
        <v>0</v>
      </c>
      <c r="R124" s="90">
        <f>'04 Operating Model'!R$97-R110</f>
        <v>0</v>
      </c>
      <c r="S124" s="90">
        <f>'04 Operating Model'!S$97-S110</f>
        <v>0</v>
      </c>
      <c r="T124" s="90">
        <f>'04 Operating Model'!T$97-T110</f>
        <v>0</v>
      </c>
      <c r="U124" s="90">
        <f>'04 Operating Model'!U$97-U110</f>
        <v>0</v>
      </c>
      <c r="V124" s="90">
        <f>'04 Operating Model'!V$97-V110</f>
        <v>0</v>
      </c>
      <c r="W124" s="90">
        <f>'04 Operating Model'!W$97-W110</f>
        <v>0</v>
      </c>
      <c r="X124" s="90">
        <f>'04 Operating Model'!X$97-X110</f>
        <v>0</v>
      </c>
      <c r="Y124" s="90">
        <f>'04 Operating Model'!Y$97-Y110</f>
        <v>0</v>
      </c>
      <c r="Z124" s="90">
        <f>'04 Operating Model'!Z$97-Z110</f>
        <v>0</v>
      </c>
      <c r="AA124" s="90">
        <f>'04 Operating Model'!AA$97-AA110</f>
        <v>0</v>
      </c>
      <c r="AB124" s="90">
        <f>'04 Operating Model'!AB$97-AB110</f>
        <v>0</v>
      </c>
      <c r="AC124" s="90">
        <f>'04 Operating Model'!AC$97-AC110</f>
        <v>0</v>
      </c>
      <c r="AD124" s="90">
        <f>'04 Operating Model'!AD$97-AD110</f>
        <v>0</v>
      </c>
      <c r="AE124" s="90">
        <f>'04 Operating Model'!AE$97-AE110</f>
        <v>0</v>
      </c>
      <c r="AF124" s="90">
        <f>'04 Operating Model'!AF$97-AF110</f>
        <v>0</v>
      </c>
      <c r="AG124" s="90">
        <f>'04 Operating Model'!AG$97-AG110</f>
        <v>0</v>
      </c>
      <c r="AH124" s="90">
        <f>'04 Operating Model'!AH$97-AH110</f>
        <v>0</v>
      </c>
      <c r="AI124" s="90">
        <f>'04 Operating Model'!AI$97-AI110</f>
        <v>0</v>
      </c>
      <c r="AJ124" s="90">
        <f>'04 Operating Model'!AJ$97-AJ110</f>
        <v>0</v>
      </c>
      <c r="AK124" s="90">
        <f>'04 Operating Model'!AK$97-AK110</f>
        <v>0</v>
      </c>
      <c r="AL124" s="90">
        <f>'04 Operating Model'!AL$97-AL110</f>
        <v>0</v>
      </c>
      <c r="AM124" s="90">
        <f>'04 Operating Model'!AM$97-AM110</f>
        <v>0</v>
      </c>
      <c r="AN124" s="90">
        <f>'04 Operating Model'!AN$97-AN110</f>
        <v>0</v>
      </c>
      <c r="AO124" s="90">
        <f>'04 Operating Model'!AO$97-AO110</f>
        <v>0</v>
      </c>
      <c r="AP124" s="90">
        <f>'04 Operating Model'!AP$97-AP110</f>
        <v>0</v>
      </c>
      <c r="AQ124" s="90">
        <f>'04 Operating Model'!AQ$97-AQ110</f>
        <v>0</v>
      </c>
      <c r="AR124" s="90">
        <f>'04 Operating Model'!AR$97-AR110</f>
        <v>0</v>
      </c>
      <c r="AS124" s="90">
        <f>'04 Operating Model'!AS$97-AS110</f>
        <v>0</v>
      </c>
      <c r="AT124" s="90">
        <f>'04 Operating Model'!AT$97-AT110</f>
        <v>0</v>
      </c>
      <c r="AU124" s="90">
        <f>'04 Operating Model'!AU$97-AU110</f>
        <v>0</v>
      </c>
      <c r="AV124" s="90">
        <f>'04 Operating Model'!AV$97-AV110</f>
        <v>0</v>
      </c>
      <c r="AW124" s="90">
        <f>'04 Operating Model'!AW$97-AW110</f>
        <v>0</v>
      </c>
      <c r="AX124" s="90">
        <f>'04 Operating Model'!AX$97-AX110</f>
        <v>0</v>
      </c>
      <c r="AY124" s="90">
        <f>'04 Operating Model'!AY$97-AY110</f>
        <v>0</v>
      </c>
      <c r="AZ124" s="90">
        <f>'04 Operating Model'!AZ$97-AZ110</f>
        <v>0</v>
      </c>
      <c r="BA124" s="90">
        <f>'04 Operating Model'!BA$97-BA110</f>
        <v>0</v>
      </c>
      <c r="BB124" s="90">
        <f>'04 Operating Model'!BB$97-BB110</f>
        <v>0</v>
      </c>
      <c r="BC124" s="90">
        <f>'04 Operating Model'!BC$97-BC110</f>
        <v>0</v>
      </c>
      <c r="BD124" s="90">
        <f>'04 Operating Model'!BD$97-BD110</f>
        <v>0</v>
      </c>
      <c r="BE124" s="90">
        <f>'04 Operating Model'!BE$97-BE110</f>
        <v>0</v>
      </c>
      <c r="BF124" s="90">
        <f>'04 Operating Model'!BF$97-BF110</f>
        <v>0</v>
      </c>
      <c r="BG124" s="90">
        <f>'04 Operating Model'!BG$97-BG110</f>
        <v>0</v>
      </c>
      <c r="BH124" s="90">
        <f>'04 Operating Model'!BH$97-BH110</f>
        <v>0</v>
      </c>
      <c r="BI124" s="90">
        <f>'04 Operating Model'!BI$97-BI110</f>
        <v>0</v>
      </c>
      <c r="BJ124" s="90">
        <f>'04 Operating Model'!BJ$97-BJ110</f>
        <v>0</v>
      </c>
      <c r="BK124" s="90">
        <f>'04 Operating Model'!BK$97-BK110</f>
        <v>0</v>
      </c>
      <c r="BL124" s="90">
        <f>'04 Operating Model'!BL$97-BL110</f>
        <v>0</v>
      </c>
      <c r="BM124" s="90">
        <f>'04 Operating Model'!BM$97-BM110</f>
        <v>0</v>
      </c>
      <c r="BN124" s="90">
        <f>'04 Operating Model'!BN$97-BN110</f>
        <v>0</v>
      </c>
      <c r="BO124" s="90">
        <f>'04 Operating Model'!BO$97-BO110</f>
        <v>0</v>
      </c>
    </row>
    <row r="125" spans="1:67">
      <c r="A125" s="11"/>
      <c r="B125" s="11"/>
      <c r="C125" s="11" t="s">
        <v>253</v>
      </c>
      <c r="D125" s="33"/>
      <c r="E125" s="33"/>
      <c r="F125" s="10" t="s">
        <v>13</v>
      </c>
      <c r="G125" s="90">
        <f>'04 Operating Model'!G$98-G111</f>
        <v>0</v>
      </c>
      <c r="H125" s="90">
        <f>'04 Operating Model'!H$98-H111</f>
        <v>0</v>
      </c>
      <c r="I125" s="90">
        <f>'04 Operating Model'!I$98-I111</f>
        <v>0</v>
      </c>
      <c r="J125" s="90">
        <f>'04 Operating Model'!J$98-J111</f>
        <v>0</v>
      </c>
      <c r="K125" s="90">
        <f>'04 Operating Model'!K$98-K111</f>
        <v>0</v>
      </c>
      <c r="L125" s="90">
        <f>'04 Operating Model'!L$98-L111</f>
        <v>0</v>
      </c>
      <c r="M125" s="90">
        <f>'04 Operating Model'!M$98-M111</f>
        <v>0</v>
      </c>
      <c r="N125" s="90">
        <f>'04 Operating Model'!N$98-N111</f>
        <v>0</v>
      </c>
      <c r="O125" s="90">
        <f>'04 Operating Model'!O$98-O111</f>
        <v>0</v>
      </c>
      <c r="P125" s="90">
        <f>'04 Operating Model'!P$98-P111</f>
        <v>0</v>
      </c>
      <c r="Q125" s="90">
        <f>'04 Operating Model'!Q$98-Q111</f>
        <v>0</v>
      </c>
      <c r="R125" s="90">
        <f>'04 Operating Model'!R$98-R111</f>
        <v>0</v>
      </c>
      <c r="S125" s="90">
        <f>'04 Operating Model'!S$98-S111</f>
        <v>0</v>
      </c>
      <c r="T125" s="90">
        <f>'04 Operating Model'!T$98-T111</f>
        <v>0</v>
      </c>
      <c r="U125" s="90">
        <f>'04 Operating Model'!U$98-U111</f>
        <v>0</v>
      </c>
      <c r="V125" s="90">
        <f>'04 Operating Model'!V$98-V111</f>
        <v>0</v>
      </c>
      <c r="W125" s="90">
        <f>'04 Operating Model'!W$98-W111</f>
        <v>0</v>
      </c>
      <c r="X125" s="90">
        <f>'04 Operating Model'!X$98-X111</f>
        <v>0</v>
      </c>
      <c r="Y125" s="90">
        <f>'04 Operating Model'!Y$98-Y111</f>
        <v>0</v>
      </c>
      <c r="Z125" s="90">
        <f>'04 Operating Model'!Z$98-Z111</f>
        <v>0</v>
      </c>
      <c r="AA125" s="90">
        <f>'04 Operating Model'!AA$98-AA111</f>
        <v>0</v>
      </c>
      <c r="AB125" s="90">
        <f>'04 Operating Model'!AB$98-AB111</f>
        <v>-5574803.9360678094</v>
      </c>
      <c r="AC125" s="90">
        <f>'04 Operating Model'!AC$98-AC111</f>
        <v>2864158.4278809773</v>
      </c>
      <c r="AD125" s="90">
        <f>'04 Operating Model'!AD$98-AD111</f>
        <v>4942727.5174397938</v>
      </c>
      <c r="AE125" s="90">
        <f>'04 Operating Model'!AE$98-AE111</f>
        <v>7244255.3772095572</v>
      </c>
      <c r="AF125" s="90">
        <f>'04 Operating Model'!AF$98-AF111</f>
        <v>9371502.1318879947</v>
      </c>
      <c r="AG125" s="90">
        <f>'04 Operating Model'!AG$98-AG111</f>
        <v>11498748.886566436</v>
      </c>
      <c r="AH125" s="90">
        <f>'04 Operating Model'!AH$98-AH111</f>
        <v>13625995.641244872</v>
      </c>
      <c r="AI125" s="90">
        <f>'04 Operating Model'!AI$98-AI111</f>
        <v>15753242.395923318</v>
      </c>
      <c r="AJ125" s="90">
        <f>'04 Operating Model'!AJ$98-AJ111</f>
        <v>17880489.15060176</v>
      </c>
      <c r="AK125" s="90">
        <f>'04 Operating Model'!AK$98-AK111</f>
        <v>20007735.905280206</v>
      </c>
      <c r="AL125" s="90">
        <f>'04 Operating Model'!AL$98-AL111</f>
        <v>22134982.659958638</v>
      </c>
      <c r="AM125" s="90">
        <f>'04 Operating Model'!AM$98-AM111</f>
        <v>24262229.414637085</v>
      </c>
      <c r="AN125" s="90">
        <f>'04 Operating Model'!AN$98-AN111</f>
        <v>26389476.169315532</v>
      </c>
      <c r="AO125" s="90">
        <f>'04 Operating Model'!AO$98-AO111</f>
        <v>26383931.751967214</v>
      </c>
      <c r="AP125" s="90">
        <f>'04 Operating Model'!AP$98-AP111</f>
        <v>26378387.334618896</v>
      </c>
      <c r="AQ125" s="90">
        <f>'04 Operating Model'!AQ$98-AQ111</f>
        <v>27047749.310426936</v>
      </c>
      <c r="AR125" s="90">
        <f>'04 Operating Model'!AR$98-AR111</f>
        <v>27042187.449222796</v>
      </c>
      <c r="AS125" s="90">
        <f>'04 Operating Model'!AS$98-AS111</f>
        <v>27036625.588018663</v>
      </c>
      <c r="AT125" s="90">
        <f>'04 Operating Model'!AT$98-AT111</f>
        <v>27031063.726814523</v>
      </c>
      <c r="AU125" s="90">
        <f>'04 Operating Model'!AU$98-AU111</f>
        <v>27025501.865610383</v>
      </c>
      <c r="AV125" s="90">
        <f>'04 Operating Model'!AV$98-AV111</f>
        <v>27019940.004406247</v>
      </c>
      <c r="AW125" s="90">
        <f>'04 Operating Model'!AW$98-AW111</f>
        <v>27014378.143202111</v>
      </c>
      <c r="AX125" s="90">
        <f>'04 Operating Model'!AX$98-AX111</f>
        <v>27008816.281997971</v>
      </c>
      <c r="AY125" s="90">
        <f>'04 Operating Model'!AY$98-AY111</f>
        <v>27003254.420793835</v>
      </c>
      <c r="AZ125" s="90">
        <f>'04 Operating Model'!AZ$98-AZ111</f>
        <v>26997692.559589699</v>
      </c>
      <c r="BA125" s="90">
        <f>'04 Operating Model'!BA$98-BA111</f>
        <v>26992130.698385559</v>
      </c>
      <c r="BB125" s="90">
        <f>'04 Operating Model'!BB$98-BB111</f>
        <v>26986568.837181419</v>
      </c>
      <c r="BC125" s="90">
        <f>'04 Operating Model'!BC$98-BC111</f>
        <v>27669845.317853607</v>
      </c>
      <c r="BD125" s="90">
        <f>'04 Operating Model'!BD$98-BD111</f>
        <v>27664265.838355087</v>
      </c>
      <c r="BE125" s="90">
        <f>'04 Operating Model'!BE$98-BE111</f>
        <v>27658686.35885657</v>
      </c>
      <c r="BF125" s="90">
        <f>'04 Operating Model'!BF$98-BF111</f>
        <v>27653106.879358053</v>
      </c>
      <c r="BG125" s="90">
        <f>'04 Operating Model'!BG$98-BG111</f>
        <v>27647527.399859536</v>
      </c>
      <c r="BH125" s="90">
        <f>'04 Operating Model'!BH$98-BH111</f>
        <v>27641947.92036102</v>
      </c>
      <c r="BI125" s="90">
        <f>'04 Operating Model'!BI$98-BI111</f>
        <v>339193289.4075377</v>
      </c>
      <c r="BJ125" s="90">
        <f>'04 Operating Model'!BJ$98-BJ111</f>
        <v>346995296.07932317</v>
      </c>
      <c r="BK125" s="90">
        <f>'04 Operating Model'!BK$98-BK111</f>
        <v>355649871.404158</v>
      </c>
      <c r="BL125" s="90">
        <f>'04 Operating Model'!BL$98-BL111</f>
        <v>364027766.76781213</v>
      </c>
      <c r="BM125" s="90">
        <f>'04 Operating Model'!BM$98-BM111</f>
        <v>372358319.17728269</v>
      </c>
      <c r="BN125" s="90">
        <f>'04 Operating Model'!BN$98-BN111</f>
        <v>380719253.08944178</v>
      </c>
      <c r="BO125" s="90">
        <f>'04 Operating Model'!BO$98-BO111</f>
        <v>389519828.9474318</v>
      </c>
    </row>
    <row r="126" spans="1:67">
      <c r="A126" s="11"/>
      <c r="B126" s="11"/>
      <c r="C126" s="11" t="s">
        <v>75</v>
      </c>
      <c r="D126" s="33"/>
      <c r="E126" s="33"/>
      <c r="F126" s="10" t="s">
        <v>13</v>
      </c>
      <c r="G126" s="90">
        <f>'04 Operating Model'!G$99-G112</f>
        <v>0</v>
      </c>
      <c r="H126" s="90">
        <f>'04 Operating Model'!H$99-H112</f>
        <v>0</v>
      </c>
      <c r="I126" s="90">
        <f>'04 Operating Model'!I$99-I112</f>
        <v>0</v>
      </c>
      <c r="J126" s="90">
        <f>'04 Operating Model'!J$99-J112</f>
        <v>0</v>
      </c>
      <c r="K126" s="90">
        <f>'04 Operating Model'!K$99-K112</f>
        <v>0</v>
      </c>
      <c r="L126" s="90">
        <f>'04 Operating Model'!L$99-L112</f>
        <v>0</v>
      </c>
      <c r="M126" s="90">
        <f>'04 Operating Model'!M$99-M112</f>
        <v>0</v>
      </c>
      <c r="N126" s="90">
        <f>'04 Operating Model'!N$99-N112</f>
        <v>0</v>
      </c>
      <c r="O126" s="90">
        <f>'04 Operating Model'!O$99-O112</f>
        <v>0</v>
      </c>
      <c r="P126" s="90">
        <f>'04 Operating Model'!P$99-P112</f>
        <v>0</v>
      </c>
      <c r="Q126" s="90">
        <f>'04 Operating Model'!Q$99-Q112</f>
        <v>0</v>
      </c>
      <c r="R126" s="90">
        <f>'04 Operating Model'!R$99-R112</f>
        <v>0</v>
      </c>
      <c r="S126" s="90">
        <f>'04 Operating Model'!S$99-S112</f>
        <v>0</v>
      </c>
      <c r="T126" s="90">
        <f>'04 Operating Model'!T$99-T112</f>
        <v>0</v>
      </c>
      <c r="U126" s="90">
        <f>'04 Operating Model'!U$99-U112</f>
        <v>0</v>
      </c>
      <c r="V126" s="90">
        <f>'04 Operating Model'!V$99-V112</f>
        <v>0</v>
      </c>
      <c r="W126" s="90">
        <f>'04 Operating Model'!W$99-W112</f>
        <v>0</v>
      </c>
      <c r="X126" s="90">
        <f>'04 Operating Model'!X$99-X112</f>
        <v>0</v>
      </c>
      <c r="Y126" s="90">
        <f>'04 Operating Model'!Y$99-Y112</f>
        <v>0</v>
      </c>
      <c r="Z126" s="90">
        <f>'04 Operating Model'!Z$99-Z112</f>
        <v>0</v>
      </c>
      <c r="AA126" s="90">
        <f>'04 Operating Model'!AA$99-AA112</f>
        <v>0</v>
      </c>
      <c r="AB126" s="90">
        <f>'04 Operating Model'!AB$99-AB112</f>
        <v>-4808392.3935436318</v>
      </c>
      <c r="AC126" s="90">
        <f>'04 Operating Model'!AC$99-AC112</f>
        <v>-2574537.0906413044</v>
      </c>
      <c r="AD126" s="90">
        <f>'04 Operating Model'!AD$99-AD112</f>
        <v>-2696383.0004760032</v>
      </c>
      <c r="AE126" s="90">
        <f>'04 Operating Model'!AE$99-AE112</f>
        <v>-2860281.8981182263</v>
      </c>
      <c r="AF126" s="90">
        <f>'04 Operating Model'!AF$99-AF112</f>
        <v>-2984607.828301426</v>
      </c>
      <c r="AG126" s="90">
        <f>'04 Operating Model'!AG$99-AG112</f>
        <v>-3108933.7584846299</v>
      </c>
      <c r="AH126" s="90">
        <f>'04 Operating Model'!AH$99-AH112</f>
        <v>-3233259.6886678319</v>
      </c>
      <c r="AI126" s="90">
        <f>'04 Operating Model'!AI$99-AI112</f>
        <v>-3357585.6188510321</v>
      </c>
      <c r="AJ126" s="90">
        <f>'04 Operating Model'!AJ$99-AJ112</f>
        <v>-3481911.549034236</v>
      </c>
      <c r="AK126" s="90">
        <f>'04 Operating Model'!AK$99-AK112</f>
        <v>-3606237.4792174343</v>
      </c>
      <c r="AL126" s="90">
        <f>'04 Operating Model'!AL$99-AL112</f>
        <v>-3730563.4094006382</v>
      </c>
      <c r="AM126" s="90">
        <f>'04 Operating Model'!AM$99-AM112</f>
        <v>-3854889.3395838402</v>
      </c>
      <c r="AN126" s="90">
        <f>'04 Operating Model'!AN$99-AN112</f>
        <v>-3979215.2697670404</v>
      </c>
      <c r="AO126" s="90">
        <f>'04 Operating Model'!AO$99-AO112</f>
        <v>-3981268.7576738242</v>
      </c>
      <c r="AP126" s="90">
        <f>'04 Operating Model'!AP$99-AP112</f>
        <v>-3983322.245580609</v>
      </c>
      <c r="AQ126" s="90">
        <f>'04 Operating Model'!AQ$99-AQ112</f>
        <v>-4051731.5953356992</v>
      </c>
      <c r="AR126" s="90">
        <f>'04 Operating Model'!AR$99-AR112</f>
        <v>-4053791.5439298251</v>
      </c>
      <c r="AS126" s="90">
        <f>'04 Operating Model'!AS$99-AS112</f>
        <v>-4055851.4925239491</v>
      </c>
      <c r="AT126" s="90">
        <f>'04 Operating Model'!AT$99-AT112</f>
        <v>-4057911.4411180741</v>
      </c>
      <c r="AU126" s="90">
        <f>'04 Operating Model'!AU$99-AU112</f>
        <v>-4059971.3897121991</v>
      </c>
      <c r="AV126" s="90">
        <f>'04 Operating Model'!AV$99-AV112</f>
        <v>-4062031.3383063241</v>
      </c>
      <c r="AW126" s="90">
        <f>'04 Operating Model'!AW$99-AW112</f>
        <v>-4064091.28690045</v>
      </c>
      <c r="AX126" s="90">
        <f>'04 Operating Model'!AX$99-AX112</f>
        <v>-4066151.2354945741</v>
      </c>
      <c r="AY126" s="90">
        <f>'04 Operating Model'!AY$99-AY112</f>
        <v>-4068211.1840887</v>
      </c>
      <c r="AZ126" s="90">
        <f>'04 Operating Model'!AZ$99-AZ112</f>
        <v>-4070271.132682824</v>
      </c>
      <c r="BA126" s="90">
        <f>'04 Operating Model'!BA$99-BA112</f>
        <v>-4072331.081276949</v>
      </c>
      <c r="BB126" s="90">
        <f>'04 Operating Model'!BB$99-BB112</f>
        <v>-4074391.0298710749</v>
      </c>
      <c r="BC126" s="90">
        <f>'04 Operating Model'!BC$99-BC112</f>
        <v>-4144922.2467369922</v>
      </c>
      <c r="BD126" s="90">
        <f>'04 Operating Model'!BD$99-BD112</f>
        <v>-4146988.7206253326</v>
      </c>
      <c r="BE126" s="90">
        <f>'04 Operating Model'!BE$99-BE112</f>
        <v>-4149055.194513673</v>
      </c>
      <c r="BF126" s="90">
        <f>'04 Operating Model'!BF$99-BF112</f>
        <v>-4151121.6684020115</v>
      </c>
      <c r="BG126" s="90">
        <f>'04 Operating Model'!BG$99-BG112</f>
        <v>-4153188.1422903519</v>
      </c>
      <c r="BH126" s="90">
        <f>'04 Operating Model'!BH$99-BH112</f>
        <v>-4155254.6161786905</v>
      </c>
      <c r="BI126" s="90">
        <f>'04 Operating Model'!BI$99-BI112</f>
        <v>-51061484.65443708</v>
      </c>
      <c r="BJ126" s="90">
        <f>'04 Operating Model'!BJ$99-BJ112</f>
        <v>-52235691.018003166</v>
      </c>
      <c r="BK126" s="90">
        <f>'04 Operating Model'!BK$99-BK112</f>
        <v>-53187599.498450391</v>
      </c>
      <c r="BL126" s="90">
        <f>'04 Operating Model'!BL$99-BL112</f>
        <v>-54337600.093818992</v>
      </c>
      <c r="BM126" s="90">
        <f>'04 Operating Model'!BM$99-BM112</f>
        <v>-55602952.387157902</v>
      </c>
      <c r="BN126" s="90">
        <f>'04 Operating Model'!BN$99-BN112</f>
        <v>-56957119.339810103</v>
      </c>
      <c r="BO126" s="90">
        <f>'04 Operating Model'!BO$99-BO112</f>
        <v>-58250824.552428409</v>
      </c>
    </row>
    <row r="127" spans="1:67">
      <c r="A127" s="11"/>
      <c r="B127" s="11"/>
      <c r="C127" s="11" t="s">
        <v>78</v>
      </c>
      <c r="D127" s="33"/>
      <c r="E127" s="33"/>
      <c r="F127" s="10" t="s">
        <v>13</v>
      </c>
      <c r="G127" s="90">
        <f>'04 Operating Model'!G$100-G113</f>
        <v>0</v>
      </c>
      <c r="H127" s="90">
        <f>'04 Operating Model'!H$100-H113</f>
        <v>0</v>
      </c>
      <c r="I127" s="90">
        <f>'04 Operating Model'!I$100-I113</f>
        <v>0</v>
      </c>
      <c r="J127" s="90">
        <f>'04 Operating Model'!J$100-J113</f>
        <v>0</v>
      </c>
      <c r="K127" s="90">
        <f>'04 Operating Model'!K$100-K113</f>
        <v>0</v>
      </c>
      <c r="L127" s="90">
        <f>'04 Operating Model'!L$100-L113</f>
        <v>0</v>
      </c>
      <c r="M127" s="90">
        <f>'04 Operating Model'!M$100-M113</f>
        <v>0</v>
      </c>
      <c r="N127" s="90">
        <f>'04 Operating Model'!N$100-N113</f>
        <v>0</v>
      </c>
      <c r="O127" s="90">
        <f>'04 Operating Model'!O$100-O113</f>
        <v>0</v>
      </c>
      <c r="P127" s="90">
        <f>'04 Operating Model'!P$100-P113</f>
        <v>0</v>
      </c>
      <c r="Q127" s="90">
        <f>'04 Operating Model'!Q$100-Q113</f>
        <v>0</v>
      </c>
      <c r="R127" s="90">
        <f>'04 Operating Model'!R$100-R113</f>
        <v>0</v>
      </c>
      <c r="S127" s="90">
        <f>'04 Operating Model'!S$100-S113</f>
        <v>0</v>
      </c>
      <c r="T127" s="90">
        <f>'04 Operating Model'!T$100-T113</f>
        <v>0</v>
      </c>
      <c r="U127" s="90">
        <f>'04 Operating Model'!U$100-U113</f>
        <v>0</v>
      </c>
      <c r="V127" s="90">
        <f>'04 Operating Model'!V$100-V113</f>
        <v>0</v>
      </c>
      <c r="W127" s="90">
        <f>'04 Operating Model'!W$100-W113</f>
        <v>0</v>
      </c>
      <c r="X127" s="90">
        <f>'04 Operating Model'!X$100-X113</f>
        <v>0</v>
      </c>
      <c r="Y127" s="90">
        <f>'04 Operating Model'!Y$100-Y113</f>
        <v>0</v>
      </c>
      <c r="Z127" s="90">
        <f>'04 Operating Model'!Z$100-Z113</f>
        <v>0</v>
      </c>
      <c r="AA127" s="90">
        <f>'04 Operating Model'!AA$100-AA113</f>
        <v>0</v>
      </c>
      <c r="AB127" s="90">
        <f>'04 Operating Model'!AB$100-AB113</f>
        <v>0</v>
      </c>
      <c r="AC127" s="90">
        <f>'04 Operating Model'!AC$100-AC113</f>
        <v>0</v>
      </c>
      <c r="AD127" s="90">
        <f>'04 Operating Model'!AD$100-AD113</f>
        <v>0</v>
      </c>
      <c r="AE127" s="90">
        <f>'04 Operating Model'!AE$100-AE113</f>
        <v>0</v>
      </c>
      <c r="AF127" s="90">
        <f>'04 Operating Model'!AF$100-AF113</f>
        <v>0</v>
      </c>
      <c r="AG127" s="90">
        <f>'04 Operating Model'!AG$100-AG113</f>
        <v>0</v>
      </c>
      <c r="AH127" s="90">
        <f>'04 Operating Model'!AH$100-AH113</f>
        <v>0</v>
      </c>
      <c r="AI127" s="90">
        <f>'04 Operating Model'!AI$100-AI113</f>
        <v>0</v>
      </c>
      <c r="AJ127" s="90">
        <f>'04 Operating Model'!AJ$100-AJ113</f>
        <v>0</v>
      </c>
      <c r="AK127" s="90">
        <f>'04 Operating Model'!AK$100-AK113</f>
        <v>0</v>
      </c>
      <c r="AL127" s="90">
        <f>'04 Operating Model'!AL$100-AL113</f>
        <v>0</v>
      </c>
      <c r="AM127" s="90">
        <f>'04 Operating Model'!AM$100-AM113</f>
        <v>0</v>
      </c>
      <c r="AN127" s="90">
        <f>'04 Operating Model'!AN$100-AN113</f>
        <v>0</v>
      </c>
      <c r="AO127" s="90">
        <f>'04 Operating Model'!AO$100-AO113</f>
        <v>0</v>
      </c>
      <c r="AP127" s="90">
        <f>'04 Operating Model'!AP$100-AP113</f>
        <v>0</v>
      </c>
      <c r="AQ127" s="90">
        <f>'04 Operating Model'!AQ$100-AQ113</f>
        <v>0</v>
      </c>
      <c r="AR127" s="90">
        <f>'04 Operating Model'!AR$100-AR113</f>
        <v>0</v>
      </c>
      <c r="AS127" s="90">
        <f>'04 Operating Model'!AS$100-AS113</f>
        <v>0</v>
      </c>
      <c r="AT127" s="90">
        <f>'04 Operating Model'!AT$100-AT113</f>
        <v>0</v>
      </c>
      <c r="AU127" s="90">
        <f>'04 Operating Model'!AU$100-AU113</f>
        <v>0</v>
      </c>
      <c r="AV127" s="90">
        <f>'04 Operating Model'!AV$100-AV113</f>
        <v>0</v>
      </c>
      <c r="AW127" s="90">
        <f>'04 Operating Model'!AW$100-AW113</f>
        <v>0</v>
      </c>
      <c r="AX127" s="90">
        <f>'04 Operating Model'!AX$100-AX113</f>
        <v>0</v>
      </c>
      <c r="AY127" s="90">
        <f>'04 Operating Model'!AY$100-AY113</f>
        <v>0</v>
      </c>
      <c r="AZ127" s="90">
        <f>'04 Operating Model'!AZ$100-AZ113</f>
        <v>0</v>
      </c>
      <c r="BA127" s="90">
        <f>'04 Operating Model'!BA$100-BA113</f>
        <v>0</v>
      </c>
      <c r="BB127" s="90">
        <f>'04 Operating Model'!BB$100-BB113</f>
        <v>0</v>
      </c>
      <c r="BC127" s="90">
        <f>'04 Operating Model'!BC$100-BC113</f>
        <v>0</v>
      </c>
      <c r="BD127" s="90">
        <f>'04 Operating Model'!BD$100-BD113</f>
        <v>0</v>
      </c>
      <c r="BE127" s="90">
        <f>'04 Operating Model'!BE$100-BE113</f>
        <v>0</v>
      </c>
      <c r="BF127" s="90">
        <f>'04 Operating Model'!BF$100-BF113</f>
        <v>0</v>
      </c>
      <c r="BG127" s="90">
        <f>'04 Operating Model'!BG$100-BG113</f>
        <v>0</v>
      </c>
      <c r="BH127" s="90">
        <f>'04 Operating Model'!BH$100-BH113</f>
        <v>0</v>
      </c>
      <c r="BI127" s="90">
        <f>'04 Operating Model'!BI$100-BI113</f>
        <v>0</v>
      </c>
      <c r="BJ127" s="90">
        <f>'04 Operating Model'!BJ$100-BJ113</f>
        <v>0</v>
      </c>
      <c r="BK127" s="90">
        <f>'04 Operating Model'!BK$100-BK113</f>
        <v>0</v>
      </c>
      <c r="BL127" s="90">
        <f>'04 Operating Model'!BL$100-BL113</f>
        <v>0</v>
      </c>
      <c r="BM127" s="90">
        <f>'04 Operating Model'!BM$100-BM113</f>
        <v>0</v>
      </c>
      <c r="BN127" s="90">
        <f>'04 Operating Model'!BN$100-BN113</f>
        <v>0</v>
      </c>
      <c r="BO127" s="90">
        <f>'04 Operating Model'!BO$100-BO113</f>
        <v>0</v>
      </c>
    </row>
    <row r="128" spans="1:67">
      <c r="A128" s="11"/>
      <c r="B128" s="11"/>
      <c r="C128" s="11"/>
      <c r="D128" s="33"/>
      <c r="E128" s="33"/>
      <c r="F128" s="43"/>
      <c r="G128" s="33"/>
      <c r="H128" s="33"/>
      <c r="I128" s="33"/>
      <c r="J128" s="33"/>
      <c r="K128" s="33"/>
      <c r="L128" s="33"/>
      <c r="M128" s="33"/>
      <c r="N128" s="33"/>
      <c r="O128" s="33"/>
      <c r="P128" s="33"/>
      <c r="Q128" s="33"/>
      <c r="R128" s="33"/>
      <c r="S128" s="33"/>
      <c r="T128" s="33"/>
      <c r="U128" s="33"/>
      <c r="V128" s="33"/>
      <c r="W128" s="33"/>
      <c r="X128" s="33"/>
      <c r="Y128" s="33"/>
      <c r="Z128" s="33"/>
      <c r="AA128" s="33"/>
      <c r="AB128" s="33"/>
      <c r="AC128" s="33"/>
      <c r="AD128" s="33"/>
      <c r="AE128" s="33"/>
      <c r="AF128" s="33"/>
      <c r="AG128" s="33"/>
      <c r="AH128" s="33"/>
      <c r="AI128" s="33"/>
      <c r="AJ128" s="33"/>
      <c r="AK128" s="33"/>
      <c r="AL128" s="33"/>
      <c r="AM128" s="33"/>
      <c r="AN128" s="33"/>
      <c r="AO128" s="33"/>
      <c r="AP128" s="33"/>
      <c r="AQ128" s="33"/>
      <c r="AR128" s="33"/>
      <c r="AS128" s="33"/>
      <c r="AT128" s="33"/>
      <c r="AU128" s="33"/>
      <c r="AV128" s="33"/>
      <c r="AW128" s="33"/>
      <c r="AX128" s="33"/>
      <c r="AY128" s="33"/>
      <c r="AZ128" s="33"/>
      <c r="BA128" s="33"/>
      <c r="BB128" s="33"/>
      <c r="BC128" s="33"/>
      <c r="BD128" s="33"/>
      <c r="BE128" s="33"/>
      <c r="BF128" s="33"/>
      <c r="BG128" s="33"/>
      <c r="BH128" s="33"/>
      <c r="BI128" s="33"/>
      <c r="BJ128" s="33"/>
      <c r="BK128" s="33"/>
      <c r="BL128" s="33"/>
      <c r="BM128" s="33"/>
      <c r="BN128" s="33"/>
      <c r="BO128" s="33"/>
    </row>
    <row r="129" spans="1:67">
      <c r="A129" s="11"/>
      <c r="B129" s="22" t="s">
        <v>442</v>
      </c>
      <c r="C129" s="11"/>
      <c r="D129" s="33"/>
      <c r="E129" s="33"/>
      <c r="F129" s="43"/>
      <c r="G129" s="33"/>
      <c r="H129" s="33"/>
      <c r="I129" s="33"/>
      <c r="J129" s="33"/>
      <c r="K129" s="33"/>
      <c r="L129" s="33"/>
      <c r="M129" s="33"/>
      <c r="N129" s="33"/>
      <c r="O129" s="33"/>
      <c r="P129" s="33"/>
      <c r="Q129" s="33"/>
      <c r="R129" s="33"/>
      <c r="S129" s="33"/>
      <c r="T129" s="33"/>
      <c r="U129" s="33"/>
      <c r="V129" s="33"/>
      <c r="W129" s="33"/>
      <c r="X129" s="33"/>
      <c r="Y129" s="33"/>
      <c r="Z129" s="33"/>
      <c r="AA129" s="33"/>
      <c r="AB129" s="33"/>
      <c r="AC129" s="33"/>
      <c r="AD129" s="33"/>
      <c r="AE129" s="33"/>
      <c r="AF129" s="33"/>
      <c r="AG129" s="33"/>
      <c r="AH129" s="33"/>
      <c r="AI129" s="33"/>
      <c r="AJ129" s="33"/>
      <c r="AK129" s="33"/>
      <c r="AL129" s="33"/>
      <c r="AM129" s="33"/>
      <c r="AN129" s="33"/>
      <c r="AO129" s="33"/>
      <c r="AP129" s="33"/>
      <c r="AQ129" s="33"/>
      <c r="AR129" s="33"/>
      <c r="AS129" s="33"/>
      <c r="AT129" s="33"/>
      <c r="AU129" s="33"/>
      <c r="AV129" s="33"/>
      <c r="AW129" s="33"/>
      <c r="AX129" s="33"/>
      <c r="AY129" s="33"/>
      <c r="AZ129" s="33"/>
      <c r="BA129" s="33"/>
      <c r="BB129" s="33"/>
      <c r="BC129" s="33"/>
      <c r="BD129" s="33"/>
      <c r="BE129" s="33"/>
      <c r="BF129" s="33"/>
      <c r="BG129" s="33"/>
      <c r="BH129" s="33"/>
      <c r="BI129" s="33"/>
      <c r="BJ129" s="33"/>
      <c r="BK129" s="33"/>
      <c r="BL129" s="33"/>
      <c r="BM129" s="33"/>
      <c r="BN129" s="33"/>
      <c r="BO129" s="33"/>
    </row>
    <row r="130" spans="1:67">
      <c r="A130" s="11"/>
      <c r="B130" s="11"/>
      <c r="C130" s="11" t="s">
        <v>72</v>
      </c>
      <c r="D130" s="33"/>
      <c r="E130" s="33"/>
      <c r="F130" s="10" t="s">
        <v>7</v>
      </c>
      <c r="G130" s="6">
        <f>IF('04 Operating Model'!G$96=0,0,G123/'04 Operating Model'!G$96)</f>
        <v>0</v>
      </c>
      <c r="H130" s="6">
        <f>IF('04 Operating Model'!H$96=0,0,H123/'04 Operating Model'!H$96)</f>
        <v>0</v>
      </c>
      <c r="I130" s="6">
        <f>IF('04 Operating Model'!I$96=0,0,I123/'04 Operating Model'!I$96)</f>
        <v>0</v>
      </c>
      <c r="J130" s="6">
        <f>IF('04 Operating Model'!J$96=0,0,J123/'04 Operating Model'!J$96)</f>
        <v>0</v>
      </c>
      <c r="K130" s="6">
        <f>IF('04 Operating Model'!K$96=0,0,K123/'04 Operating Model'!K$96)</f>
        <v>0</v>
      </c>
      <c r="L130" s="6">
        <f>IF('04 Operating Model'!L$96=0,0,L123/'04 Operating Model'!L$96)</f>
        <v>0</v>
      </c>
      <c r="M130" s="6">
        <f>IF('04 Operating Model'!M$96=0,0,M123/'04 Operating Model'!M$96)</f>
        <v>0</v>
      </c>
      <c r="N130" s="6">
        <f>IF('04 Operating Model'!N$96=0,0,N123/'04 Operating Model'!N$96)</f>
        <v>0</v>
      </c>
      <c r="O130" s="6">
        <f>IF('04 Operating Model'!O$96=0,0,O123/'04 Operating Model'!O$96)</f>
        <v>0</v>
      </c>
      <c r="P130" s="6">
        <f>IF('04 Operating Model'!P$96=0,0,P123/'04 Operating Model'!P$96)</f>
        <v>0</v>
      </c>
      <c r="Q130" s="6">
        <f>IF('04 Operating Model'!Q$96=0,0,Q123/'04 Operating Model'!Q$96)</f>
        <v>0</v>
      </c>
      <c r="R130" s="6">
        <f>IF('04 Operating Model'!R$96=0,0,R123/'04 Operating Model'!R$96)</f>
        <v>0</v>
      </c>
      <c r="S130" s="6">
        <f>IF('04 Operating Model'!S$96=0,0,S123/'04 Operating Model'!S$96)</f>
        <v>0</v>
      </c>
      <c r="T130" s="6">
        <f>IF('04 Operating Model'!T$96=0,0,T123/'04 Operating Model'!T$96)</f>
        <v>0</v>
      </c>
      <c r="U130" s="6">
        <f>IF('04 Operating Model'!U$96=0,0,U123/'04 Operating Model'!U$96)</f>
        <v>0</v>
      </c>
      <c r="V130" s="6">
        <f>IF('04 Operating Model'!V$96=0,0,V123/'04 Operating Model'!V$96)</f>
        <v>0</v>
      </c>
      <c r="W130" s="6">
        <f>IF('04 Operating Model'!W$96=0,0,W123/'04 Operating Model'!W$96)</f>
        <v>0</v>
      </c>
      <c r="X130" s="6">
        <f>IF('04 Operating Model'!X$96=0,0,X123/'04 Operating Model'!X$96)</f>
        <v>0</v>
      </c>
      <c r="Y130" s="6">
        <f>IF('04 Operating Model'!Y$96=0,0,Y123/'04 Operating Model'!Y$96)</f>
        <v>0</v>
      </c>
      <c r="Z130" s="6">
        <f>IF('04 Operating Model'!Z$96=0,0,Z123/'04 Operating Model'!Z$96)</f>
        <v>0</v>
      </c>
      <c r="AA130" s="6">
        <f>IF('04 Operating Model'!AA$96=0,0,AA123/'04 Operating Model'!AA$96)</f>
        <v>0</v>
      </c>
      <c r="AB130" s="6">
        <f>IF('04 Operating Model'!AB$96=0,0,AB123/'04 Operating Model'!AB$96)</f>
        <v>-3.1514383199305787</v>
      </c>
      <c r="AC130" s="6">
        <f>IF('04 Operating Model'!AC$96=0,0,AC123/'04 Operating Model'!AC$96)</f>
        <v>-0.84334959761580364</v>
      </c>
      <c r="AD130" s="6">
        <f>IF('04 Operating Model'!AD$96=0,0,AD123/'04 Operating Model'!AD$96)</f>
        <v>-0.59454480488256556</v>
      </c>
      <c r="AE130" s="6">
        <f>IF('04 Operating Model'!AE$96=0,0,AE123/'04 Operating Model'!AE$96)</f>
        <v>-0.42272070214434299</v>
      </c>
      <c r="AF130" s="6">
        <f>IF('04 Operating Model'!AF$96=0,0,AF123/'04 Operating Model'!AF$96)</f>
        <v>-0.3037974144215112</v>
      </c>
      <c r="AG130" s="6">
        <f>IF('04 Operating Model'!AG$96=0,0,AG123/'04 Operating Model'!AG$96)</f>
        <v>-0.21432179794433362</v>
      </c>
      <c r="AH130" s="6">
        <f>IF('04 Operating Model'!AH$96=0,0,AH123/'04 Operating Model'!AH$96)</f>
        <v>-0.14456114780958487</v>
      </c>
      <c r="AI130" s="6">
        <f>IF('04 Operating Model'!AI$96=0,0,AI123/'04 Operating Model'!AI$96)</f>
        <v>-8.8646122892419535E-2</v>
      </c>
      <c r="AJ130" s="6">
        <f>IF('04 Operating Model'!AJ$96=0,0,AJ123/'04 Operating Model'!AJ$96)</f>
        <v>-4.2826866363075838E-2</v>
      </c>
      <c r="AK130" s="6">
        <f>IF('04 Operating Model'!AK$96=0,0,AK123/'04 Operating Model'!AK$96)</f>
        <v>-4.5955121889096591E-3</v>
      </c>
      <c r="AL130" s="6">
        <f>IF('04 Operating Model'!AL$96=0,0,AL123/'04 Operating Model'!AL$96)</f>
        <v>2.7788693699794913E-2</v>
      </c>
      <c r="AM130" s="6">
        <f>IF('04 Operating Model'!AM$96=0,0,AM123/'04 Operating Model'!AM$96)</f>
        <v>5.5571864872072246E-2</v>
      </c>
      <c r="AN130" s="6">
        <f>IF('04 Operating Model'!AN$96=0,0,AN123/'04 Operating Model'!AN$96)</f>
        <v>7.9669513337823017E-2</v>
      </c>
      <c r="AO130" s="6">
        <f>IF('04 Operating Model'!AO$96=0,0,AO123/'04 Operating Model'!AO$96)</f>
        <v>7.9338556471606841E-2</v>
      </c>
      <c r="AP130" s="6">
        <f>IF('04 Operating Model'!AP$96=0,0,AP123/'04 Operating Model'!AP$96)</f>
        <v>7.900759960539068E-2</v>
      </c>
      <c r="AQ130" s="6">
        <f>IF('04 Operating Model'!AQ$96=0,0,AQ123/'04 Operating Model'!AQ$96)</f>
        <v>7.9965699848958668E-2</v>
      </c>
      <c r="AR130" s="6">
        <f>IF('04 Operating Model'!AR$96=0,0,AR123/'04 Operating Model'!AR$96)</f>
        <v>7.964021149277907E-2</v>
      </c>
      <c r="AS130" s="6">
        <f>IF('04 Operating Model'!AS$96=0,0,AS123/'04 Operating Model'!AS$96)</f>
        <v>7.9314723136599638E-2</v>
      </c>
      <c r="AT130" s="6">
        <f>IF('04 Operating Model'!AT$96=0,0,AT123/'04 Operating Model'!AT$96)</f>
        <v>7.8989234780420192E-2</v>
      </c>
      <c r="AU130" s="6">
        <f>IF('04 Operating Model'!AU$96=0,0,AU123/'04 Operating Model'!AU$96)</f>
        <v>7.866374642424076E-2</v>
      </c>
      <c r="AV130" s="6">
        <f>IF('04 Operating Model'!AV$96=0,0,AV123/'04 Operating Model'!AV$96)</f>
        <v>7.8338258068061162E-2</v>
      </c>
      <c r="AW130" s="6">
        <f>IF('04 Operating Model'!AW$96=0,0,AW123/'04 Operating Model'!AW$96)</f>
        <v>7.8012769711881549E-2</v>
      </c>
      <c r="AX130" s="6">
        <f>IF('04 Operating Model'!AX$96=0,0,AX123/'04 Operating Model'!AX$96)</f>
        <v>7.7687281355702117E-2</v>
      </c>
      <c r="AY130" s="6">
        <f>IF('04 Operating Model'!AY$96=0,0,AY123/'04 Operating Model'!AY$96)</f>
        <v>7.7361792999522686E-2</v>
      </c>
      <c r="AZ130" s="6">
        <f>IF('04 Operating Model'!AZ$96=0,0,AZ123/'04 Operating Model'!AZ$96)</f>
        <v>7.7036304643343254E-2</v>
      </c>
      <c r="BA130" s="6">
        <f>IF('04 Operating Model'!BA$96=0,0,BA123/'04 Operating Model'!BA$96)</f>
        <v>7.6710816287163641E-2</v>
      </c>
      <c r="BB130" s="6">
        <f>IF('04 Operating Model'!BB$96=0,0,BB123/'04 Operating Model'!BB$96)</f>
        <v>7.6385327930984043E-2</v>
      </c>
      <c r="BC130" s="6">
        <f>IF('04 Operating Model'!BC$96=0,0,BC123/'04 Operating Model'!BC$96)</f>
        <v>7.7259588857777631E-2</v>
      </c>
      <c r="BD130" s="6">
        <f>IF('04 Operating Model'!BD$96=0,0,BD123/'04 Operating Model'!BD$96)</f>
        <v>7.6939471794185713E-2</v>
      </c>
      <c r="BE130" s="6">
        <f>IF('04 Operating Model'!BE$96=0,0,BE123/'04 Operating Model'!BE$96)</f>
        <v>7.6619354730593794E-2</v>
      </c>
      <c r="BF130" s="6">
        <f>IF('04 Operating Model'!BF$96=0,0,BF123/'04 Operating Model'!BF$96)</f>
        <v>7.6299237667002029E-2</v>
      </c>
      <c r="BG130" s="6">
        <f>IF('04 Operating Model'!BG$96=0,0,BG123/'04 Operating Model'!BG$96)</f>
        <v>7.5979120603410111E-2</v>
      </c>
      <c r="BH130" s="6">
        <f>IF('04 Operating Model'!BH$96=0,0,BH123/'04 Operating Model'!BH$96)</f>
        <v>7.5659003539818359E-2</v>
      </c>
      <c r="BI130" s="6">
        <f>IF('04 Operating Model'!BI$96=0,0,BI123/'04 Operating Model'!BI$96)</f>
        <v>7.2287568369549637E-2</v>
      </c>
      <c r="BJ130" s="6">
        <f>IF('04 Operating Model'!BJ$96=0,0,BJ123/'04 Operating Model'!BJ$96)</f>
        <v>6.9561580545112925E-2</v>
      </c>
      <c r="BK130" s="6">
        <f>IF('04 Operating Model'!BK$96=0,0,BK123/'04 Operating Model'!BK$96)</f>
        <v>6.9860210822977178E-2</v>
      </c>
      <c r="BL130" s="6">
        <f>IF('04 Operating Model'!BL$96=0,0,BL123/'04 Operating Model'!BL$96)</f>
        <v>6.7998854985081042E-2</v>
      </c>
      <c r="BM130" s="6">
        <f>IF('04 Operating Model'!BM$96=0,0,BM123/'04 Operating Model'!BM$96)</f>
        <v>6.5075422846518169E-2</v>
      </c>
      <c r="BN130" s="6">
        <f>IF('04 Operating Model'!BN$96=0,0,BN123/'04 Operating Model'!BN$96)</f>
        <v>6.1462495006236739E-2</v>
      </c>
      <c r="BO130" s="6">
        <f>IF('04 Operating Model'!BO$96=0,0,BO123/'04 Operating Model'!BO$96)</f>
        <v>4.0063076378601799E-2</v>
      </c>
    </row>
    <row r="131" spans="1:67">
      <c r="A131" s="11"/>
      <c r="B131" s="11"/>
      <c r="C131" s="11" t="s">
        <v>252</v>
      </c>
      <c r="D131" s="33"/>
      <c r="E131" s="33"/>
      <c r="F131" s="10" t="s">
        <v>7</v>
      </c>
      <c r="G131" s="6">
        <f>IF('04 Operating Model'!G$97=0,0,G124/'04 Operating Model'!G$97)</f>
        <v>0</v>
      </c>
      <c r="H131" s="6">
        <f>IF('04 Operating Model'!H$97=0,0,H124/'04 Operating Model'!H$97)</f>
        <v>0</v>
      </c>
      <c r="I131" s="6">
        <f>IF('04 Operating Model'!I$97=0,0,I124/'04 Operating Model'!I$97)</f>
        <v>0</v>
      </c>
      <c r="J131" s="6">
        <f>IF('04 Operating Model'!J$97=0,0,J124/'04 Operating Model'!J$97)</f>
        <v>0</v>
      </c>
      <c r="K131" s="6">
        <f>IF('04 Operating Model'!K$97=0,0,K124/'04 Operating Model'!K$97)</f>
        <v>0</v>
      </c>
      <c r="L131" s="6">
        <f>IF('04 Operating Model'!L$97=0,0,L124/'04 Operating Model'!L$97)</f>
        <v>0</v>
      </c>
      <c r="M131" s="6">
        <f>IF('04 Operating Model'!M$97=0,0,M124/'04 Operating Model'!M$97)</f>
        <v>0</v>
      </c>
      <c r="N131" s="6">
        <f>IF('04 Operating Model'!N$97=0,0,N124/'04 Operating Model'!N$97)</f>
        <v>0</v>
      </c>
      <c r="O131" s="6">
        <f>IF('04 Operating Model'!O$97=0,0,O124/'04 Operating Model'!O$97)</f>
        <v>0</v>
      </c>
      <c r="P131" s="6">
        <f>IF('04 Operating Model'!P$97=0,0,P124/'04 Operating Model'!P$97)</f>
        <v>0</v>
      </c>
      <c r="Q131" s="6">
        <f>IF('04 Operating Model'!Q$97=0,0,Q124/'04 Operating Model'!Q$97)</f>
        <v>0</v>
      </c>
      <c r="R131" s="6">
        <f>IF('04 Operating Model'!R$97=0,0,R124/'04 Operating Model'!R$97)</f>
        <v>0</v>
      </c>
      <c r="S131" s="6">
        <f>IF('04 Operating Model'!S$97=0,0,S124/'04 Operating Model'!S$97)</f>
        <v>0</v>
      </c>
      <c r="T131" s="6">
        <f>IF('04 Operating Model'!T$97=0,0,T124/'04 Operating Model'!T$97)</f>
        <v>0</v>
      </c>
      <c r="U131" s="6">
        <f>IF('04 Operating Model'!U$97=0,0,U124/'04 Operating Model'!U$97)</f>
        <v>0</v>
      </c>
      <c r="V131" s="6">
        <f>IF('04 Operating Model'!V$97=0,0,V124/'04 Operating Model'!V$97)</f>
        <v>0</v>
      </c>
      <c r="W131" s="6">
        <f>IF('04 Operating Model'!W$97=0,0,W124/'04 Operating Model'!W$97)</f>
        <v>0</v>
      </c>
      <c r="X131" s="6">
        <f>IF('04 Operating Model'!X$97=0,0,X124/'04 Operating Model'!X$97)</f>
        <v>0</v>
      </c>
      <c r="Y131" s="6">
        <f>IF('04 Operating Model'!Y$97=0,0,Y124/'04 Operating Model'!Y$97)</f>
        <v>0</v>
      </c>
      <c r="Z131" s="6">
        <f>IF('04 Operating Model'!Z$97=0,0,Z124/'04 Operating Model'!Z$97)</f>
        <v>0</v>
      </c>
      <c r="AA131" s="6">
        <f>IF('04 Operating Model'!AA$97=0,0,AA124/'04 Operating Model'!AA$97)</f>
        <v>0</v>
      </c>
      <c r="AB131" s="6">
        <f>IF('04 Operating Model'!AB$97=0,0,AB124/'04 Operating Model'!AB$97)</f>
        <v>0</v>
      </c>
      <c r="AC131" s="6">
        <f>IF('04 Operating Model'!AC$97=0,0,AC124/'04 Operating Model'!AC$97)</f>
        <v>0</v>
      </c>
      <c r="AD131" s="6">
        <f>IF('04 Operating Model'!AD$97=0,0,AD124/'04 Operating Model'!AD$97)</f>
        <v>0</v>
      </c>
      <c r="AE131" s="6">
        <f>IF('04 Operating Model'!AE$97=0,0,AE124/'04 Operating Model'!AE$97)</f>
        <v>0</v>
      </c>
      <c r="AF131" s="6">
        <f>IF('04 Operating Model'!AF$97=0,0,AF124/'04 Operating Model'!AF$97)</f>
        <v>0</v>
      </c>
      <c r="AG131" s="6">
        <f>IF('04 Operating Model'!AG$97=0,0,AG124/'04 Operating Model'!AG$97)</f>
        <v>0</v>
      </c>
      <c r="AH131" s="6">
        <f>IF('04 Operating Model'!AH$97=0,0,AH124/'04 Operating Model'!AH$97)</f>
        <v>0</v>
      </c>
      <c r="AI131" s="6">
        <f>IF('04 Operating Model'!AI$97=0,0,AI124/'04 Operating Model'!AI$97)</f>
        <v>0</v>
      </c>
      <c r="AJ131" s="6">
        <f>IF('04 Operating Model'!AJ$97=0,0,AJ124/'04 Operating Model'!AJ$97)</f>
        <v>0</v>
      </c>
      <c r="AK131" s="6">
        <f>IF('04 Operating Model'!AK$97=0,0,AK124/'04 Operating Model'!AK$97)</f>
        <v>0</v>
      </c>
      <c r="AL131" s="6">
        <f>IF('04 Operating Model'!AL$97=0,0,AL124/'04 Operating Model'!AL$97)</f>
        <v>0</v>
      </c>
      <c r="AM131" s="6">
        <f>IF('04 Operating Model'!AM$97=0,0,AM124/'04 Operating Model'!AM$97)</f>
        <v>0</v>
      </c>
      <c r="AN131" s="6">
        <f>IF('04 Operating Model'!AN$97=0,0,AN124/'04 Operating Model'!AN$97)</f>
        <v>0</v>
      </c>
      <c r="AO131" s="6">
        <f>IF('04 Operating Model'!AO$97=0,0,AO124/'04 Operating Model'!AO$97)</f>
        <v>0</v>
      </c>
      <c r="AP131" s="6">
        <f>IF('04 Operating Model'!AP$97=0,0,AP124/'04 Operating Model'!AP$97)</f>
        <v>0</v>
      </c>
      <c r="AQ131" s="6">
        <f>IF('04 Operating Model'!AQ$97=0,0,AQ124/'04 Operating Model'!AQ$97)</f>
        <v>0</v>
      </c>
      <c r="AR131" s="6">
        <f>IF('04 Operating Model'!AR$97=0,0,AR124/'04 Operating Model'!AR$97)</f>
        <v>0</v>
      </c>
      <c r="AS131" s="6">
        <f>IF('04 Operating Model'!AS$97=0,0,AS124/'04 Operating Model'!AS$97)</f>
        <v>0</v>
      </c>
      <c r="AT131" s="6">
        <f>IF('04 Operating Model'!AT$97=0,0,AT124/'04 Operating Model'!AT$97)</f>
        <v>0</v>
      </c>
      <c r="AU131" s="6">
        <f>IF('04 Operating Model'!AU$97=0,0,AU124/'04 Operating Model'!AU$97)</f>
        <v>0</v>
      </c>
      <c r="AV131" s="6">
        <f>IF('04 Operating Model'!AV$97=0,0,AV124/'04 Operating Model'!AV$97)</f>
        <v>0</v>
      </c>
      <c r="AW131" s="6">
        <f>IF('04 Operating Model'!AW$97=0,0,AW124/'04 Operating Model'!AW$97)</f>
        <v>0</v>
      </c>
      <c r="AX131" s="6">
        <f>IF('04 Operating Model'!AX$97=0,0,AX124/'04 Operating Model'!AX$97)</f>
        <v>0</v>
      </c>
      <c r="AY131" s="6">
        <f>IF('04 Operating Model'!AY$97=0,0,AY124/'04 Operating Model'!AY$97)</f>
        <v>0</v>
      </c>
      <c r="AZ131" s="6">
        <f>IF('04 Operating Model'!AZ$97=0,0,AZ124/'04 Operating Model'!AZ$97)</f>
        <v>0</v>
      </c>
      <c r="BA131" s="6">
        <f>IF('04 Operating Model'!BA$97=0,0,BA124/'04 Operating Model'!BA$97)</f>
        <v>0</v>
      </c>
      <c r="BB131" s="6">
        <f>IF('04 Operating Model'!BB$97=0,0,BB124/'04 Operating Model'!BB$97)</f>
        <v>0</v>
      </c>
      <c r="BC131" s="6">
        <f>IF('04 Operating Model'!BC$97=0,0,BC124/'04 Operating Model'!BC$97)</f>
        <v>0</v>
      </c>
      <c r="BD131" s="6">
        <f>IF('04 Operating Model'!BD$97=0,0,BD124/'04 Operating Model'!BD$97)</f>
        <v>0</v>
      </c>
      <c r="BE131" s="6">
        <f>IF('04 Operating Model'!BE$97=0,0,BE124/'04 Operating Model'!BE$97)</f>
        <v>0</v>
      </c>
      <c r="BF131" s="6">
        <f>IF('04 Operating Model'!BF$97=0,0,BF124/'04 Operating Model'!BF$97)</f>
        <v>0</v>
      </c>
      <c r="BG131" s="6">
        <f>IF('04 Operating Model'!BG$97=0,0,BG124/'04 Operating Model'!BG$97)</f>
        <v>0</v>
      </c>
      <c r="BH131" s="6">
        <f>IF('04 Operating Model'!BH$97=0,0,BH124/'04 Operating Model'!BH$97)</f>
        <v>0</v>
      </c>
      <c r="BI131" s="6">
        <f>IF('04 Operating Model'!BI$97=0,0,BI124/'04 Operating Model'!BI$97)</f>
        <v>0</v>
      </c>
      <c r="BJ131" s="6">
        <f>IF('04 Operating Model'!BJ$97=0,0,BJ124/'04 Operating Model'!BJ$97)</f>
        <v>0</v>
      </c>
      <c r="BK131" s="6">
        <f>IF('04 Operating Model'!BK$97=0,0,BK124/'04 Operating Model'!BK$97)</f>
        <v>0</v>
      </c>
      <c r="BL131" s="6">
        <f>IF('04 Operating Model'!BL$97=0,0,BL124/'04 Operating Model'!BL$97)</f>
        <v>0</v>
      </c>
      <c r="BM131" s="6">
        <f>IF('04 Operating Model'!BM$97=0,0,BM124/'04 Operating Model'!BM$97)</f>
        <v>0</v>
      </c>
      <c r="BN131" s="6">
        <f>IF('04 Operating Model'!BN$97=0,0,BN124/'04 Operating Model'!BN$97)</f>
        <v>0</v>
      </c>
      <c r="BO131" s="6">
        <f>IF('04 Operating Model'!BO$97=0,0,BO124/'04 Operating Model'!BO$97)</f>
        <v>0</v>
      </c>
    </row>
    <row r="132" spans="1:67">
      <c r="A132" s="11"/>
      <c r="B132" s="11"/>
      <c r="C132" s="11" t="s">
        <v>253</v>
      </c>
      <c r="D132" s="33"/>
      <c r="E132" s="33"/>
      <c r="F132" s="10" t="s">
        <v>7</v>
      </c>
      <c r="G132" s="6">
        <f>IF('04 Operating Model'!G$98=0,0,G125/'04 Operating Model'!G$98)</f>
        <v>0</v>
      </c>
      <c r="H132" s="6">
        <f>IF('04 Operating Model'!H$98=0,0,H125/'04 Operating Model'!H$98)</f>
        <v>0</v>
      </c>
      <c r="I132" s="6">
        <f>IF('04 Operating Model'!I$98=0,0,I125/'04 Operating Model'!I$98)</f>
        <v>0</v>
      </c>
      <c r="J132" s="6">
        <f>IF('04 Operating Model'!J$98=0,0,J125/'04 Operating Model'!J$98)</f>
        <v>0</v>
      </c>
      <c r="K132" s="6">
        <f>IF('04 Operating Model'!K$98=0,0,K125/'04 Operating Model'!K$98)</f>
        <v>0</v>
      </c>
      <c r="L132" s="6">
        <f>IF('04 Operating Model'!L$98=0,0,L125/'04 Operating Model'!L$98)</f>
        <v>0</v>
      </c>
      <c r="M132" s="6">
        <f>IF('04 Operating Model'!M$98=0,0,M125/'04 Operating Model'!M$98)</f>
        <v>0</v>
      </c>
      <c r="N132" s="6">
        <f>IF('04 Operating Model'!N$98=0,0,N125/'04 Operating Model'!N$98)</f>
        <v>0</v>
      </c>
      <c r="O132" s="6">
        <f>IF('04 Operating Model'!O$98=0,0,O125/'04 Operating Model'!O$98)</f>
        <v>0</v>
      </c>
      <c r="P132" s="6">
        <f>IF('04 Operating Model'!P$98=0,0,P125/'04 Operating Model'!P$98)</f>
        <v>0</v>
      </c>
      <c r="Q132" s="6">
        <f>IF('04 Operating Model'!Q$98=0,0,Q125/'04 Operating Model'!Q$98)</f>
        <v>0</v>
      </c>
      <c r="R132" s="6">
        <f>IF('04 Operating Model'!R$98=0,0,R125/'04 Operating Model'!R$98)</f>
        <v>0</v>
      </c>
      <c r="S132" s="6">
        <f>IF('04 Operating Model'!S$98=0,0,S125/'04 Operating Model'!S$98)</f>
        <v>0</v>
      </c>
      <c r="T132" s="6">
        <f>IF('04 Operating Model'!T$98=0,0,T125/'04 Operating Model'!T$98)</f>
        <v>0</v>
      </c>
      <c r="U132" s="6">
        <f>IF('04 Operating Model'!U$98=0,0,U125/'04 Operating Model'!U$98)</f>
        <v>0</v>
      </c>
      <c r="V132" s="6">
        <f>IF('04 Operating Model'!V$98=0,0,V125/'04 Operating Model'!V$98)</f>
        <v>0</v>
      </c>
      <c r="W132" s="6">
        <f>IF('04 Operating Model'!W$98=0,0,W125/'04 Operating Model'!W$98)</f>
        <v>0</v>
      </c>
      <c r="X132" s="6">
        <f>IF('04 Operating Model'!X$98=0,0,X125/'04 Operating Model'!X$98)</f>
        <v>0</v>
      </c>
      <c r="Y132" s="6">
        <f>IF('04 Operating Model'!Y$98=0,0,Y125/'04 Operating Model'!Y$98)</f>
        <v>0</v>
      </c>
      <c r="Z132" s="6">
        <f>IF('04 Operating Model'!Z$98=0,0,Z125/'04 Operating Model'!Z$98)</f>
        <v>0</v>
      </c>
      <c r="AA132" s="6">
        <f>IF('04 Operating Model'!AA$98=0,0,AA125/'04 Operating Model'!AA$98)</f>
        <v>0</v>
      </c>
      <c r="AB132" s="6">
        <f>IF('04 Operating Model'!AB$98=0,0,AB125/'04 Operating Model'!AB$98)</f>
        <v>-0.66841664407197277</v>
      </c>
      <c r="AC132" s="6">
        <f>IF('04 Operating Model'!AC$98=0,0,AC125/'04 Operating Model'!AC$98)</f>
        <v>0.25917840697751016</v>
      </c>
      <c r="AD132" s="6">
        <f>IF('04 Operating Model'!AD$98=0,0,AD125/'04 Operating Model'!AD$98)</f>
        <v>0.35917027132199925</v>
      </c>
      <c r="AE132" s="6">
        <f>IF('04 Operating Model'!AE$98=0,0,AE125/'04 Operating Model'!AE$98)</f>
        <v>0.4299012181918398</v>
      </c>
      <c r="AF132" s="6">
        <f>IF('04 Operating Model'!AF$98=0,0,AF125/'04 Operating Model'!AF$98)</f>
        <v>0.47755499968051957</v>
      </c>
      <c r="AG132" s="6">
        <f>IF('04 Operating Model'!AG$98=0,0,AG125/'04 Operating Model'!AG$98)</f>
        <v>0.5134087971815261</v>
      </c>
      <c r="AH132" s="6">
        <f>IF('04 Operating Model'!AH$98=0,0,AH125/'04 Operating Model'!AH$98)</f>
        <v>0.54136260540264991</v>
      </c>
      <c r="AI132" s="6">
        <f>IF('04 Operating Model'!AI$98=0,0,AI125/'04 Operating Model'!AI$98)</f>
        <v>0.56376832954935241</v>
      </c>
      <c r="AJ132" s="6">
        <f>IF('04 Operating Model'!AJ$98=0,0,AJ125/'04 Operating Model'!AJ$98)</f>
        <v>0.58212857572512222</v>
      </c>
      <c r="AK132" s="6">
        <f>IF('04 Operating Model'!AK$98=0,0,AK125/'04 Operating Model'!AK$98)</f>
        <v>0.59744827157879032</v>
      </c>
      <c r="AL132" s="6">
        <f>IF('04 Operating Model'!AL$98=0,0,AL125/'04 Operating Model'!AL$98)</f>
        <v>0.6104249551254266</v>
      </c>
      <c r="AM132" s="6">
        <f>IF('04 Operating Model'!AM$98=0,0,AM125/'04 Operating Model'!AM$98)</f>
        <v>0.62155795685669391</v>
      </c>
      <c r="AN132" s="6">
        <f>IF('04 Operating Model'!AN$98=0,0,AN125/'04 Operating Model'!AN$98)</f>
        <v>0.63121413182769115</v>
      </c>
      <c r="AO132" s="6">
        <f>IF('04 Operating Model'!AO$98=0,0,AO125/'04 Operating Model'!AO$98)</f>
        <v>0.63108151401593338</v>
      </c>
      <c r="AP132" s="6">
        <f>IF('04 Operating Model'!AP$98=0,0,AP125/'04 Operating Model'!AP$98)</f>
        <v>0.6309488962041756</v>
      </c>
      <c r="AQ132" s="6">
        <f>IF('04 Operating Model'!AQ$98=0,0,AQ125/'04 Operating Model'!AQ$98)</f>
        <v>0.63241395223604013</v>
      </c>
      <c r="AR132" s="6">
        <f>IF('04 Operating Model'!AR$98=0,0,AR125/'04 Operating Model'!AR$98)</f>
        <v>0.63228390819483249</v>
      </c>
      <c r="AS132" s="6">
        <f>IF('04 Operating Model'!AS$98=0,0,AS125/'04 Operating Model'!AS$98)</f>
        <v>0.63215386415362507</v>
      </c>
      <c r="AT132" s="6">
        <f>IF('04 Operating Model'!AT$98=0,0,AT125/'04 Operating Model'!AT$98)</f>
        <v>0.63202382011241753</v>
      </c>
      <c r="AU132" s="6">
        <f>IF('04 Operating Model'!AU$98=0,0,AU125/'04 Operating Model'!AU$98)</f>
        <v>0.63189377607120989</v>
      </c>
      <c r="AV132" s="6">
        <f>IF('04 Operating Model'!AV$98=0,0,AV125/'04 Operating Model'!AV$98)</f>
        <v>0.63176373203000236</v>
      </c>
      <c r="AW132" s="6">
        <f>IF('04 Operating Model'!AW$98=0,0,AW125/'04 Operating Model'!AW$98)</f>
        <v>0.63163368798879482</v>
      </c>
      <c r="AX132" s="6">
        <f>IF('04 Operating Model'!AX$98=0,0,AX125/'04 Operating Model'!AX$98)</f>
        <v>0.63150364394758718</v>
      </c>
      <c r="AY132" s="6">
        <f>IF('04 Operating Model'!AY$98=0,0,AY125/'04 Operating Model'!AY$98)</f>
        <v>0.63137359990637965</v>
      </c>
      <c r="AZ132" s="6">
        <f>IF('04 Operating Model'!AZ$98=0,0,AZ125/'04 Operating Model'!AZ$98)</f>
        <v>0.63124355586517211</v>
      </c>
      <c r="BA132" s="6">
        <f>IF('04 Operating Model'!BA$98=0,0,BA125/'04 Operating Model'!BA$98)</f>
        <v>0.63111351182396458</v>
      </c>
      <c r="BB132" s="6">
        <f>IF('04 Operating Model'!BB$98=0,0,BB125/'04 Operating Model'!BB$98)</f>
        <v>0.63098346778275693</v>
      </c>
      <c r="BC132" s="6">
        <f>IF('04 Operating Model'!BC$98=0,0,BC125/'04 Operating Model'!BC$98)</f>
        <v>0.63241390134293496</v>
      </c>
      <c r="BD132" s="6">
        <f>IF('04 Operating Model'!BD$98=0,0,BD125/'04 Operating Model'!BD$98)</f>
        <v>0.63228637838946022</v>
      </c>
      <c r="BE132" s="6">
        <f>IF('04 Operating Model'!BE$98=0,0,BE125/'04 Operating Model'!BE$98)</f>
        <v>0.6321588554359856</v>
      </c>
      <c r="BF132" s="6">
        <f>IF('04 Operating Model'!BF$98=0,0,BF125/'04 Operating Model'!BF$98)</f>
        <v>0.63203133248251098</v>
      </c>
      <c r="BG132" s="6">
        <f>IF('04 Operating Model'!BG$98=0,0,BG125/'04 Operating Model'!BG$98)</f>
        <v>0.63190380952903624</v>
      </c>
      <c r="BH132" s="6">
        <f>IF('04 Operating Model'!BH$98=0,0,BH125/'04 Operating Model'!BH$98)</f>
        <v>0.63177628657556162</v>
      </c>
      <c r="BI132" s="6">
        <f>IF('04 Operating Model'!BI$98=0,0,BI125/'04 Operating Model'!BI$98)</f>
        <v>0.63151700338464822</v>
      </c>
      <c r="BJ132" s="6">
        <f>IF('04 Operating Model'!BJ$98=0,0,BJ125/'04 Operating Model'!BJ$98)</f>
        <v>0.63151802441101001</v>
      </c>
      <c r="BK132" s="6">
        <f>IF('04 Operating Model'!BK$98=0,0,BK125/'04 Operating Model'!BK$98)</f>
        <v>0.63271653658448157</v>
      </c>
      <c r="BL132" s="6">
        <f>IF('04 Operating Model'!BL$98=0,0,BL125/'04 Operating Model'!BL$98)</f>
        <v>0.63306077768282665</v>
      </c>
      <c r="BM132" s="6">
        <f>IF('04 Operating Model'!BM$98=0,0,BM125/'04 Operating Model'!BM$98)</f>
        <v>0.63298923334857149</v>
      </c>
      <c r="BN132" s="6">
        <f>IF('04 Operating Model'!BN$98=0,0,BN125/'04 Operating Model'!BN$98)</f>
        <v>0.63265139194219744</v>
      </c>
      <c r="BO132" s="6">
        <f>IF('04 Operating Model'!BO$98=0,0,BO125/'04 Operating Model'!BO$98)</f>
        <v>0.63272291772736688</v>
      </c>
    </row>
    <row r="133" spans="1:67">
      <c r="A133" s="11"/>
      <c r="B133" s="11"/>
      <c r="C133" s="11" t="s">
        <v>75</v>
      </c>
      <c r="D133" s="33"/>
      <c r="E133" s="33"/>
      <c r="F133" s="10" t="s">
        <v>7</v>
      </c>
      <c r="G133" s="6">
        <f>IF('04 Operating Model'!G$99=0,0,G126/'04 Operating Model'!G$99)</f>
        <v>0</v>
      </c>
      <c r="H133" s="6">
        <f>IF('04 Operating Model'!H$99=0,0,H126/'04 Operating Model'!H$99)</f>
        <v>0</v>
      </c>
      <c r="I133" s="6">
        <f>IF('04 Operating Model'!I$99=0,0,I126/'04 Operating Model'!I$99)</f>
        <v>0</v>
      </c>
      <c r="J133" s="6">
        <f>IF('04 Operating Model'!J$99=0,0,J126/'04 Operating Model'!J$99)</f>
        <v>0</v>
      </c>
      <c r="K133" s="6">
        <f>IF('04 Operating Model'!K$99=0,0,K126/'04 Operating Model'!K$99)</f>
        <v>0</v>
      </c>
      <c r="L133" s="6">
        <f>IF('04 Operating Model'!L$99=0,0,L126/'04 Operating Model'!L$99)</f>
        <v>0</v>
      </c>
      <c r="M133" s="6">
        <f>IF('04 Operating Model'!M$99=0,0,M126/'04 Operating Model'!M$99)</f>
        <v>0</v>
      </c>
      <c r="N133" s="6">
        <f>IF('04 Operating Model'!N$99=0,0,N126/'04 Operating Model'!N$99)</f>
        <v>0</v>
      </c>
      <c r="O133" s="6">
        <f>IF('04 Operating Model'!O$99=0,0,O126/'04 Operating Model'!O$99)</f>
        <v>0</v>
      </c>
      <c r="P133" s="6">
        <f>IF('04 Operating Model'!P$99=0,0,P126/'04 Operating Model'!P$99)</f>
        <v>0</v>
      </c>
      <c r="Q133" s="6">
        <f>IF('04 Operating Model'!Q$99=0,0,Q126/'04 Operating Model'!Q$99)</f>
        <v>0</v>
      </c>
      <c r="R133" s="6">
        <f>IF('04 Operating Model'!R$99=0,0,R126/'04 Operating Model'!R$99)</f>
        <v>0</v>
      </c>
      <c r="S133" s="6">
        <f>IF('04 Operating Model'!S$99=0,0,S126/'04 Operating Model'!S$99)</f>
        <v>0</v>
      </c>
      <c r="T133" s="6">
        <f>IF('04 Operating Model'!T$99=0,0,T126/'04 Operating Model'!T$99)</f>
        <v>0</v>
      </c>
      <c r="U133" s="6">
        <f>IF('04 Operating Model'!U$99=0,0,U126/'04 Operating Model'!U$99)</f>
        <v>0</v>
      </c>
      <c r="V133" s="6">
        <f>IF('04 Operating Model'!V$99=0,0,V126/'04 Operating Model'!V$99)</f>
        <v>0</v>
      </c>
      <c r="W133" s="6">
        <f>IF('04 Operating Model'!W$99=0,0,W126/'04 Operating Model'!W$99)</f>
        <v>0</v>
      </c>
      <c r="X133" s="6">
        <f>IF('04 Operating Model'!X$99=0,0,X126/'04 Operating Model'!X$99)</f>
        <v>0</v>
      </c>
      <c r="Y133" s="6">
        <f>IF('04 Operating Model'!Y$99=0,0,Y126/'04 Operating Model'!Y$99)</f>
        <v>0</v>
      </c>
      <c r="Z133" s="6">
        <f>IF('04 Operating Model'!Z$99=0,0,Z126/'04 Operating Model'!Z$99)</f>
        <v>0</v>
      </c>
      <c r="AA133" s="6">
        <f>IF('04 Operating Model'!AA$99=0,0,AA126/'04 Operating Model'!AA$99)</f>
        <v>0</v>
      </c>
      <c r="AB133" s="6">
        <f>IF('04 Operating Model'!AB$99=0,0,AB126/'04 Operating Model'!AB$99)</f>
        <v>-13.923059983088198</v>
      </c>
      <c r="AC133" s="6">
        <f>IF('04 Operating Model'!AC$99=0,0,AC126/'04 Operating Model'!AC$99)</f>
        <v>-5.6262375820344932</v>
      </c>
      <c r="AD133" s="6">
        <f>IF('04 Operating Model'!AD$99=0,0,AD126/'04 Operating Model'!AD$99)</f>
        <v>-4.7318659065087845</v>
      </c>
      <c r="AE133" s="6">
        <f>IF('04 Operating Model'!AE$99=0,0,AE126/'04 Operating Model'!AE$99)</f>
        <v>-4.0992168817285446</v>
      </c>
      <c r="AF133" s="6">
        <f>IF('04 Operating Model'!AF$99=0,0,AF126/'04 Operating Model'!AF$99)</f>
        <v>-3.6729802806353518</v>
      </c>
      <c r="AG133" s="6">
        <f>IF('04 Operating Model'!AG$99=0,0,AG126/'04 Operating Model'!AG$99)</f>
        <v>-3.3522879807652388</v>
      </c>
      <c r="AH133" s="6">
        <f>IF('04 Operating Model'!AH$99=0,0,AH126/'04 Operating Model'!AH$99)</f>
        <v>-3.1022566961207425</v>
      </c>
      <c r="AI133" s="6">
        <f>IF('04 Operating Model'!AI$99=0,0,AI126/'04 Operating Model'!AI$99)</f>
        <v>-2.9018499412530145</v>
      </c>
      <c r="AJ133" s="6">
        <f>IF('04 Operating Model'!AJ$99=0,0,AJ126/'04 Operating Model'!AJ$99)</f>
        <v>-2.7376277393475177</v>
      </c>
      <c r="AK133" s="6">
        <f>IF('04 Operating Model'!AK$99=0,0,AK126/'04 Operating Model'!AK$99)</f>
        <v>-2.6006015708785966</v>
      </c>
      <c r="AL133" s="6">
        <f>IF('04 Operating Model'!AL$99=0,0,AL126/'04 Operating Model'!AL$99)</f>
        <v>-2.484532345822573</v>
      </c>
      <c r="AM133" s="6">
        <f>IF('04 Operating Model'!AM$99=0,0,AM126/'04 Operating Model'!AM$99)</f>
        <v>-2.3849538303373485</v>
      </c>
      <c r="AN133" s="6">
        <f>IF('04 Operating Model'!AN$99=0,0,AN126/'04 Operating Model'!AN$99)</f>
        <v>-2.2985847097634298</v>
      </c>
      <c r="AO133" s="6">
        <f>IF('04 Operating Model'!AO$99=0,0,AO126/'04 Operating Model'!AO$99)</f>
        <v>-2.2997709024130408</v>
      </c>
      <c r="AP133" s="6">
        <f>IF('04 Operating Model'!AP$99=0,0,AP126/'04 Operating Model'!AP$99)</f>
        <v>-2.3009570950626523</v>
      </c>
      <c r="AQ133" s="6">
        <f>IF('04 Operating Model'!AQ$99=0,0,AQ126/'04 Operating Model'!AQ$99)</f>
        <v>-2.2878529827776406</v>
      </c>
      <c r="AR133" s="6">
        <f>IF('04 Operating Model'!AR$99=0,0,AR126/'04 Operating Model'!AR$99)</f>
        <v>-2.2890161544795533</v>
      </c>
      <c r="AS133" s="6">
        <f>IF('04 Operating Model'!AS$99=0,0,AS126/'04 Operating Model'!AS$99)</f>
        <v>-2.2901793261814647</v>
      </c>
      <c r="AT133" s="6">
        <f>IF('04 Operating Model'!AT$99=0,0,AT126/'04 Operating Model'!AT$99)</f>
        <v>-2.2913424978833765</v>
      </c>
      <c r="AU133" s="6">
        <f>IF('04 Operating Model'!AU$99=0,0,AU126/'04 Operating Model'!AU$99)</f>
        <v>-2.2925056695852888</v>
      </c>
      <c r="AV133" s="6">
        <f>IF('04 Operating Model'!AV$99=0,0,AV126/'04 Operating Model'!AV$99)</f>
        <v>-2.2936688412872006</v>
      </c>
      <c r="AW133" s="6">
        <f>IF('04 Operating Model'!AW$99=0,0,AW126/'04 Operating Model'!AW$99)</f>
        <v>-2.2948320129891133</v>
      </c>
      <c r="AX133" s="6">
        <f>IF('04 Operating Model'!AX$99=0,0,AX126/'04 Operating Model'!AX$99)</f>
        <v>-2.2959951846910247</v>
      </c>
      <c r="AY133" s="6">
        <f>IF('04 Operating Model'!AY$99=0,0,AY126/'04 Operating Model'!AY$99)</f>
        <v>-2.2971583563929374</v>
      </c>
      <c r="AZ133" s="6">
        <f>IF('04 Operating Model'!AZ$99=0,0,AZ126/'04 Operating Model'!AZ$99)</f>
        <v>-2.2983215280948488</v>
      </c>
      <c r="BA133" s="6">
        <f>IF('04 Operating Model'!BA$99=0,0,BA126/'04 Operating Model'!BA$99)</f>
        <v>-2.2994846997967611</v>
      </c>
      <c r="BB133" s="6">
        <f>IF('04 Operating Model'!BB$99=0,0,BB126/'04 Operating Model'!BB$99)</f>
        <v>-2.3006478714986738</v>
      </c>
      <c r="BC133" s="6">
        <f>IF('04 Operating Model'!BC$99=0,0,BC126/'04 Operating Model'!BC$99)</f>
        <v>-2.2878534379881921</v>
      </c>
      <c r="BD133" s="6">
        <f>IF('04 Operating Model'!BD$99=0,0,BD126/'04 Operating Model'!BD$99)</f>
        <v>-2.2889940599609382</v>
      </c>
      <c r="BE133" s="6">
        <f>IF('04 Operating Model'!BE$99=0,0,BE126/'04 Operating Model'!BE$99)</f>
        <v>-2.2901346819336843</v>
      </c>
      <c r="BF133" s="6">
        <f>IF('04 Operating Model'!BF$99=0,0,BF126/'04 Operating Model'!BF$99)</f>
        <v>-2.2912753039064295</v>
      </c>
      <c r="BG133" s="6">
        <f>IF('04 Operating Model'!BG$99=0,0,BG126/'04 Operating Model'!BG$99)</f>
        <v>-2.2924159258791756</v>
      </c>
      <c r="BH133" s="6">
        <f>IF('04 Operating Model'!BH$99=0,0,BH126/'04 Operating Model'!BH$99)</f>
        <v>-2.2935565478519209</v>
      </c>
      <c r="BI133" s="6">
        <f>IF('04 Operating Model'!BI$99=0,0,BI126/'04 Operating Model'!BI$99)</f>
        <v>-2.2958756919484236</v>
      </c>
      <c r="BJ133" s="6">
        <f>IF('04 Operating Model'!BJ$99=0,0,BJ126/'04 Operating Model'!BJ$99)</f>
        <v>-2.2958665594348542</v>
      </c>
      <c r="BK133" s="6">
        <f>IF('04 Operating Model'!BK$99=0,0,BK126/'04 Operating Model'!BK$99)</f>
        <v>-2.2851465338832475</v>
      </c>
      <c r="BL133" s="6">
        <f>IF('04 Operating Model'!BL$99=0,0,BL126/'04 Operating Model'!BL$99)</f>
        <v>-2.2820674885036056</v>
      </c>
      <c r="BM133" s="6">
        <f>IF('04 Operating Model'!BM$99=0,0,BM126/'04 Operating Model'!BM$99)</f>
        <v>-2.2827074128266642</v>
      </c>
      <c r="BN133" s="6">
        <f>IF('04 Operating Model'!BN$99=0,0,BN126/'04 Operating Model'!BN$99)</f>
        <v>-2.2857292165170113</v>
      </c>
      <c r="BO133" s="6">
        <f>IF('04 Operating Model'!BO$99=0,0,BO126/'04 Operating Model'!BO$99)</f>
        <v>-2.2850894581052184</v>
      </c>
    </row>
    <row r="134" spans="1:67">
      <c r="A134" s="11"/>
      <c r="B134" s="11"/>
      <c r="C134" s="11" t="s">
        <v>78</v>
      </c>
      <c r="D134" s="33"/>
      <c r="E134" s="33"/>
      <c r="F134" s="10" t="s">
        <v>7</v>
      </c>
      <c r="G134" s="6">
        <f>IF('04 Operating Model'!G$100=0,0,G127/'04 Operating Model'!G$100)</f>
        <v>0</v>
      </c>
      <c r="H134" s="6">
        <f>IF('04 Operating Model'!H$100=0,0,H127/'04 Operating Model'!H$100)</f>
        <v>0</v>
      </c>
      <c r="I134" s="6">
        <f>IF('04 Operating Model'!I$100=0,0,I127/'04 Operating Model'!I$100)</f>
        <v>0</v>
      </c>
      <c r="J134" s="6">
        <f>IF('04 Operating Model'!J$100=0,0,J127/'04 Operating Model'!J$100)</f>
        <v>0</v>
      </c>
      <c r="K134" s="6">
        <f>IF('04 Operating Model'!K$100=0,0,K127/'04 Operating Model'!K$100)</f>
        <v>0</v>
      </c>
      <c r="L134" s="6">
        <f>IF('04 Operating Model'!L$100=0,0,L127/'04 Operating Model'!L$100)</f>
        <v>0</v>
      </c>
      <c r="M134" s="6">
        <f>IF('04 Operating Model'!M$100=0,0,M127/'04 Operating Model'!M$100)</f>
        <v>0</v>
      </c>
      <c r="N134" s="6">
        <f>IF('04 Operating Model'!N$100=0,0,N127/'04 Operating Model'!N$100)</f>
        <v>0</v>
      </c>
      <c r="O134" s="6">
        <f>IF('04 Operating Model'!O$100=0,0,O127/'04 Operating Model'!O$100)</f>
        <v>0</v>
      </c>
      <c r="P134" s="6">
        <f>IF('04 Operating Model'!P$100=0,0,P127/'04 Operating Model'!P$100)</f>
        <v>0</v>
      </c>
      <c r="Q134" s="6">
        <f>IF('04 Operating Model'!Q$100=0,0,Q127/'04 Operating Model'!Q$100)</f>
        <v>0</v>
      </c>
      <c r="R134" s="6">
        <f>IF('04 Operating Model'!R$100=0,0,R127/'04 Operating Model'!R$100)</f>
        <v>0</v>
      </c>
      <c r="S134" s="6">
        <f>IF('04 Operating Model'!S$100=0,0,S127/'04 Operating Model'!S$100)</f>
        <v>0</v>
      </c>
      <c r="T134" s="6">
        <f>IF('04 Operating Model'!T$100=0,0,T127/'04 Operating Model'!T$100)</f>
        <v>0</v>
      </c>
      <c r="U134" s="6">
        <f>IF('04 Operating Model'!U$100=0,0,U127/'04 Operating Model'!U$100)</f>
        <v>0</v>
      </c>
      <c r="V134" s="6">
        <f>IF('04 Operating Model'!V$100=0,0,V127/'04 Operating Model'!V$100)</f>
        <v>0</v>
      </c>
      <c r="W134" s="6">
        <f>IF('04 Operating Model'!W$100=0,0,W127/'04 Operating Model'!W$100)</f>
        <v>0</v>
      </c>
      <c r="X134" s="6">
        <f>IF('04 Operating Model'!X$100=0,0,X127/'04 Operating Model'!X$100)</f>
        <v>0</v>
      </c>
      <c r="Y134" s="6">
        <f>IF('04 Operating Model'!Y$100=0,0,Y127/'04 Operating Model'!Y$100)</f>
        <v>0</v>
      </c>
      <c r="Z134" s="6">
        <f>IF('04 Operating Model'!Z$100=0,0,Z127/'04 Operating Model'!Z$100)</f>
        <v>0</v>
      </c>
      <c r="AA134" s="6">
        <f>IF('04 Operating Model'!AA$100=0,0,AA127/'04 Operating Model'!AA$100)</f>
        <v>0</v>
      </c>
      <c r="AB134" s="6">
        <f>IF('04 Operating Model'!AB$100=0,0,AB127/'04 Operating Model'!AB$100)</f>
        <v>0</v>
      </c>
      <c r="AC134" s="6">
        <f>IF('04 Operating Model'!AC$100=0,0,AC127/'04 Operating Model'!AC$100)</f>
        <v>0</v>
      </c>
      <c r="AD134" s="6">
        <f>IF('04 Operating Model'!AD$100=0,0,AD127/'04 Operating Model'!AD$100)</f>
        <v>0</v>
      </c>
      <c r="AE134" s="6">
        <f>IF('04 Operating Model'!AE$100=0,0,AE127/'04 Operating Model'!AE$100)</f>
        <v>0</v>
      </c>
      <c r="AF134" s="6">
        <f>IF('04 Operating Model'!AF$100=0,0,AF127/'04 Operating Model'!AF$100)</f>
        <v>0</v>
      </c>
      <c r="AG134" s="6">
        <f>IF('04 Operating Model'!AG$100=0,0,AG127/'04 Operating Model'!AG$100)</f>
        <v>0</v>
      </c>
      <c r="AH134" s="6">
        <f>IF('04 Operating Model'!AH$100=0,0,AH127/'04 Operating Model'!AH$100)</f>
        <v>0</v>
      </c>
      <c r="AI134" s="6">
        <f>IF('04 Operating Model'!AI$100=0,0,AI127/'04 Operating Model'!AI$100)</f>
        <v>0</v>
      </c>
      <c r="AJ134" s="6">
        <f>IF('04 Operating Model'!AJ$100=0,0,AJ127/'04 Operating Model'!AJ$100)</f>
        <v>0</v>
      </c>
      <c r="AK134" s="6">
        <f>IF('04 Operating Model'!AK$100=0,0,AK127/'04 Operating Model'!AK$100)</f>
        <v>0</v>
      </c>
      <c r="AL134" s="6">
        <f>IF('04 Operating Model'!AL$100=0,0,AL127/'04 Operating Model'!AL$100)</f>
        <v>0</v>
      </c>
      <c r="AM134" s="6">
        <f>IF('04 Operating Model'!AM$100=0,0,AM127/'04 Operating Model'!AM$100)</f>
        <v>0</v>
      </c>
      <c r="AN134" s="6">
        <f>IF('04 Operating Model'!AN$100=0,0,AN127/'04 Operating Model'!AN$100)</f>
        <v>0</v>
      </c>
      <c r="AO134" s="6">
        <f>IF('04 Operating Model'!AO$100=0,0,AO127/'04 Operating Model'!AO$100)</f>
        <v>0</v>
      </c>
      <c r="AP134" s="6">
        <f>IF('04 Operating Model'!AP$100=0,0,AP127/'04 Operating Model'!AP$100)</f>
        <v>0</v>
      </c>
      <c r="AQ134" s="6">
        <f>IF('04 Operating Model'!AQ$100=0,0,AQ127/'04 Operating Model'!AQ$100)</f>
        <v>0</v>
      </c>
      <c r="AR134" s="6">
        <f>IF('04 Operating Model'!AR$100=0,0,AR127/'04 Operating Model'!AR$100)</f>
        <v>0</v>
      </c>
      <c r="AS134" s="6">
        <f>IF('04 Operating Model'!AS$100=0,0,AS127/'04 Operating Model'!AS$100)</f>
        <v>0</v>
      </c>
      <c r="AT134" s="6">
        <f>IF('04 Operating Model'!AT$100=0,0,AT127/'04 Operating Model'!AT$100)</f>
        <v>0</v>
      </c>
      <c r="AU134" s="6">
        <f>IF('04 Operating Model'!AU$100=0,0,AU127/'04 Operating Model'!AU$100)</f>
        <v>0</v>
      </c>
      <c r="AV134" s="6">
        <f>IF('04 Operating Model'!AV$100=0,0,AV127/'04 Operating Model'!AV$100)</f>
        <v>0</v>
      </c>
      <c r="AW134" s="6">
        <f>IF('04 Operating Model'!AW$100=0,0,AW127/'04 Operating Model'!AW$100)</f>
        <v>0</v>
      </c>
      <c r="AX134" s="6">
        <f>IF('04 Operating Model'!AX$100=0,0,AX127/'04 Operating Model'!AX$100)</f>
        <v>0</v>
      </c>
      <c r="AY134" s="6">
        <f>IF('04 Operating Model'!AY$100=0,0,AY127/'04 Operating Model'!AY$100)</f>
        <v>0</v>
      </c>
      <c r="AZ134" s="6">
        <f>IF('04 Operating Model'!AZ$100=0,0,AZ127/'04 Operating Model'!AZ$100)</f>
        <v>0</v>
      </c>
      <c r="BA134" s="6">
        <f>IF('04 Operating Model'!BA$100=0,0,BA127/'04 Operating Model'!BA$100)</f>
        <v>0</v>
      </c>
      <c r="BB134" s="6">
        <f>IF('04 Operating Model'!BB$100=0,0,BB127/'04 Operating Model'!BB$100)</f>
        <v>0</v>
      </c>
      <c r="BC134" s="6">
        <f>IF('04 Operating Model'!BC$100=0,0,BC127/'04 Operating Model'!BC$100)</f>
        <v>0</v>
      </c>
      <c r="BD134" s="6">
        <f>IF('04 Operating Model'!BD$100=0,0,BD127/'04 Operating Model'!BD$100)</f>
        <v>0</v>
      </c>
      <c r="BE134" s="6">
        <f>IF('04 Operating Model'!BE$100=0,0,BE127/'04 Operating Model'!BE$100)</f>
        <v>0</v>
      </c>
      <c r="BF134" s="6">
        <f>IF('04 Operating Model'!BF$100=0,0,BF127/'04 Operating Model'!BF$100)</f>
        <v>0</v>
      </c>
      <c r="BG134" s="6">
        <f>IF('04 Operating Model'!BG$100=0,0,BG127/'04 Operating Model'!BG$100)</f>
        <v>0</v>
      </c>
      <c r="BH134" s="6">
        <f>IF('04 Operating Model'!BH$100=0,0,BH127/'04 Operating Model'!BH$100)</f>
        <v>0</v>
      </c>
      <c r="BI134" s="6">
        <f>IF('04 Operating Model'!BI$100=0,0,BI127/'04 Operating Model'!BI$100)</f>
        <v>0</v>
      </c>
      <c r="BJ134" s="6">
        <f>IF('04 Operating Model'!BJ$100=0,0,BJ127/'04 Operating Model'!BJ$100)</f>
        <v>0</v>
      </c>
      <c r="BK134" s="6">
        <f>IF('04 Operating Model'!BK$100=0,0,BK127/'04 Operating Model'!BK$100)</f>
        <v>0</v>
      </c>
      <c r="BL134" s="6">
        <f>IF('04 Operating Model'!BL$100=0,0,BL127/'04 Operating Model'!BL$100)</f>
        <v>0</v>
      </c>
      <c r="BM134" s="6">
        <f>IF('04 Operating Model'!BM$100=0,0,BM127/'04 Operating Model'!BM$100)</f>
        <v>0</v>
      </c>
      <c r="BN134" s="6">
        <f>IF('04 Operating Model'!BN$100=0,0,BN127/'04 Operating Model'!BN$100)</f>
        <v>0</v>
      </c>
      <c r="BO134" s="6">
        <f>IF('04 Operating Model'!BO$100=0,0,BO127/'04 Operating Model'!BO$100)</f>
        <v>0</v>
      </c>
    </row>
    <row r="135" spans="1:67">
      <c r="F135" s="48"/>
    </row>
    <row r="136" spans="1:67">
      <c r="F136" s="48"/>
    </row>
    <row r="137" spans="1:67">
      <c r="F137" s="48"/>
    </row>
    <row r="138" spans="1:67">
      <c r="F138" s="48"/>
    </row>
    <row r="139" spans="1:67">
      <c r="F139" s="48"/>
    </row>
    <row r="140" spans="1:67">
      <c r="F140" s="48"/>
    </row>
    <row r="141" spans="1:67">
      <c r="F141" s="48"/>
    </row>
    <row r="142" spans="1:67">
      <c r="F142" s="48"/>
    </row>
    <row r="143" spans="1:67">
      <c r="F143" s="48"/>
    </row>
    <row r="144" spans="1:67">
      <c r="F144" s="48"/>
    </row>
    <row r="145" spans="6:6">
      <c r="F145" s="48"/>
    </row>
    <row r="146" spans="6:6">
      <c r="F146" s="48"/>
    </row>
    <row r="147" spans="6:6">
      <c r="F147" s="48"/>
    </row>
    <row r="148" spans="6:6">
      <c r="F148" s="48"/>
    </row>
    <row r="149" spans="6:6">
      <c r="F149" s="48"/>
    </row>
    <row r="150" spans="6:6">
      <c r="F150" s="48"/>
    </row>
    <row r="151" spans="6:6">
      <c r="F151" s="48"/>
    </row>
    <row r="152" spans="6:6">
      <c r="F152" s="48"/>
    </row>
    <row r="153" spans="6:6">
      <c r="F153" s="48"/>
    </row>
    <row r="154" spans="6:6">
      <c r="F154" s="48"/>
    </row>
    <row r="155" spans="6:6">
      <c r="F155" s="48"/>
    </row>
    <row r="156" spans="6:6">
      <c r="F156" s="48"/>
    </row>
    <row r="157" spans="6:6">
      <c r="F157" s="48"/>
    </row>
    <row r="158" spans="6:6">
      <c r="F158" s="48"/>
    </row>
    <row r="159" spans="6:6">
      <c r="F159" s="48"/>
    </row>
    <row r="160" spans="6:6">
      <c r="F160" s="48"/>
    </row>
    <row r="161" spans="6:6">
      <c r="F161" s="48"/>
    </row>
    <row r="162" spans="6:6">
      <c r="F162" s="48"/>
    </row>
    <row r="163" spans="6:6">
      <c r="F163" s="48"/>
    </row>
    <row r="164" spans="6:6">
      <c r="F164" s="48"/>
    </row>
    <row r="165" spans="6:6">
      <c r="F165" s="48"/>
    </row>
    <row r="166" spans="6:6">
      <c r="F166" s="48"/>
    </row>
    <row r="167" spans="6:6">
      <c r="F167" s="48"/>
    </row>
    <row r="168" spans="6:6">
      <c r="F168" s="48"/>
    </row>
    <row r="169" spans="6:6">
      <c r="F169" s="48"/>
    </row>
    <row r="170" spans="6:6">
      <c r="F170" s="48"/>
    </row>
    <row r="171" spans="6:6">
      <c r="F171" s="48"/>
    </row>
    <row r="172" spans="6:6">
      <c r="F172" s="48"/>
    </row>
    <row r="173" spans="6:6">
      <c r="F173" s="48"/>
    </row>
    <row r="174" spans="6:6">
      <c r="F174" s="48"/>
    </row>
    <row r="175" spans="6:6">
      <c r="F175" s="48"/>
    </row>
    <row r="176" spans="6:6">
      <c r="F176" s="48"/>
    </row>
    <row r="177" spans="6:6">
      <c r="F177" s="48"/>
    </row>
    <row r="178" spans="6:6">
      <c r="F178" s="48"/>
    </row>
    <row r="179" spans="6:6">
      <c r="F179" s="48"/>
    </row>
    <row r="180" spans="6:6">
      <c r="F180" s="48"/>
    </row>
    <row r="181" spans="6:6">
      <c r="F181" s="48"/>
    </row>
    <row r="182" spans="6:6">
      <c r="F182" s="48"/>
    </row>
    <row r="183" spans="6:6">
      <c r="F183" s="48"/>
    </row>
    <row r="184" spans="6:6">
      <c r="F184" s="48"/>
    </row>
    <row r="185" spans="6:6">
      <c r="F185" s="48"/>
    </row>
    <row r="186" spans="6:6">
      <c r="F186" s="48"/>
    </row>
    <row r="187" spans="6:6">
      <c r="F187" s="48"/>
    </row>
    <row r="188" spans="6:6">
      <c r="F188" s="48"/>
    </row>
    <row r="189" spans="6:6">
      <c r="F189" s="48"/>
    </row>
    <row r="190" spans="6:6">
      <c r="F190" s="48"/>
    </row>
    <row r="191" spans="6:6">
      <c r="F191" s="48"/>
    </row>
    <row r="192" spans="6:6">
      <c r="F192" s="48"/>
    </row>
    <row r="193" spans="6:6">
      <c r="F193" s="48"/>
    </row>
    <row r="194" spans="6:6">
      <c r="F194" s="48"/>
    </row>
    <row r="195" spans="6:6">
      <c r="F195" s="48"/>
    </row>
    <row r="196" spans="6:6">
      <c r="F196" s="48"/>
    </row>
    <row r="197" spans="6:6">
      <c r="F197" s="48"/>
    </row>
    <row r="198" spans="6:6">
      <c r="F198" s="48"/>
    </row>
    <row r="199" spans="6:6">
      <c r="F199" s="48"/>
    </row>
    <row r="200" spans="6:6">
      <c r="F200" s="48"/>
    </row>
    <row r="201" spans="6:6">
      <c r="F201" s="48"/>
    </row>
    <row r="202" spans="6:6">
      <c r="F202" s="48"/>
    </row>
    <row r="203" spans="6:6">
      <c r="F203" s="48"/>
    </row>
    <row r="204" spans="6:6">
      <c r="F204" s="48"/>
    </row>
    <row r="205" spans="6:6">
      <c r="F205" s="48"/>
    </row>
    <row r="206" spans="6:6">
      <c r="F206" s="48"/>
    </row>
    <row r="207" spans="6:6">
      <c r="F207" s="48"/>
    </row>
    <row r="208" spans="6:6">
      <c r="F208" s="48"/>
    </row>
    <row r="209" spans="6:6">
      <c r="F209" s="48"/>
    </row>
    <row r="210" spans="6:6">
      <c r="F210" s="48"/>
    </row>
    <row r="211" spans="6:6">
      <c r="F211" s="48"/>
    </row>
    <row r="212" spans="6:6">
      <c r="F212" s="48"/>
    </row>
    <row r="213" spans="6:6">
      <c r="F213" s="48"/>
    </row>
    <row r="214" spans="6:6">
      <c r="F214" s="48"/>
    </row>
    <row r="215" spans="6:6">
      <c r="F215" s="48"/>
    </row>
    <row r="216" spans="6:6">
      <c r="F216" s="48"/>
    </row>
    <row r="217" spans="6:6">
      <c r="F217" s="48"/>
    </row>
    <row r="218" spans="6:6">
      <c r="F218" s="48"/>
    </row>
    <row r="219" spans="6:6">
      <c r="F219" s="48"/>
    </row>
    <row r="220" spans="6:6">
      <c r="F220" s="48"/>
    </row>
    <row r="221" spans="6:6">
      <c r="F221" s="48"/>
    </row>
    <row r="222" spans="6:6">
      <c r="F222" s="48"/>
    </row>
    <row r="223" spans="6:6">
      <c r="F223" s="48"/>
    </row>
    <row r="224" spans="6:6">
      <c r="F224" s="48"/>
    </row>
    <row r="225" spans="6:6">
      <c r="F225" s="48"/>
    </row>
    <row r="226" spans="6:6">
      <c r="F226" s="48"/>
    </row>
    <row r="227" spans="6:6">
      <c r="F227" s="48"/>
    </row>
    <row r="228" spans="6:6">
      <c r="F228" s="48"/>
    </row>
    <row r="229" spans="6:6">
      <c r="F229" s="48"/>
    </row>
    <row r="230" spans="6:6">
      <c r="F230" s="48"/>
    </row>
    <row r="231" spans="6:6">
      <c r="F231" s="48"/>
    </row>
    <row r="232" spans="6:6">
      <c r="F232" s="48"/>
    </row>
    <row r="233" spans="6:6">
      <c r="F233" s="48"/>
    </row>
    <row r="234" spans="6:6">
      <c r="F234" s="48"/>
    </row>
    <row r="235" spans="6:6">
      <c r="F235" s="48"/>
    </row>
    <row r="236" spans="6:6">
      <c r="F236" s="48"/>
    </row>
    <row r="237" spans="6:6">
      <c r="F237" s="48"/>
    </row>
    <row r="238" spans="6:6">
      <c r="F238" s="48"/>
    </row>
    <row r="239" spans="6:6">
      <c r="F239" s="48"/>
    </row>
    <row r="240" spans="6:6">
      <c r="F240" s="48"/>
    </row>
    <row r="241" spans="6:6">
      <c r="F241" s="48"/>
    </row>
    <row r="242" spans="6:6">
      <c r="F242" s="48"/>
    </row>
    <row r="243" spans="6:6">
      <c r="F243" s="48"/>
    </row>
    <row r="244" spans="6:6">
      <c r="F244" s="48"/>
    </row>
    <row r="245" spans="6:6">
      <c r="F245" s="48"/>
    </row>
    <row r="246" spans="6:6">
      <c r="F246" s="48"/>
    </row>
    <row r="247" spans="6:6">
      <c r="F247" s="48"/>
    </row>
    <row r="248" spans="6:6">
      <c r="F248" s="48"/>
    </row>
    <row r="249" spans="6:6">
      <c r="F249" s="48"/>
    </row>
    <row r="250" spans="6:6">
      <c r="F250" s="48"/>
    </row>
    <row r="251" spans="6:6">
      <c r="F251" s="48"/>
    </row>
    <row r="252" spans="6:6">
      <c r="F252" s="48"/>
    </row>
    <row r="253" spans="6:6">
      <c r="F253" s="48"/>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28329-827A-7B40-8584-810B60B685D2}">
  <sheetPr>
    <tabColor rgb="FFBBDEFB"/>
  </sheetPr>
  <dimension ref="A1:BO64"/>
  <sheetViews>
    <sheetView workbookViewId="0">
      <pane xSplit="6" ySplit="6" topLeftCell="G7" activePane="bottomRight" state="frozen"/>
      <selection pane="topRight" activeCell="G1" sqref="G1"/>
      <selection pane="bottomLeft" activeCell="A7" sqref="A7"/>
      <selection pane="bottomRight" activeCell="H31" sqref="H31"/>
    </sheetView>
  </sheetViews>
  <sheetFormatPr baseColWidth="10" defaultRowHeight="15"/>
  <cols>
    <col min="1" max="2" width="3.83203125" style="9" customWidth="1"/>
    <col min="3" max="3" width="50.83203125" style="9" customWidth="1"/>
    <col min="4" max="6" width="12.83203125" style="42" customWidth="1"/>
    <col min="7" max="61" width="14" style="42" customWidth="1"/>
    <col min="62" max="67" width="14" style="34" customWidth="1"/>
  </cols>
  <sheetData>
    <row r="1" spans="1:67" ht="18">
      <c r="A1" s="21" t="s">
        <v>1678</v>
      </c>
      <c r="B1" s="11"/>
      <c r="C1" s="11"/>
      <c r="D1" s="33"/>
      <c r="E1" s="43"/>
      <c r="F1" s="43"/>
      <c r="G1" s="33"/>
      <c r="H1" s="33"/>
      <c r="I1" s="33"/>
      <c r="J1" s="33"/>
      <c r="K1" s="33"/>
      <c r="L1" s="33"/>
      <c r="M1" s="33"/>
      <c r="N1" s="33"/>
      <c r="O1" s="33"/>
      <c r="P1" s="33"/>
      <c r="Q1" s="33"/>
      <c r="R1" s="33"/>
      <c r="S1" s="33"/>
      <c r="T1" s="33"/>
      <c r="U1" s="33"/>
      <c r="V1" s="33"/>
      <c r="W1" s="33"/>
      <c r="X1" s="33"/>
      <c r="Y1" s="33"/>
      <c r="Z1" s="33"/>
      <c r="AA1" s="33"/>
      <c r="AB1" s="33"/>
      <c r="AC1" s="33"/>
      <c r="AD1" s="33"/>
      <c r="AE1" s="33"/>
      <c r="AF1" s="33"/>
      <c r="AG1" s="33"/>
      <c r="AH1" s="33"/>
      <c r="AI1" s="33"/>
      <c r="AJ1" s="33"/>
      <c r="AK1" s="33"/>
      <c r="AL1" s="33"/>
      <c r="AM1" s="33"/>
      <c r="AN1" s="33"/>
      <c r="AO1" s="33"/>
      <c r="AP1" s="33"/>
      <c r="AQ1" s="33"/>
      <c r="AR1" s="33"/>
      <c r="AS1" s="33"/>
      <c r="AT1" s="33"/>
      <c r="AU1" s="33"/>
      <c r="AV1" s="33"/>
      <c r="AW1" s="33"/>
      <c r="AX1" s="33"/>
      <c r="AY1" s="33"/>
      <c r="AZ1" s="33"/>
      <c r="BA1" s="33"/>
      <c r="BB1" s="33"/>
      <c r="BC1" s="33"/>
      <c r="BD1" s="33"/>
      <c r="BE1" s="33"/>
      <c r="BF1" s="33"/>
      <c r="BG1" s="33"/>
      <c r="BH1" s="33"/>
      <c r="BI1" s="33"/>
      <c r="BJ1" s="33"/>
      <c r="BK1" s="33"/>
      <c r="BL1" s="33"/>
      <c r="BM1" s="33"/>
      <c r="BN1" s="33"/>
      <c r="BO1" s="33"/>
    </row>
    <row r="2" spans="1:67" ht="16">
      <c r="A2" s="12" t="s">
        <v>1645</v>
      </c>
      <c r="B2" s="11"/>
      <c r="C2" s="11"/>
      <c r="D2" s="33"/>
      <c r="E2" s="43"/>
      <c r="F2" s="4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row>
    <row r="3" spans="1:67">
      <c r="A3" s="13" t="s">
        <v>444</v>
      </c>
      <c r="B3" s="11"/>
      <c r="C3" s="11"/>
      <c r="D3" s="33"/>
      <c r="E3" s="43"/>
      <c r="F3" s="4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row>
    <row r="4" spans="1:67">
      <c r="A4" s="11"/>
      <c r="B4" s="11"/>
      <c r="C4" s="11"/>
      <c r="D4" s="33"/>
      <c r="E4" s="43"/>
      <c r="F4" s="4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row>
    <row r="5" spans="1:67">
      <c r="A5" s="11"/>
      <c r="B5" s="22" t="s">
        <v>213</v>
      </c>
      <c r="C5" s="11"/>
      <c r="D5" s="33"/>
      <c r="E5" s="43"/>
      <c r="F5" s="43"/>
      <c r="G5" s="23" t="str">
        <f>'01 Major Assumptions'!G$12</f>
        <v>Jan-27</v>
      </c>
      <c r="H5" s="23" t="str">
        <f>'01 Major Assumptions'!H$12</f>
        <v>Feb-27</v>
      </c>
      <c r="I5" s="23" t="str">
        <f>'01 Major Assumptions'!I$12</f>
        <v>Mar-27</v>
      </c>
      <c r="J5" s="23" t="str">
        <f>'01 Major Assumptions'!J$12</f>
        <v>Apr-27</v>
      </c>
      <c r="K5" s="23" t="str">
        <f>'01 Major Assumptions'!K$12</f>
        <v>May-27</v>
      </c>
      <c r="L5" s="23" t="str">
        <f>'01 Major Assumptions'!L$12</f>
        <v>Jun-27</v>
      </c>
      <c r="M5" s="23" t="str">
        <f>'01 Major Assumptions'!M$12</f>
        <v>Jul-27</v>
      </c>
      <c r="N5" s="23" t="str">
        <f>'01 Major Assumptions'!N$12</f>
        <v>Aug-27</v>
      </c>
      <c r="O5" s="23" t="str">
        <f>'01 Major Assumptions'!O$12</f>
        <v>Sep-27</v>
      </c>
      <c r="P5" s="23" t="str">
        <f>'01 Major Assumptions'!P$12</f>
        <v>Oct-27</v>
      </c>
      <c r="Q5" s="23" t="str">
        <f>'01 Major Assumptions'!Q$12</f>
        <v>Nov-27</v>
      </c>
      <c r="R5" s="23" t="str">
        <f>'01 Major Assumptions'!R$12</f>
        <v>Dec-27</v>
      </c>
      <c r="S5" s="23" t="str">
        <f>'01 Major Assumptions'!S$12</f>
        <v>Jan-28</v>
      </c>
      <c r="T5" s="23" t="str">
        <f>'01 Major Assumptions'!T$12</f>
        <v>Feb-28</v>
      </c>
      <c r="U5" s="23" t="str">
        <f>'01 Major Assumptions'!U$12</f>
        <v>Mar-28</v>
      </c>
      <c r="V5" s="23" t="str">
        <f>'01 Major Assumptions'!V$12</f>
        <v>Apr-28</v>
      </c>
      <c r="W5" s="23" t="str">
        <f>'01 Major Assumptions'!W$12</f>
        <v>May-28</v>
      </c>
      <c r="X5" s="23" t="str">
        <f>'01 Major Assumptions'!X$12</f>
        <v>Jun-28</v>
      </c>
      <c r="Y5" s="23" t="str">
        <f>'01 Major Assumptions'!Y$12</f>
        <v>Jul-28</v>
      </c>
      <c r="Z5" s="23" t="str">
        <f>'01 Major Assumptions'!Z$12</f>
        <v>Aug-28</v>
      </c>
      <c r="AA5" s="23" t="str">
        <f>'01 Major Assumptions'!AA$12</f>
        <v>Sep-28</v>
      </c>
      <c r="AB5" s="23" t="str">
        <f>'01 Major Assumptions'!AB$12</f>
        <v>Oct-28</v>
      </c>
      <c r="AC5" s="23" t="str">
        <f>'01 Major Assumptions'!AC$12</f>
        <v>Nov-28</v>
      </c>
      <c r="AD5" s="23" t="str">
        <f>'01 Major Assumptions'!AD$12</f>
        <v>Dec-28</v>
      </c>
      <c r="AE5" s="23" t="str">
        <f>'01 Major Assumptions'!AE$12</f>
        <v>Jan-29</v>
      </c>
      <c r="AF5" s="23" t="str">
        <f>'01 Major Assumptions'!AF$12</f>
        <v>Feb-29</v>
      </c>
      <c r="AG5" s="23" t="str">
        <f>'01 Major Assumptions'!AG$12</f>
        <v>Mar-29</v>
      </c>
      <c r="AH5" s="23" t="str">
        <f>'01 Major Assumptions'!AH$12</f>
        <v>Apr-29</v>
      </c>
      <c r="AI5" s="23" t="str">
        <f>'01 Major Assumptions'!AI$12</f>
        <v>May-29</v>
      </c>
      <c r="AJ5" s="23" t="str">
        <f>'01 Major Assumptions'!AJ$12</f>
        <v>Jun-29</v>
      </c>
      <c r="AK5" s="23" t="str">
        <f>'01 Major Assumptions'!AK$12</f>
        <v>Jul-29</v>
      </c>
      <c r="AL5" s="23" t="str">
        <f>'01 Major Assumptions'!AL$12</f>
        <v>Aug-29</v>
      </c>
      <c r="AM5" s="23" t="str">
        <f>'01 Major Assumptions'!AM$12</f>
        <v>Sep-29</v>
      </c>
      <c r="AN5" s="23" t="str">
        <f>'01 Major Assumptions'!AN$12</f>
        <v>Oct-29</v>
      </c>
      <c r="AO5" s="23" t="str">
        <f>'01 Major Assumptions'!AO$12</f>
        <v>Nov-29</v>
      </c>
      <c r="AP5" s="23" t="str">
        <f>'01 Major Assumptions'!AP$12</f>
        <v>Dec-29</v>
      </c>
      <c r="AQ5" s="23" t="str">
        <f>'01 Major Assumptions'!AQ$12</f>
        <v>Jan-30</v>
      </c>
      <c r="AR5" s="23" t="str">
        <f>'01 Major Assumptions'!AR$12</f>
        <v>Feb-30</v>
      </c>
      <c r="AS5" s="23" t="str">
        <f>'01 Major Assumptions'!AS$12</f>
        <v>Mar-30</v>
      </c>
      <c r="AT5" s="23" t="str">
        <f>'01 Major Assumptions'!AT$12</f>
        <v>Apr-30</v>
      </c>
      <c r="AU5" s="23" t="str">
        <f>'01 Major Assumptions'!AU$12</f>
        <v>May-30</v>
      </c>
      <c r="AV5" s="23" t="str">
        <f>'01 Major Assumptions'!AV$12</f>
        <v>Jun-30</v>
      </c>
      <c r="AW5" s="23" t="str">
        <f>'01 Major Assumptions'!AW$12</f>
        <v>Jul-30</v>
      </c>
      <c r="AX5" s="23" t="str">
        <f>'01 Major Assumptions'!AX$12</f>
        <v>Aug-30</v>
      </c>
      <c r="AY5" s="23" t="str">
        <f>'01 Major Assumptions'!AY$12</f>
        <v>Sep-30</v>
      </c>
      <c r="AZ5" s="23" t="str">
        <f>'01 Major Assumptions'!AZ$12</f>
        <v>Oct-30</v>
      </c>
      <c r="BA5" s="23" t="str">
        <f>'01 Major Assumptions'!BA$12</f>
        <v>Nov-30</v>
      </c>
      <c r="BB5" s="23" t="str">
        <f>'01 Major Assumptions'!BB$12</f>
        <v>Dec-30</v>
      </c>
      <c r="BC5" s="23" t="str">
        <f>'01 Major Assumptions'!BC$12</f>
        <v>Jan-31</v>
      </c>
      <c r="BD5" s="23" t="str">
        <f>'01 Major Assumptions'!BD$12</f>
        <v>Feb-31</v>
      </c>
      <c r="BE5" s="23" t="str">
        <f>'01 Major Assumptions'!BE$12</f>
        <v>Mar-31</v>
      </c>
      <c r="BF5" s="23" t="str">
        <f>'01 Major Assumptions'!BF$12</f>
        <v>Apr-31</v>
      </c>
      <c r="BG5" s="23" t="str">
        <f>'01 Major Assumptions'!BG$12</f>
        <v>May-31</v>
      </c>
      <c r="BH5" s="23" t="str">
        <f>'01 Major Assumptions'!BH$12</f>
        <v>Jun-31</v>
      </c>
      <c r="BI5" s="23" t="str">
        <f>'01 Major Assumptions'!BI$12</f>
        <v>FY2032</v>
      </c>
      <c r="BJ5" s="23" t="str">
        <f>'01 Major Assumptions'!BJ$12</f>
        <v>FY2033</v>
      </c>
      <c r="BK5" s="23" t="str">
        <f>'01 Major Assumptions'!BK$12</f>
        <v>FY2034</v>
      </c>
      <c r="BL5" s="23" t="str">
        <f>'01 Major Assumptions'!BL$12</f>
        <v>FY2035</v>
      </c>
      <c r="BM5" s="23" t="str">
        <f>'01 Major Assumptions'!BM$12</f>
        <v>FY2036</v>
      </c>
      <c r="BN5" s="23" t="str">
        <f>'01 Major Assumptions'!BN$12</f>
        <v>FY2037</v>
      </c>
      <c r="BO5" s="23" t="str">
        <f>'01 Major Assumptions'!BO$12</f>
        <v>FY2038</v>
      </c>
    </row>
    <row r="6" spans="1:67">
      <c r="A6" s="11"/>
      <c r="B6" s="11"/>
      <c r="C6" s="11"/>
      <c r="D6" s="33"/>
      <c r="E6" s="43"/>
      <c r="F6" s="4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row>
    <row r="7" spans="1:67">
      <c r="A7" s="18" t="s">
        <v>445</v>
      </c>
      <c r="B7" s="18"/>
      <c r="C7" s="18"/>
      <c r="D7" s="39"/>
      <c r="E7" s="39"/>
      <c r="F7" s="39"/>
      <c r="G7" s="39"/>
      <c r="H7" s="39"/>
      <c r="I7" s="39"/>
      <c r="J7" s="39"/>
      <c r="K7" s="39"/>
      <c r="L7" s="39"/>
      <c r="M7" s="39"/>
      <c r="N7" s="39"/>
      <c r="O7" s="39"/>
      <c r="P7" s="39"/>
      <c r="Q7" s="39"/>
      <c r="R7" s="39"/>
      <c r="S7" s="39"/>
      <c r="T7" s="39"/>
      <c r="U7" s="39"/>
      <c r="V7" s="39"/>
      <c r="W7" s="39"/>
      <c r="X7" s="39"/>
      <c r="Y7" s="39"/>
      <c r="Z7" s="39"/>
      <c r="AA7" s="39"/>
      <c r="AB7" s="39"/>
      <c r="AC7" s="39"/>
      <c r="AD7" s="39"/>
      <c r="AE7" s="39"/>
      <c r="AF7" s="39"/>
      <c r="AG7" s="39"/>
      <c r="AH7" s="39"/>
      <c r="AI7" s="39"/>
      <c r="AJ7" s="39"/>
      <c r="AK7" s="39"/>
      <c r="AL7" s="39"/>
      <c r="AM7" s="39"/>
      <c r="AN7" s="39"/>
      <c r="AO7" s="39"/>
      <c r="AP7" s="39"/>
      <c r="AQ7" s="39"/>
      <c r="AR7" s="39"/>
      <c r="AS7" s="39"/>
      <c r="AT7" s="39"/>
      <c r="AU7" s="39"/>
      <c r="AV7" s="39"/>
      <c r="AW7" s="39"/>
      <c r="AX7" s="39"/>
      <c r="AY7" s="39"/>
      <c r="AZ7" s="39"/>
      <c r="BA7" s="39"/>
      <c r="BB7" s="39"/>
      <c r="BC7" s="39"/>
      <c r="BD7" s="39"/>
      <c r="BE7" s="39"/>
      <c r="BF7" s="39"/>
      <c r="BG7" s="39"/>
      <c r="BH7" s="39"/>
      <c r="BI7" s="39"/>
      <c r="BJ7" s="39"/>
      <c r="BK7" s="39"/>
      <c r="BL7" s="39"/>
      <c r="BM7" s="39"/>
      <c r="BN7" s="39"/>
      <c r="BO7" s="39"/>
    </row>
    <row r="8" spans="1:67">
      <c r="A8" s="11"/>
      <c r="B8" s="11"/>
      <c r="C8" s="11" t="s">
        <v>446</v>
      </c>
      <c r="D8" s="33"/>
      <c r="E8" s="10" t="s">
        <v>13</v>
      </c>
      <c r="F8" s="10"/>
      <c r="G8" s="90">
        <f>'03 CAPEX &amp; Depreciation'!G$117</f>
        <v>23407000</v>
      </c>
      <c r="H8" s="90">
        <f>'03 CAPEX &amp; Depreciation'!H$117</f>
        <v>23407000</v>
      </c>
      <c r="I8" s="90">
        <f>'03 CAPEX &amp; Depreciation'!I$117</f>
        <v>23407000</v>
      </c>
      <c r="J8" s="90">
        <f>'03 CAPEX &amp; Depreciation'!J$117</f>
        <v>269537000</v>
      </c>
      <c r="K8" s="90">
        <f>'03 CAPEX &amp; Depreciation'!K$117</f>
        <v>54713470.588235296</v>
      </c>
      <c r="L8" s="90">
        <f>'03 CAPEX &amp; Depreciation'!L$117</f>
        <v>54713470.588235296</v>
      </c>
      <c r="M8" s="90">
        <f>'03 CAPEX &amp; Depreciation'!M$117</f>
        <v>54723470.588235296</v>
      </c>
      <c r="N8" s="90">
        <f>'03 CAPEX &amp; Depreciation'!N$117</f>
        <v>54723470.588235296</v>
      </c>
      <c r="O8" s="90">
        <f>'03 CAPEX &amp; Depreciation'!O$117</f>
        <v>54723470.588235296</v>
      </c>
      <c r="P8" s="90">
        <f>'03 CAPEX &amp; Depreciation'!P$117</f>
        <v>65490137.25490196</v>
      </c>
      <c r="Q8" s="90">
        <f>'03 CAPEX &amp; Depreciation'!Q$117</f>
        <v>86868491.421568632</v>
      </c>
      <c r="R8" s="90">
        <f>'03 CAPEX &amp; Depreciation'!R$117</f>
        <v>66123504.655330881</v>
      </c>
      <c r="S8" s="90">
        <f>'03 CAPEX &amp; Depreciation'!S$117</f>
        <v>67148340.305547267</v>
      </c>
      <c r="T8" s="90">
        <f>'03 CAPEX &amp; Depreciation'!T$117</f>
        <v>67512060.482202306</v>
      </c>
      <c r="U8" s="90">
        <f>'03 CAPEX &amp; Depreciation'!U$117</f>
        <v>67877750.809814245</v>
      </c>
      <c r="V8" s="90">
        <f>'03 CAPEX &amp; Depreciation'!V$117</f>
        <v>68245421.960034072</v>
      </c>
      <c r="W8" s="90">
        <f>'03 CAPEX &amp; Depreciation'!W$117</f>
        <v>68615084.662317589</v>
      </c>
      <c r="X8" s="90">
        <f>'03 CAPEX &amp; Depreciation'!X$117</f>
        <v>68986749.704238474</v>
      </c>
      <c r="Y8" s="90">
        <f>'03 CAPEX &amp; Depreciation'!Y$117</f>
        <v>69360427.931803092</v>
      </c>
      <c r="Z8" s="90">
        <f>'03 CAPEX &amp; Depreciation'!Z$117</f>
        <v>69736130.249767035</v>
      </c>
      <c r="AA8" s="90">
        <f>'03 CAPEX &amp; Depreciation'!AA$117</f>
        <v>70380547.621298045</v>
      </c>
      <c r="AB8" s="90">
        <f>'03 CAPEX &amp; Depreciation'!AB$117</f>
        <v>0</v>
      </c>
      <c r="AC8" s="90">
        <f>'03 CAPEX &amp; Depreciation'!AC$117</f>
        <v>0</v>
      </c>
      <c r="AD8" s="90">
        <f>'03 CAPEX &amp; Depreciation'!AD$117</f>
        <v>0</v>
      </c>
      <c r="AE8" s="90">
        <f>'03 CAPEX &amp; Depreciation'!AE$117</f>
        <v>0</v>
      </c>
      <c r="AF8" s="90">
        <f>'03 CAPEX &amp; Depreciation'!AF$117</f>
        <v>0</v>
      </c>
      <c r="AG8" s="90">
        <f>'03 CAPEX &amp; Depreciation'!AG$117</f>
        <v>0</v>
      </c>
      <c r="AH8" s="90">
        <f>'03 CAPEX &amp; Depreciation'!AH$117</f>
        <v>0</v>
      </c>
      <c r="AI8" s="90">
        <f>'03 CAPEX &amp; Depreciation'!AI$117</f>
        <v>0</v>
      </c>
      <c r="AJ8" s="90">
        <f>'03 CAPEX &amp; Depreciation'!AJ$117</f>
        <v>0</v>
      </c>
      <c r="AK8" s="90">
        <f>'03 CAPEX &amp; Depreciation'!AK$117</f>
        <v>0</v>
      </c>
      <c r="AL8" s="90">
        <f>'03 CAPEX &amp; Depreciation'!AL$117</f>
        <v>0</v>
      </c>
      <c r="AM8" s="90">
        <f>'03 CAPEX &amp; Depreciation'!AM$117</f>
        <v>0</v>
      </c>
      <c r="AN8" s="90">
        <f>'03 CAPEX &amp; Depreciation'!AN$117</f>
        <v>0</v>
      </c>
      <c r="AO8" s="90">
        <f>'03 CAPEX &amp; Depreciation'!AO$117</f>
        <v>0</v>
      </c>
      <c r="AP8" s="90">
        <f>'03 CAPEX &amp; Depreciation'!AP$117</f>
        <v>0</v>
      </c>
      <c r="AQ8" s="90">
        <f>'03 CAPEX &amp; Depreciation'!AQ$117</f>
        <v>0</v>
      </c>
      <c r="AR8" s="90">
        <f>'03 CAPEX &amp; Depreciation'!AR$117</f>
        <v>0</v>
      </c>
      <c r="AS8" s="90">
        <f>'03 CAPEX &amp; Depreciation'!AS$117</f>
        <v>0</v>
      </c>
      <c r="AT8" s="90">
        <f>'03 CAPEX &amp; Depreciation'!AT$117</f>
        <v>0</v>
      </c>
      <c r="AU8" s="90">
        <f>'03 CAPEX &amp; Depreciation'!AU$117</f>
        <v>0</v>
      </c>
      <c r="AV8" s="90">
        <f>'03 CAPEX &amp; Depreciation'!AV$117</f>
        <v>0</v>
      </c>
      <c r="AW8" s="90">
        <f>'03 CAPEX &amp; Depreciation'!AW$117</f>
        <v>0</v>
      </c>
      <c r="AX8" s="90">
        <f>'03 CAPEX &amp; Depreciation'!AX$117</f>
        <v>0</v>
      </c>
      <c r="AY8" s="90">
        <f>'03 CAPEX &amp; Depreciation'!AY$117</f>
        <v>0</v>
      </c>
      <c r="AZ8" s="90">
        <f>'03 CAPEX &amp; Depreciation'!AZ$117</f>
        <v>0</v>
      </c>
      <c r="BA8" s="90">
        <f>'03 CAPEX &amp; Depreciation'!BA$117</f>
        <v>0</v>
      </c>
      <c r="BB8" s="90">
        <f>'03 CAPEX &amp; Depreciation'!BB$117</f>
        <v>0</v>
      </c>
      <c r="BC8" s="90">
        <f>'03 CAPEX &amp; Depreciation'!BC$117</f>
        <v>0</v>
      </c>
      <c r="BD8" s="90">
        <f>'03 CAPEX &amp; Depreciation'!BD$117</f>
        <v>0</v>
      </c>
      <c r="BE8" s="90">
        <f>'03 CAPEX &amp; Depreciation'!BE$117</f>
        <v>0</v>
      </c>
      <c r="BF8" s="90">
        <f>'03 CAPEX &amp; Depreciation'!BF$117</f>
        <v>0</v>
      </c>
      <c r="BG8" s="90">
        <f>'03 CAPEX &amp; Depreciation'!BG$117</f>
        <v>0</v>
      </c>
      <c r="BH8" s="90">
        <f>'03 CAPEX &amp; Depreciation'!BH$117</f>
        <v>0</v>
      </c>
      <c r="BI8" s="90">
        <f>'03 CAPEX &amp; Depreciation'!BI$117</f>
        <v>0</v>
      </c>
      <c r="BJ8" s="90">
        <f>'03 CAPEX &amp; Depreciation'!BJ$117</f>
        <v>0</v>
      </c>
      <c r="BK8" s="90">
        <f>'03 CAPEX &amp; Depreciation'!BK$117</f>
        <v>0</v>
      </c>
      <c r="BL8" s="90">
        <f>'03 CAPEX &amp; Depreciation'!BL$117</f>
        <v>0</v>
      </c>
      <c r="BM8" s="90">
        <f>'03 CAPEX &amp; Depreciation'!BM$117</f>
        <v>0</v>
      </c>
      <c r="BN8" s="90">
        <f>'03 CAPEX &amp; Depreciation'!BN$117</f>
        <v>0</v>
      </c>
      <c r="BO8" s="90">
        <f>'03 CAPEX &amp; Depreciation'!BO$117</f>
        <v>0</v>
      </c>
    </row>
    <row r="9" spans="1:67">
      <c r="A9" s="11"/>
      <c r="B9" s="11"/>
      <c r="C9" s="11" t="s">
        <v>447</v>
      </c>
      <c r="D9" s="33"/>
      <c r="E9" s="10" t="s">
        <v>7</v>
      </c>
      <c r="F9" s="10"/>
      <c r="G9" s="6">
        <f>'01 Major Assumptions'!$D$135</f>
        <v>0.5</v>
      </c>
      <c r="H9" s="6">
        <f>'01 Major Assumptions'!$D$135</f>
        <v>0.5</v>
      </c>
      <c r="I9" s="6">
        <f>'01 Major Assumptions'!$D$135</f>
        <v>0.5</v>
      </c>
      <c r="J9" s="6">
        <f>'01 Major Assumptions'!$D$135</f>
        <v>0.5</v>
      </c>
      <c r="K9" s="6">
        <f>'01 Major Assumptions'!$D$135</f>
        <v>0.5</v>
      </c>
      <c r="L9" s="6">
        <f>'01 Major Assumptions'!$D$135</f>
        <v>0.5</v>
      </c>
      <c r="M9" s="6">
        <f>'01 Major Assumptions'!$D$135</f>
        <v>0.5</v>
      </c>
      <c r="N9" s="6">
        <f>'01 Major Assumptions'!$D$135</f>
        <v>0.5</v>
      </c>
      <c r="O9" s="6">
        <f>'01 Major Assumptions'!$D$135</f>
        <v>0.5</v>
      </c>
      <c r="P9" s="6">
        <f>'01 Major Assumptions'!$D$135</f>
        <v>0.5</v>
      </c>
      <c r="Q9" s="6">
        <f>'01 Major Assumptions'!$D$135</f>
        <v>0.5</v>
      </c>
      <c r="R9" s="6">
        <f>'01 Major Assumptions'!$D$135</f>
        <v>0.5</v>
      </c>
      <c r="S9" s="6">
        <f>'01 Major Assumptions'!$D$135</f>
        <v>0.5</v>
      </c>
      <c r="T9" s="6">
        <f>'01 Major Assumptions'!$D$135</f>
        <v>0.5</v>
      </c>
      <c r="U9" s="6">
        <f>'01 Major Assumptions'!$D$135</f>
        <v>0.5</v>
      </c>
      <c r="V9" s="6">
        <f>'01 Major Assumptions'!$D$135</f>
        <v>0.5</v>
      </c>
      <c r="W9" s="6">
        <f>'01 Major Assumptions'!$D$135</f>
        <v>0.5</v>
      </c>
      <c r="X9" s="6">
        <f>'01 Major Assumptions'!$D$135</f>
        <v>0.5</v>
      </c>
      <c r="Y9" s="6">
        <f>'01 Major Assumptions'!$D$135</f>
        <v>0.5</v>
      </c>
      <c r="Z9" s="6">
        <f>'01 Major Assumptions'!$D$135</f>
        <v>0.5</v>
      </c>
      <c r="AA9" s="6">
        <f>'01 Major Assumptions'!$D$135</f>
        <v>0.5</v>
      </c>
      <c r="AB9" s="6">
        <f>'01 Major Assumptions'!$D$135</f>
        <v>0.5</v>
      </c>
      <c r="AC9" s="6">
        <f>'01 Major Assumptions'!$D$135</f>
        <v>0.5</v>
      </c>
      <c r="AD9" s="6">
        <f>'01 Major Assumptions'!$D$135</f>
        <v>0.5</v>
      </c>
      <c r="AE9" s="6">
        <f>'01 Major Assumptions'!$D$135</f>
        <v>0.5</v>
      </c>
      <c r="AF9" s="6">
        <f>'01 Major Assumptions'!$D$135</f>
        <v>0.5</v>
      </c>
      <c r="AG9" s="6">
        <f>'01 Major Assumptions'!$D$135</f>
        <v>0.5</v>
      </c>
      <c r="AH9" s="6">
        <f>'01 Major Assumptions'!$D$135</f>
        <v>0.5</v>
      </c>
      <c r="AI9" s="6">
        <f>'01 Major Assumptions'!$D$135</f>
        <v>0.5</v>
      </c>
      <c r="AJ9" s="6">
        <f>'01 Major Assumptions'!$D$135</f>
        <v>0.5</v>
      </c>
      <c r="AK9" s="6">
        <f>'01 Major Assumptions'!$D$135</f>
        <v>0.5</v>
      </c>
      <c r="AL9" s="6">
        <f>'01 Major Assumptions'!$D$135</f>
        <v>0.5</v>
      </c>
      <c r="AM9" s="6">
        <f>'01 Major Assumptions'!$D$135</f>
        <v>0.5</v>
      </c>
      <c r="AN9" s="6">
        <f>'01 Major Assumptions'!$D$135</f>
        <v>0.5</v>
      </c>
      <c r="AO9" s="6">
        <f>'01 Major Assumptions'!$D$135</f>
        <v>0.5</v>
      </c>
      <c r="AP9" s="6">
        <f>'01 Major Assumptions'!$D$135</f>
        <v>0.5</v>
      </c>
      <c r="AQ9" s="6">
        <f>'01 Major Assumptions'!$D$135</f>
        <v>0.5</v>
      </c>
      <c r="AR9" s="6">
        <f>'01 Major Assumptions'!$D$135</f>
        <v>0.5</v>
      </c>
      <c r="AS9" s="6">
        <f>'01 Major Assumptions'!$D$135</f>
        <v>0.5</v>
      </c>
      <c r="AT9" s="6">
        <f>'01 Major Assumptions'!$D$135</f>
        <v>0.5</v>
      </c>
      <c r="AU9" s="6">
        <f>'01 Major Assumptions'!$D$135</f>
        <v>0.5</v>
      </c>
      <c r="AV9" s="6">
        <f>'01 Major Assumptions'!$D$135</f>
        <v>0.5</v>
      </c>
      <c r="AW9" s="6">
        <f>'01 Major Assumptions'!$D$135</f>
        <v>0.5</v>
      </c>
      <c r="AX9" s="6">
        <f>'01 Major Assumptions'!$D$135</f>
        <v>0.5</v>
      </c>
      <c r="AY9" s="6">
        <f>'01 Major Assumptions'!$D$135</f>
        <v>0.5</v>
      </c>
      <c r="AZ9" s="6">
        <f>'01 Major Assumptions'!$D$135</f>
        <v>0.5</v>
      </c>
      <c r="BA9" s="6">
        <f>'01 Major Assumptions'!$D$135</f>
        <v>0.5</v>
      </c>
      <c r="BB9" s="6">
        <f>'01 Major Assumptions'!$D$135</f>
        <v>0.5</v>
      </c>
      <c r="BC9" s="6">
        <f>'01 Major Assumptions'!$D$135</f>
        <v>0.5</v>
      </c>
      <c r="BD9" s="6">
        <f>'01 Major Assumptions'!$D$135</f>
        <v>0.5</v>
      </c>
      <c r="BE9" s="6">
        <f>'01 Major Assumptions'!$D$135</f>
        <v>0.5</v>
      </c>
      <c r="BF9" s="6">
        <f>'01 Major Assumptions'!$D$135</f>
        <v>0.5</v>
      </c>
      <c r="BG9" s="6">
        <f>'01 Major Assumptions'!$D$135</f>
        <v>0.5</v>
      </c>
      <c r="BH9" s="6">
        <f>'01 Major Assumptions'!$D$135</f>
        <v>0.5</v>
      </c>
      <c r="BI9" s="6">
        <f>'01 Major Assumptions'!$D$135</f>
        <v>0.5</v>
      </c>
      <c r="BJ9" s="6">
        <f>'01 Major Assumptions'!$D$135</f>
        <v>0.5</v>
      </c>
      <c r="BK9" s="6">
        <f>'01 Major Assumptions'!$D$135</f>
        <v>0.5</v>
      </c>
      <c r="BL9" s="6">
        <f>'01 Major Assumptions'!$D$135</f>
        <v>0.5</v>
      </c>
      <c r="BM9" s="6">
        <f>'01 Major Assumptions'!$D$135</f>
        <v>0.5</v>
      </c>
      <c r="BN9" s="6">
        <f>'01 Major Assumptions'!$D$135</f>
        <v>0.5</v>
      </c>
      <c r="BO9" s="6">
        <f>'01 Major Assumptions'!$D$135</f>
        <v>0.5</v>
      </c>
    </row>
    <row r="10" spans="1:67">
      <c r="A10" s="11"/>
      <c r="B10" s="11"/>
      <c r="C10" s="11" t="s">
        <v>448</v>
      </c>
      <c r="D10" s="33"/>
      <c r="E10" s="10" t="s">
        <v>7</v>
      </c>
      <c r="F10" s="10"/>
      <c r="G10" s="6">
        <f>'01 Major Assumptions'!$D$145</f>
        <v>0.5</v>
      </c>
      <c r="H10" s="6">
        <f>'01 Major Assumptions'!$D$145</f>
        <v>0.5</v>
      </c>
      <c r="I10" s="6">
        <f>'01 Major Assumptions'!$D$145</f>
        <v>0.5</v>
      </c>
      <c r="J10" s="6">
        <f>'01 Major Assumptions'!$D$145</f>
        <v>0.5</v>
      </c>
      <c r="K10" s="6">
        <f>'01 Major Assumptions'!$D$145</f>
        <v>0.5</v>
      </c>
      <c r="L10" s="6">
        <f>'01 Major Assumptions'!$D$145</f>
        <v>0.5</v>
      </c>
      <c r="M10" s="6">
        <f>'01 Major Assumptions'!$D$145</f>
        <v>0.5</v>
      </c>
      <c r="N10" s="6">
        <f>'01 Major Assumptions'!$D$145</f>
        <v>0.5</v>
      </c>
      <c r="O10" s="6">
        <f>'01 Major Assumptions'!$D$145</f>
        <v>0.5</v>
      </c>
      <c r="P10" s="6">
        <f>'01 Major Assumptions'!$D$145</f>
        <v>0.5</v>
      </c>
      <c r="Q10" s="6">
        <f>'01 Major Assumptions'!$D$145</f>
        <v>0.5</v>
      </c>
      <c r="R10" s="6">
        <f>'01 Major Assumptions'!$D$145</f>
        <v>0.5</v>
      </c>
      <c r="S10" s="6">
        <f>'01 Major Assumptions'!$D$145</f>
        <v>0.5</v>
      </c>
      <c r="T10" s="6">
        <f>'01 Major Assumptions'!$D$145</f>
        <v>0.5</v>
      </c>
      <c r="U10" s="6">
        <f>'01 Major Assumptions'!$D$145</f>
        <v>0.5</v>
      </c>
      <c r="V10" s="6">
        <f>'01 Major Assumptions'!$D$145</f>
        <v>0.5</v>
      </c>
      <c r="W10" s="6">
        <f>'01 Major Assumptions'!$D$145</f>
        <v>0.5</v>
      </c>
      <c r="X10" s="6">
        <f>'01 Major Assumptions'!$D$145</f>
        <v>0.5</v>
      </c>
      <c r="Y10" s="6">
        <f>'01 Major Assumptions'!$D$145</f>
        <v>0.5</v>
      </c>
      <c r="Z10" s="6">
        <f>'01 Major Assumptions'!$D$145</f>
        <v>0.5</v>
      </c>
      <c r="AA10" s="6">
        <f>'01 Major Assumptions'!$D$145</f>
        <v>0.5</v>
      </c>
      <c r="AB10" s="6">
        <f>'01 Major Assumptions'!$D$145</f>
        <v>0.5</v>
      </c>
      <c r="AC10" s="6">
        <f>'01 Major Assumptions'!$D$145</f>
        <v>0.5</v>
      </c>
      <c r="AD10" s="6">
        <f>'01 Major Assumptions'!$D$145</f>
        <v>0.5</v>
      </c>
      <c r="AE10" s="6">
        <f>'01 Major Assumptions'!$D$145</f>
        <v>0.5</v>
      </c>
      <c r="AF10" s="6">
        <f>'01 Major Assumptions'!$D$145</f>
        <v>0.5</v>
      </c>
      <c r="AG10" s="6">
        <f>'01 Major Assumptions'!$D$145</f>
        <v>0.5</v>
      </c>
      <c r="AH10" s="6">
        <f>'01 Major Assumptions'!$D$145</f>
        <v>0.5</v>
      </c>
      <c r="AI10" s="6">
        <f>'01 Major Assumptions'!$D$145</f>
        <v>0.5</v>
      </c>
      <c r="AJ10" s="6">
        <f>'01 Major Assumptions'!$D$145</f>
        <v>0.5</v>
      </c>
      <c r="AK10" s="6">
        <f>'01 Major Assumptions'!$D$145</f>
        <v>0.5</v>
      </c>
      <c r="AL10" s="6">
        <f>'01 Major Assumptions'!$D$145</f>
        <v>0.5</v>
      </c>
      <c r="AM10" s="6">
        <f>'01 Major Assumptions'!$D$145</f>
        <v>0.5</v>
      </c>
      <c r="AN10" s="6">
        <f>'01 Major Assumptions'!$D$145</f>
        <v>0.5</v>
      </c>
      <c r="AO10" s="6">
        <f>'01 Major Assumptions'!$D$145</f>
        <v>0.5</v>
      </c>
      <c r="AP10" s="6">
        <f>'01 Major Assumptions'!$D$145</f>
        <v>0.5</v>
      </c>
      <c r="AQ10" s="6">
        <f>'01 Major Assumptions'!$D$145</f>
        <v>0.5</v>
      </c>
      <c r="AR10" s="6">
        <f>'01 Major Assumptions'!$D$145</f>
        <v>0.5</v>
      </c>
      <c r="AS10" s="6">
        <f>'01 Major Assumptions'!$D$145</f>
        <v>0.5</v>
      </c>
      <c r="AT10" s="6">
        <f>'01 Major Assumptions'!$D$145</f>
        <v>0.5</v>
      </c>
      <c r="AU10" s="6">
        <f>'01 Major Assumptions'!$D$145</f>
        <v>0.5</v>
      </c>
      <c r="AV10" s="6">
        <f>'01 Major Assumptions'!$D$145</f>
        <v>0.5</v>
      </c>
      <c r="AW10" s="6">
        <f>'01 Major Assumptions'!$D$145</f>
        <v>0.5</v>
      </c>
      <c r="AX10" s="6">
        <f>'01 Major Assumptions'!$D$145</f>
        <v>0.5</v>
      </c>
      <c r="AY10" s="6">
        <f>'01 Major Assumptions'!$D$145</f>
        <v>0.5</v>
      </c>
      <c r="AZ10" s="6">
        <f>'01 Major Assumptions'!$D$145</f>
        <v>0.5</v>
      </c>
      <c r="BA10" s="6">
        <f>'01 Major Assumptions'!$D$145</f>
        <v>0.5</v>
      </c>
      <c r="BB10" s="6">
        <f>'01 Major Assumptions'!$D$145</f>
        <v>0.5</v>
      </c>
      <c r="BC10" s="6">
        <f>'01 Major Assumptions'!$D$145</f>
        <v>0.5</v>
      </c>
      <c r="BD10" s="6">
        <f>'01 Major Assumptions'!$D$145</f>
        <v>0.5</v>
      </c>
      <c r="BE10" s="6">
        <f>'01 Major Assumptions'!$D$145</f>
        <v>0.5</v>
      </c>
      <c r="BF10" s="6">
        <f>'01 Major Assumptions'!$D$145</f>
        <v>0.5</v>
      </c>
      <c r="BG10" s="6">
        <f>'01 Major Assumptions'!$D$145</f>
        <v>0.5</v>
      </c>
      <c r="BH10" s="6">
        <f>'01 Major Assumptions'!$D$145</f>
        <v>0.5</v>
      </c>
      <c r="BI10" s="6">
        <f>'01 Major Assumptions'!$D$145</f>
        <v>0.5</v>
      </c>
      <c r="BJ10" s="6">
        <f>'01 Major Assumptions'!$D$145</f>
        <v>0.5</v>
      </c>
      <c r="BK10" s="6">
        <f>'01 Major Assumptions'!$D$145</f>
        <v>0.5</v>
      </c>
      <c r="BL10" s="6">
        <f>'01 Major Assumptions'!$D$145</f>
        <v>0.5</v>
      </c>
      <c r="BM10" s="6">
        <f>'01 Major Assumptions'!$D$145</f>
        <v>0.5</v>
      </c>
      <c r="BN10" s="6">
        <f>'01 Major Assumptions'!$D$145</f>
        <v>0.5</v>
      </c>
      <c r="BO10" s="6">
        <f>'01 Major Assumptions'!$D$145</f>
        <v>0.5</v>
      </c>
    </row>
    <row r="11" spans="1:67">
      <c r="A11" s="11"/>
      <c r="B11" s="11"/>
      <c r="C11" s="11" t="s">
        <v>449</v>
      </c>
      <c r="D11" s="33"/>
      <c r="E11" s="10" t="s">
        <v>13</v>
      </c>
      <c r="F11" s="10"/>
      <c r="G11" s="90">
        <f>G19+G20</f>
        <v>0</v>
      </c>
      <c r="H11" s="90">
        <f t="shared" ref="H11:BI11" si="0">H19+H20</f>
        <v>0</v>
      </c>
      <c r="I11" s="90">
        <f t="shared" si="0"/>
        <v>0</v>
      </c>
      <c r="J11" s="90">
        <f t="shared" si="0"/>
        <v>0</v>
      </c>
      <c r="K11" s="90">
        <f t="shared" si="0"/>
        <v>0</v>
      </c>
      <c r="L11" s="90">
        <f t="shared" si="0"/>
        <v>0</v>
      </c>
      <c r="M11" s="90">
        <f t="shared" si="0"/>
        <v>0</v>
      </c>
      <c r="N11" s="90">
        <f t="shared" si="0"/>
        <v>0</v>
      </c>
      <c r="O11" s="90">
        <f t="shared" si="0"/>
        <v>0</v>
      </c>
      <c r="P11" s="90">
        <f t="shared" si="0"/>
        <v>0</v>
      </c>
      <c r="Q11" s="90">
        <f t="shared" si="0"/>
        <v>62863981.617646933</v>
      </c>
      <c r="R11" s="90">
        <f t="shared" si="0"/>
        <v>66123504.655330881</v>
      </c>
      <c r="S11" s="90">
        <f t="shared" si="0"/>
        <v>67148340.305547267</v>
      </c>
      <c r="T11" s="90">
        <f t="shared" si="0"/>
        <v>67512060.482202306</v>
      </c>
      <c r="U11" s="90">
        <f t="shared" si="0"/>
        <v>67877750.809814245</v>
      </c>
      <c r="V11" s="90">
        <f t="shared" si="0"/>
        <v>68245421.960034072</v>
      </c>
      <c r="W11" s="90">
        <f t="shared" si="0"/>
        <v>68615084.662317589</v>
      </c>
      <c r="X11" s="90">
        <f t="shared" si="0"/>
        <v>68986749.704238474</v>
      </c>
      <c r="Y11" s="90">
        <f t="shared" si="0"/>
        <v>69360427.931803092</v>
      </c>
      <c r="Z11" s="90">
        <f t="shared" si="0"/>
        <v>69736130.249767035</v>
      </c>
      <c r="AA11" s="90">
        <f t="shared" si="0"/>
        <v>70576867.621953264</v>
      </c>
      <c r="AB11" s="90">
        <f t="shared" si="0"/>
        <v>0</v>
      </c>
      <c r="AC11" s="90">
        <f t="shared" si="0"/>
        <v>0</v>
      </c>
      <c r="AD11" s="90">
        <f t="shared" si="0"/>
        <v>0</v>
      </c>
      <c r="AE11" s="90">
        <f t="shared" si="0"/>
        <v>0</v>
      </c>
      <c r="AF11" s="90">
        <f t="shared" si="0"/>
        <v>0</v>
      </c>
      <c r="AG11" s="90">
        <f t="shared" si="0"/>
        <v>0</v>
      </c>
      <c r="AH11" s="90">
        <f t="shared" si="0"/>
        <v>0</v>
      </c>
      <c r="AI11" s="90">
        <f t="shared" si="0"/>
        <v>0</v>
      </c>
      <c r="AJ11" s="90">
        <f t="shared" si="0"/>
        <v>0</v>
      </c>
      <c r="AK11" s="90">
        <f t="shared" si="0"/>
        <v>0</v>
      </c>
      <c r="AL11" s="90">
        <f t="shared" si="0"/>
        <v>0</v>
      </c>
      <c r="AM11" s="90">
        <f t="shared" si="0"/>
        <v>0</v>
      </c>
      <c r="AN11" s="90">
        <f t="shared" si="0"/>
        <v>0</v>
      </c>
      <c r="AO11" s="90">
        <f t="shared" si="0"/>
        <v>0</v>
      </c>
      <c r="AP11" s="90">
        <f t="shared" si="0"/>
        <v>0</v>
      </c>
      <c r="AQ11" s="90">
        <f t="shared" si="0"/>
        <v>0</v>
      </c>
      <c r="AR11" s="90">
        <f t="shared" si="0"/>
        <v>0</v>
      </c>
      <c r="AS11" s="90">
        <f t="shared" si="0"/>
        <v>0</v>
      </c>
      <c r="AT11" s="90">
        <f t="shared" si="0"/>
        <v>0</v>
      </c>
      <c r="AU11" s="90">
        <f t="shared" si="0"/>
        <v>0</v>
      </c>
      <c r="AV11" s="90">
        <f t="shared" si="0"/>
        <v>0</v>
      </c>
      <c r="AW11" s="90">
        <f t="shared" si="0"/>
        <v>0</v>
      </c>
      <c r="AX11" s="90">
        <f t="shared" si="0"/>
        <v>0</v>
      </c>
      <c r="AY11" s="90">
        <f t="shared" si="0"/>
        <v>0</v>
      </c>
      <c r="AZ11" s="90">
        <f t="shared" si="0"/>
        <v>0</v>
      </c>
      <c r="BA11" s="90">
        <f t="shared" si="0"/>
        <v>0</v>
      </c>
      <c r="BB11" s="90">
        <f t="shared" si="0"/>
        <v>0</v>
      </c>
      <c r="BC11" s="90">
        <f t="shared" si="0"/>
        <v>0</v>
      </c>
      <c r="BD11" s="90">
        <f t="shared" si="0"/>
        <v>0</v>
      </c>
      <c r="BE11" s="90">
        <f t="shared" si="0"/>
        <v>0</v>
      </c>
      <c r="BF11" s="90">
        <f t="shared" si="0"/>
        <v>0</v>
      </c>
      <c r="BG11" s="90">
        <f t="shared" si="0"/>
        <v>0</v>
      </c>
      <c r="BH11" s="90">
        <f t="shared" si="0"/>
        <v>0</v>
      </c>
      <c r="BI11" s="90">
        <f t="shared" si="0"/>
        <v>0</v>
      </c>
      <c r="BJ11" s="90">
        <f t="shared" ref="BJ11:BO11" si="1">BJ19+BJ20</f>
        <v>0</v>
      </c>
      <c r="BK11" s="90">
        <f t="shared" si="1"/>
        <v>0</v>
      </c>
      <c r="BL11" s="90">
        <f t="shared" si="1"/>
        <v>0</v>
      </c>
      <c r="BM11" s="90">
        <f t="shared" si="1"/>
        <v>0</v>
      </c>
      <c r="BN11" s="90">
        <f t="shared" si="1"/>
        <v>0</v>
      </c>
      <c r="BO11" s="90">
        <f t="shared" si="1"/>
        <v>0</v>
      </c>
    </row>
    <row r="12" spans="1:67">
      <c r="A12" s="11"/>
      <c r="B12" s="11"/>
      <c r="C12" s="11" t="s">
        <v>1789</v>
      </c>
      <c r="D12" s="33"/>
      <c r="E12" s="10" t="s">
        <v>13</v>
      </c>
      <c r="F12" s="10"/>
      <c r="G12" s="90">
        <f>MIN('01 Major Assumptions'!$D$145*SUM('03 CAPEX &amp; Depreciation'!$F$110:$F$115),SUM('03 CAPEX &amp; Depreciation'!G$110:G$115))+IF('01 Major Assumptions'!G$15=1,0,MAX(0,'01 Major Assumptions'!$D$132-('00 Summary'!G$72+'00 Summary'!G$75+'00 Summary'!G$77-'00 Summary'!G$78-'00 Summary'!G$80+MIN('01 Major Assumptions'!$D$145*SUM('03 CAPEX &amp; Depreciation'!$F$110:$F$115),SUM('03 CAPEX &amp; Depreciation'!G$110:G$115)))))</f>
        <v>23922220.516129032</v>
      </c>
      <c r="H12" s="90">
        <f>MIN(MAX(0,'01 Major Assumptions'!$D$145*SUM('03 CAPEX &amp; Depreciation'!$F$110:$F$115)-SUM('03 CAPEX &amp; Depreciation'!$G$110:G$115)),SUM('03 CAPEX &amp; Depreciation'!H$110:H$115))+IF('01 Major Assumptions'!H$15=1,0,MAX(0,'01 Major Assumptions'!$D$132-('00 Summary'!G$85+'00 Summary'!H$72+'00 Summary'!H$75+'00 Summary'!H$77-'00 Summary'!H$78-'00 Summary'!H$80+MIN(MAX(0,'01 Major Assumptions'!$D$145*SUM('03 CAPEX &amp; Depreciation'!$F$110:$F$115)-SUM('03 CAPEX &amp; Depreciation'!$G$110:G$115)),SUM('03 CAPEX &amp; Depreciation'!H$110:H$115)))))</f>
        <v>23726556.912442397</v>
      </c>
      <c r="I12" s="90">
        <f>MIN(MAX(0,'01 Major Assumptions'!$D$145*SUM('03 CAPEX &amp; Depreciation'!$F$110:$F$115)-SUM('03 CAPEX &amp; Depreciation'!$G$110:H$115)),SUM('03 CAPEX &amp; Depreciation'!I$110:I$115))+IF('01 Major Assumptions'!I$15=1,0,MAX(0,'01 Major Assumptions'!$D$132-('00 Summary'!H$85+'00 Summary'!I$72+'00 Summary'!I$75+'00 Summary'!I$77-'00 Summary'!I$78-'00 Summary'!I$80+MIN(MAX(0,'01 Major Assumptions'!$D$145*SUM('03 CAPEX &amp; Depreciation'!$F$110:$F$115)-SUM('03 CAPEX &amp; Depreciation'!$G$110:H$115)),SUM('03 CAPEX &amp; Depreciation'!I$110:I$115)))))</f>
        <v>23797043.087557603</v>
      </c>
      <c r="J12" s="90">
        <f>MIN(MAX(0,'01 Major Assumptions'!$D$145*SUM('03 CAPEX &amp; Depreciation'!$F$110:$F$115)-SUM('03 CAPEX &amp; Depreciation'!$G$110:I$115)),SUM('03 CAPEX &amp; Depreciation'!J$110:J$115))+IF('01 Major Assumptions'!J$15=1,0,MAX(0,'01 Major Assumptions'!$D$132-('00 Summary'!I$85+'00 Summary'!J$72+'00 Summary'!J$75+'00 Summary'!J$77-'00 Summary'!J$78-'00 Summary'!J$80+MIN(MAX(0,'01 Major Assumptions'!$D$145*SUM('03 CAPEX &amp; Depreciation'!$F$110:$F$115)-SUM('03 CAPEX &amp; Depreciation'!$G$110:I$115)),SUM('03 CAPEX &amp; Depreciation'!J$110:J$115)))))</f>
        <v>269880835.48387098</v>
      </c>
      <c r="K12" s="90">
        <f>MIN(MAX(0,'01 Major Assumptions'!$D$145*SUM('03 CAPEX &amp; Depreciation'!$F$110:$F$115)-SUM('03 CAPEX &amp; Depreciation'!$G$110:J$115)),SUM('03 CAPEX &amp; Depreciation'!K$110:K$115))+IF('01 Major Assumptions'!K$15=1,0,MAX(0,'01 Major Assumptions'!$D$132-('00 Summary'!J$85+'00 Summary'!K$72+'00 Summary'!K$75+'00 Summary'!K$77-'00 Summary'!K$78-'00 Summary'!K$80+MIN(MAX(0,'01 Major Assumptions'!$D$145*SUM('03 CAPEX &amp; Depreciation'!$F$110:$F$115)-SUM('03 CAPEX &amp; Depreciation'!$G$110:J$115)),SUM('03 CAPEX &amp; Depreciation'!K$110:K$115)))))</f>
        <v>55079235.104364328</v>
      </c>
      <c r="L12" s="90">
        <f>MIN(MAX(0,'01 Major Assumptions'!$D$145*SUM('03 CAPEX &amp; Depreciation'!$F$110:$F$115)-SUM('03 CAPEX &amp; Depreciation'!$G$110:K$115)),SUM('03 CAPEX &amp; Depreciation'!L$110:L$115))+IF('01 Major Assumptions'!L$15=1,0,MAX(0,'01 Major Assumptions'!$D$132-('00 Summary'!K$85+'00 Summary'!L$72+'00 Summary'!L$75+'00 Summary'!L$77-'00 Summary'!L$78-'00 Summary'!L$80+MIN(MAX(0,'01 Major Assumptions'!$D$145*SUM('03 CAPEX &amp; Depreciation'!$F$110:$F$115)-SUM('03 CAPEX &amp; Depreciation'!$G$110:K$115)),SUM('03 CAPEX &amp; Depreciation'!L$110:L$115)))))</f>
        <v>55057306.072106265</v>
      </c>
      <c r="M12" s="90">
        <f>MIN(MAX(0,'01 Major Assumptions'!$D$145*SUM('03 CAPEX &amp; Depreciation'!$F$110:$F$115)-SUM('03 CAPEX &amp; Depreciation'!$G$110:L$115)),SUM('03 CAPEX &amp; Depreciation'!M$110:M$115))+IF('01 Major Assumptions'!M$15=1,0,MAX(0,'01 Major Assumptions'!$D$132-('00 Summary'!L$85+'00 Summary'!M$72+'00 Summary'!M$75+'00 Summary'!M$77-'00 Summary'!M$78-'00 Summary'!M$80+MIN(MAX(0,'01 Major Assumptions'!$D$145*SUM('03 CAPEX &amp; Depreciation'!$F$110:$F$115)-SUM('03 CAPEX &amp; Depreciation'!$G$110:L$115)),SUM('03 CAPEX &amp; Depreciation'!M$110:M$115)))))</f>
        <v>55089235.104364328</v>
      </c>
      <c r="N12" s="90">
        <f>MIN(MAX(0,'01 Major Assumptions'!$D$145*SUM('03 CAPEX &amp; Depreciation'!$F$110:$F$115)-SUM('03 CAPEX &amp; Depreciation'!$G$110:M$115)),SUM('03 CAPEX &amp; Depreciation'!N$110:N$115))+IF('01 Major Assumptions'!N$15=1,0,MAX(0,'01 Major Assumptions'!$D$132-('00 Summary'!M$85+'00 Summary'!N$72+'00 Summary'!N$75+'00 Summary'!N$77-'00 Summary'!N$78-'00 Summary'!N$80+MIN(MAX(0,'01 Major Assumptions'!$D$145*SUM('03 CAPEX &amp; Depreciation'!$F$110:$F$115)-SUM('03 CAPEX &amp; Depreciation'!$G$110:M$115)),SUM('03 CAPEX &amp; Depreciation'!N$110:N$115)))))</f>
        <v>55078270.588235296</v>
      </c>
      <c r="O12" s="90">
        <f>MIN(MAX(0,'01 Major Assumptions'!$D$145*SUM('03 CAPEX &amp; Depreciation'!$F$110:$F$115)-SUM('03 CAPEX &amp; Depreciation'!$G$110:N$115)),SUM('03 CAPEX &amp; Depreciation'!O$110:O$115))+IF('01 Major Assumptions'!O$15=1,0,MAX(0,'01 Major Assumptions'!$D$132-('00 Summary'!N$85+'00 Summary'!O$72+'00 Summary'!O$75+'00 Summary'!O$77-'00 Summary'!O$78-'00 Summary'!O$80+MIN(MAX(0,'01 Major Assumptions'!$D$145*SUM('03 CAPEX &amp; Depreciation'!$F$110:$F$115)-SUM('03 CAPEX &amp; Depreciation'!$G$110:N$115)),SUM('03 CAPEX &amp; Depreciation'!O$110:O$115)))))</f>
        <v>55067306.072106265</v>
      </c>
      <c r="P12" s="90">
        <f>MIN(MAX(0,'01 Major Assumptions'!$D$145*SUM('03 CAPEX &amp; Depreciation'!$F$110:$F$115)-SUM('03 CAPEX &amp; Depreciation'!$G$110:O$115)),SUM('03 CAPEX &amp; Depreciation'!P$110:P$115))+IF('01 Major Assumptions'!P$15=1,0,MAX(0,'01 Major Assumptions'!$D$132-('00 Summary'!O$85+'00 Summary'!P$72+'00 Summary'!P$75+'00 Summary'!P$77-'00 Summary'!P$78-'00 Summary'!P$80+MIN(MAX(0,'01 Major Assumptions'!$D$145*SUM('03 CAPEX &amp; Depreciation'!$F$110:$F$115)-SUM('03 CAPEX &amp; Depreciation'!$G$110:O$115)),SUM('03 CAPEX &amp; Depreciation'!P$110:P$115)))))</f>
        <v>65856113.464579381</v>
      </c>
      <c r="Q12" s="90">
        <f>MIN(MAX(0,'01 Major Assumptions'!$D$145*SUM('03 CAPEX &amp; Depreciation'!$F$110:$F$115)-SUM('03 CAPEX &amp; Depreciation'!$G$110:P$115)),SUM('03 CAPEX &amp; Depreciation'!Q$110:Q$115))+IF('01 Major Assumptions'!Q$15=1,0,MAX(0,'01 Major Assumptions'!$D$132-('00 Summary'!P$85+'00 Summary'!Q$72+'00 Summary'!Q$75+'00 Summary'!Q$77-'00 Summary'!Q$78-'00 Summary'!Q$80+MIN(MAX(0,'01 Major Assumptions'!$D$145*SUM('03 CAPEX &amp; Depreciation'!$F$110:$F$115)-SUM('03 CAPEX &amp; Depreciation'!$G$110:P$115)),SUM('03 CAPEX &amp; Depreciation'!Q$110:Q$115)))))</f>
        <v>24439071.094244286</v>
      </c>
      <c r="R12" s="90">
        <f>MIN(MAX(0,'01 Major Assumptions'!$D$145*SUM('03 CAPEX &amp; Depreciation'!$F$110:$F$115)-SUM('03 CAPEX &amp; Depreciation'!$G$110:Q$115)),SUM('03 CAPEX &amp; Depreciation'!R$110:R$115))+IF('01 Major Assumptions'!R$15=1,0,MAX(0,'01 Major Assumptions'!$D$132-('00 Summary'!Q$85+'00 Summary'!R$72+'00 Summary'!R$75+'00 Summary'!R$77-'00 Summary'!R$78-'00 Summary'!R$80+MIN(MAX(0,'01 Major Assumptions'!$D$145*SUM('03 CAPEX &amp; Depreciation'!$F$110:$F$115)-SUM('03 CAPEX &amp; Depreciation'!$G$110:Q$115)),SUM('03 CAPEX &amp; Depreciation'!R$110:R$115)))))</f>
        <v>463116.39784946293</v>
      </c>
      <c r="S12" s="90">
        <f>MIN(MAX(0,'01 Major Assumptions'!$D$145*SUM('03 CAPEX &amp; Depreciation'!$F$110:$F$115)-SUM('03 CAPEX &amp; Depreciation'!$G$110:R$115)),SUM('03 CAPEX &amp; Depreciation'!S$110:S$115))+IF('01 Major Assumptions'!S$15=1,0,MAX(0,'01 Major Assumptions'!$D$132-('00 Summary'!R$85+'00 Summary'!S$72+'00 Summary'!S$75+'00 Summary'!S$77-'00 Summary'!S$78-'00 Summary'!S$80+MIN(MAX(0,'01 Major Assumptions'!$D$145*SUM('03 CAPEX &amp; Depreciation'!$F$110:$F$115)-SUM('03 CAPEX &amp; Depreciation'!$G$110:R$115)),SUM('03 CAPEX &amp; Depreciation'!S$110:S$115)))))</f>
        <v>704438.82967741787</v>
      </c>
      <c r="T12" s="90">
        <f>MIN(MAX(0,'01 Major Assumptions'!$D$145*SUM('03 CAPEX &amp; Depreciation'!$F$110:$F$115)-SUM('03 CAPEX &amp; Depreciation'!$G$110:S$115)),SUM('03 CAPEX &amp; Depreciation'!T$110:T$115))+IF('01 Major Assumptions'!T$15=1,0,MAX(0,'01 Major Assumptions'!$D$132-('00 Summary'!S$85+'00 Summary'!T$72+'00 Summary'!T$75+'00 Summary'!T$77-'00 Summary'!T$78-'00 Summary'!T$80+MIN(MAX(0,'01 Major Assumptions'!$D$145*SUM('03 CAPEX &amp; Depreciation'!$F$110:$F$115)-SUM('03 CAPEX &amp; Depreciation'!$G$110:S$115)),SUM('03 CAPEX &amp; Depreciation'!T$110:T$115)))))</f>
        <v>524517.73155358434</v>
      </c>
      <c r="U12" s="90">
        <f>MIN(MAX(0,'01 Major Assumptions'!$D$145*SUM('03 CAPEX &amp; Depreciation'!$F$110:$F$115)-SUM('03 CAPEX &amp; Depreciation'!$G$110:T$115)),SUM('03 CAPEX &amp; Depreciation'!U$110:U$115))+IF('01 Major Assumptions'!U$15=1,0,MAX(0,'01 Major Assumptions'!$D$132-('00 Summary'!T$85+'00 Summary'!U$72+'00 Summary'!U$75+'00 Summary'!U$77-'00 Summary'!U$78-'00 Summary'!U$80+MIN(MAX(0,'01 Major Assumptions'!$D$145*SUM('03 CAPEX &amp; Depreciation'!$F$110:$F$115)-SUM('03 CAPEX &amp; Depreciation'!$G$110:T$115)),SUM('03 CAPEX &amp; Depreciation'!U$110:U$115)))))</f>
        <v>1262624.8060808331</v>
      </c>
      <c r="V12" s="90">
        <f>MIN(MAX(0,'01 Major Assumptions'!$D$145*SUM('03 CAPEX &amp; Depreciation'!$F$110:$F$115)-SUM('03 CAPEX &amp; Depreciation'!$G$110:U$115)),SUM('03 CAPEX &amp; Depreciation'!V$110:V$115))+IF('01 Major Assumptions'!V$15=1,0,MAX(0,'01 Major Assumptions'!$D$132-('00 Summary'!U$85+'00 Summary'!V$72+'00 Summary'!V$75+'00 Summary'!V$77-'00 Summary'!V$78-'00 Summary'!V$80+MIN(MAX(0,'01 Major Assumptions'!$D$145*SUM('03 CAPEX &amp; Depreciation'!$F$110:$F$115)-SUM('03 CAPEX &amp; Depreciation'!$G$110:U$115)),SUM('03 CAPEX &amp; Depreciation'!V$110:V$115)))))</f>
        <v>1143688.604838714</v>
      </c>
      <c r="W12" s="90">
        <f>MIN(MAX(0,'01 Major Assumptions'!$D$145*SUM('03 CAPEX &amp; Depreciation'!$F$110:$F$115)-SUM('03 CAPEX &amp; Depreciation'!$G$110:V$115)),SUM('03 CAPEX &amp; Depreciation'!W$110:W$115))+IF('01 Major Assumptions'!W$15=1,0,MAX(0,'01 Major Assumptions'!$D$132-('00 Summary'!V$85+'00 Summary'!W$72+'00 Summary'!W$75+'00 Summary'!W$77-'00 Summary'!W$78-'00 Summary'!W$80+MIN(MAX(0,'01 Major Assumptions'!$D$145*SUM('03 CAPEX &amp; Depreciation'!$F$110:$F$115)-SUM('03 CAPEX &amp; Depreciation'!$G$110:V$115)),SUM('03 CAPEX &amp; Depreciation'!W$110:W$115)))))</f>
        <v>1331333.5698924661</v>
      </c>
      <c r="X12" s="90">
        <f>MIN(MAX(0,'01 Major Assumptions'!$D$145*SUM('03 CAPEX &amp; Depreciation'!$F$110:$F$115)-SUM('03 CAPEX &amp; Depreciation'!$G$110:W$115)),SUM('03 CAPEX &amp; Depreciation'!X$110:X$115))+IF('01 Major Assumptions'!X$15=1,0,MAX(0,'01 Major Assumptions'!$D$132-('00 Summary'!W$85+'00 Summary'!X$72+'00 Summary'!X$75+'00 Summary'!X$77-'00 Summary'!X$78-'00 Summary'!X$80+MIN(MAX(0,'01 Major Assumptions'!$D$145*SUM('03 CAPEX &amp; Depreciation'!$F$110:$F$115)-SUM('03 CAPEX &amp; Depreciation'!$G$110:W$115)),SUM('03 CAPEX &amp; Depreciation'!X$110:X$115)))))</f>
        <v>1249387.5967741907</v>
      </c>
      <c r="Y12" s="90">
        <f>MIN(MAX(0,'01 Major Assumptions'!$D$145*SUM('03 CAPEX &amp; Depreciation'!$F$110:$F$115)-SUM('03 CAPEX &amp; Depreciation'!$G$110:X$115)),SUM('03 CAPEX &amp; Depreciation'!Y$110:Y$115))+IF('01 Major Assumptions'!Y$15=1,0,MAX(0,'01 Major Assumptions'!$D$132-('00 Summary'!X$85+'00 Summary'!Y$72+'00 Summary'!Y$75+'00 Summary'!Y$77-'00 Summary'!Y$78-'00 Summary'!Y$80+MIN(MAX(0,'01 Major Assumptions'!$D$145*SUM('03 CAPEX &amp; Depreciation'!$F$110:$F$115)-SUM('03 CAPEX &amp; Depreciation'!$G$110:X$115)),SUM('03 CAPEX &amp; Depreciation'!Y$110:Y$115)))))</f>
        <v>1320580.8817204237</v>
      </c>
      <c r="Z12" s="90">
        <f>MIN(MAX(0,'01 Major Assumptions'!$D$145*SUM('03 CAPEX &amp; Depreciation'!$F$110:$F$115)-SUM('03 CAPEX &amp; Depreciation'!$G$110:Y$115)),SUM('03 CAPEX &amp; Depreciation'!Z$110:Z$115))+IF('01 Major Assumptions'!Z$15=1,0,MAX(0,'01 Major Assumptions'!$D$132-('00 Summary'!Y$85+'00 Summary'!Z$72+'00 Summary'!Z$75+'00 Summary'!Z$77-'00 Summary'!Z$78-'00 Summary'!Z$80+MIN(MAX(0,'01 Major Assumptions'!$D$145*SUM('03 CAPEX &amp; Depreciation'!$F$110:$F$115)-SUM('03 CAPEX &amp; Depreciation'!$G$110:Y$115)),SUM('03 CAPEX &amp; Depreciation'!Z$110:Z$115)))))</f>
        <v>1279958.4327957034</v>
      </c>
      <c r="AA12" s="90">
        <f>MIN(MAX(0,'01 Major Assumptions'!$D$145*SUM('03 CAPEX &amp; Depreciation'!$F$110:$F$115)-SUM('03 CAPEX &amp; Depreciation'!$G$110:Z$115)),SUM('03 CAPEX &amp; Depreciation'!AA$110:AA$115))+IF('01 Major Assumptions'!AA$15=1,0,MAX(0,'01 Major Assumptions'!$D$132-('00 Summary'!Z$85+'00 Summary'!AA$72+'00 Summary'!AA$75+'00 Summary'!AA$77-'00 Summary'!AA$78-'00 Summary'!AA$80+MIN(MAX(0,'01 Major Assumptions'!$D$145*SUM('03 CAPEX &amp; Depreciation'!$F$110:$F$115)-SUM('03 CAPEX &amp; Depreciation'!$G$110:Z$115)),SUM('03 CAPEX &amp; Depreciation'!AA$110:AA$115)))))</f>
        <v>1115859.9348286539</v>
      </c>
      <c r="AB12" s="90">
        <f>MIN(MAX(0,'01 Major Assumptions'!$D$145*SUM('03 CAPEX &amp; Depreciation'!$F$110:$F$115)-SUM('03 CAPEX &amp; Depreciation'!$G$110:AA$115)),SUM('03 CAPEX &amp; Depreciation'!AB$110:AB$115))+IF('01 Major Assumptions'!AB$15=1,0,MAX(0,'01 Major Assumptions'!$D$132-('00 Summary'!AA$85+'00 Summary'!AB$72+'00 Summary'!AB$75+'00 Summary'!AB$77-'00 Summary'!AB$78-'00 Summary'!AB$80+MIN(MAX(0,'01 Major Assumptions'!$D$145*SUM('03 CAPEX &amp; Depreciation'!$F$110:$F$115)-SUM('03 CAPEX &amp; Depreciation'!$G$110:AA$115)),SUM('03 CAPEX &amp; Depreciation'!AB$110:AB$115)))))</f>
        <v>0</v>
      </c>
      <c r="AC12" s="90">
        <f>MIN(MAX(0,'01 Major Assumptions'!$D$145*SUM('03 CAPEX &amp; Depreciation'!$F$110:$F$115)-SUM('03 CAPEX &amp; Depreciation'!$G$110:AB$115)),SUM('03 CAPEX &amp; Depreciation'!AC$110:AC$115))+IF('01 Major Assumptions'!AC$15=1,0,MAX(0,'01 Major Assumptions'!$D$132-('00 Summary'!AB$85+'00 Summary'!AC$72+'00 Summary'!AC$75+'00 Summary'!AC$77-'00 Summary'!AC$78-'00 Summary'!AC$80+MIN(MAX(0,'01 Major Assumptions'!$D$145*SUM('03 CAPEX &amp; Depreciation'!$F$110:$F$115)-SUM('03 CAPEX &amp; Depreciation'!$G$110:AB$115)),SUM('03 CAPEX &amp; Depreciation'!AC$110:AC$115)))))</f>
        <v>0</v>
      </c>
      <c r="AD12" s="90">
        <f>MIN(MAX(0,'01 Major Assumptions'!$D$145*SUM('03 CAPEX &amp; Depreciation'!$F$110:$F$115)-SUM('03 CAPEX &amp; Depreciation'!$G$110:AC$115)),SUM('03 CAPEX &amp; Depreciation'!AD$110:AD$115))+IF('01 Major Assumptions'!AD$15=1,0,MAX(0,'01 Major Assumptions'!$D$132-('00 Summary'!AC$85+'00 Summary'!AD$72+'00 Summary'!AD$75+'00 Summary'!AD$77-'00 Summary'!AD$78-'00 Summary'!AD$80+MIN(MAX(0,'01 Major Assumptions'!$D$145*SUM('03 CAPEX &amp; Depreciation'!$F$110:$F$115)-SUM('03 CAPEX &amp; Depreciation'!$G$110:AC$115)),SUM('03 CAPEX &amp; Depreciation'!AD$110:AD$115)))))</f>
        <v>0</v>
      </c>
      <c r="AE12" s="90">
        <f>MIN(MAX(0,'01 Major Assumptions'!$D$145*SUM('03 CAPEX &amp; Depreciation'!$F$110:$F$115)-SUM('03 CAPEX &amp; Depreciation'!$G$110:AD$115)),SUM('03 CAPEX &amp; Depreciation'!AE$110:AE$115))+IF('01 Major Assumptions'!AE$15=1,0,MAX(0,'01 Major Assumptions'!$D$132-('00 Summary'!AD$85+'00 Summary'!AE$72+'00 Summary'!AE$75+'00 Summary'!AE$77-'00 Summary'!AE$78-'00 Summary'!AE$80+MIN(MAX(0,'01 Major Assumptions'!$D$145*SUM('03 CAPEX &amp; Depreciation'!$F$110:$F$115)-SUM('03 CAPEX &amp; Depreciation'!$G$110:AD$115)),SUM('03 CAPEX &amp; Depreciation'!AE$110:AE$115)))))</f>
        <v>0</v>
      </c>
      <c r="AF12" s="90">
        <f>MIN(MAX(0,'01 Major Assumptions'!$D$145*SUM('03 CAPEX &amp; Depreciation'!$F$110:$F$115)-SUM('03 CAPEX &amp; Depreciation'!$G$110:AE$115)),SUM('03 CAPEX &amp; Depreciation'!AF$110:AF$115))+IF('01 Major Assumptions'!AF$15=1,0,MAX(0,'01 Major Assumptions'!$D$132-('00 Summary'!AE$85+'00 Summary'!AF$72+'00 Summary'!AF$75+'00 Summary'!AF$77-'00 Summary'!AF$78-'00 Summary'!AF$80+MIN(MAX(0,'01 Major Assumptions'!$D$145*SUM('03 CAPEX &amp; Depreciation'!$F$110:$F$115)-SUM('03 CAPEX &amp; Depreciation'!$G$110:AE$115)),SUM('03 CAPEX &amp; Depreciation'!AF$110:AF$115)))))</f>
        <v>0</v>
      </c>
      <c r="AG12" s="90">
        <f>MIN(MAX(0,'01 Major Assumptions'!$D$145*SUM('03 CAPEX &amp; Depreciation'!$F$110:$F$115)-SUM('03 CAPEX &amp; Depreciation'!$G$110:AF$115)),SUM('03 CAPEX &amp; Depreciation'!AG$110:AG$115))+IF('01 Major Assumptions'!AG$15=1,0,MAX(0,'01 Major Assumptions'!$D$132-('00 Summary'!AF$85+'00 Summary'!AG$72+'00 Summary'!AG$75+'00 Summary'!AG$77-'00 Summary'!AG$78-'00 Summary'!AG$80+MIN(MAX(0,'01 Major Assumptions'!$D$145*SUM('03 CAPEX &amp; Depreciation'!$F$110:$F$115)-SUM('03 CAPEX &amp; Depreciation'!$G$110:AF$115)),SUM('03 CAPEX &amp; Depreciation'!AG$110:AG$115)))))</f>
        <v>0</v>
      </c>
      <c r="AH12" s="90">
        <f>MIN(MAX(0,'01 Major Assumptions'!$D$145*SUM('03 CAPEX &amp; Depreciation'!$F$110:$F$115)-SUM('03 CAPEX &amp; Depreciation'!$G$110:AG$115)),SUM('03 CAPEX &amp; Depreciation'!AH$110:AH$115))+IF('01 Major Assumptions'!AH$15=1,0,MAX(0,'01 Major Assumptions'!$D$132-('00 Summary'!AG$85+'00 Summary'!AH$72+'00 Summary'!AH$75+'00 Summary'!AH$77-'00 Summary'!AH$78-'00 Summary'!AH$80+MIN(MAX(0,'01 Major Assumptions'!$D$145*SUM('03 CAPEX &amp; Depreciation'!$F$110:$F$115)-SUM('03 CAPEX &amp; Depreciation'!$G$110:AG$115)),SUM('03 CAPEX &amp; Depreciation'!AH$110:AH$115)))))</f>
        <v>0</v>
      </c>
      <c r="AI12" s="90">
        <f>MIN(MAX(0,'01 Major Assumptions'!$D$145*SUM('03 CAPEX &amp; Depreciation'!$F$110:$F$115)-SUM('03 CAPEX &amp; Depreciation'!$G$110:AH$115)),SUM('03 CAPEX &amp; Depreciation'!AI$110:AI$115))+IF('01 Major Assumptions'!AI$15=1,0,MAX(0,'01 Major Assumptions'!$D$132-('00 Summary'!AH$85+'00 Summary'!AI$72+'00 Summary'!AI$75+'00 Summary'!AI$77-'00 Summary'!AI$78-'00 Summary'!AI$80+MIN(MAX(0,'01 Major Assumptions'!$D$145*SUM('03 CAPEX &amp; Depreciation'!$F$110:$F$115)-SUM('03 CAPEX &amp; Depreciation'!$G$110:AH$115)),SUM('03 CAPEX &amp; Depreciation'!AI$110:AI$115)))))</f>
        <v>0</v>
      </c>
      <c r="AJ12" s="90">
        <f>MIN(MAX(0,'01 Major Assumptions'!$D$145*SUM('03 CAPEX &amp; Depreciation'!$F$110:$F$115)-SUM('03 CAPEX &amp; Depreciation'!$G$110:AI$115)),SUM('03 CAPEX &amp; Depreciation'!AJ$110:AJ$115))+IF('01 Major Assumptions'!AJ$15=1,0,MAX(0,'01 Major Assumptions'!$D$132-('00 Summary'!AI$85+'00 Summary'!AJ$72+'00 Summary'!AJ$75+'00 Summary'!AJ$77-'00 Summary'!AJ$78-'00 Summary'!AJ$80+MIN(MAX(0,'01 Major Assumptions'!$D$145*SUM('03 CAPEX &amp; Depreciation'!$F$110:$F$115)-SUM('03 CAPEX &amp; Depreciation'!$G$110:AI$115)),SUM('03 CAPEX &amp; Depreciation'!AJ$110:AJ$115)))))</f>
        <v>0</v>
      </c>
      <c r="AK12" s="90">
        <f>MIN(MAX(0,'01 Major Assumptions'!$D$145*SUM('03 CAPEX &amp; Depreciation'!$F$110:$F$115)-SUM('03 CAPEX &amp; Depreciation'!$G$110:AJ$115)),SUM('03 CAPEX &amp; Depreciation'!AK$110:AK$115))+IF('01 Major Assumptions'!AK$15=1,0,MAX(0,'01 Major Assumptions'!$D$132-('00 Summary'!AJ$85+'00 Summary'!AK$72+'00 Summary'!AK$75+'00 Summary'!AK$77-'00 Summary'!AK$78-'00 Summary'!AK$80+MIN(MAX(0,'01 Major Assumptions'!$D$145*SUM('03 CAPEX &amp; Depreciation'!$F$110:$F$115)-SUM('03 CAPEX &amp; Depreciation'!$G$110:AJ$115)),SUM('03 CAPEX &amp; Depreciation'!AK$110:AK$115)))))</f>
        <v>0</v>
      </c>
      <c r="AL12" s="90">
        <f>MIN(MAX(0,'01 Major Assumptions'!$D$145*SUM('03 CAPEX &amp; Depreciation'!$F$110:$F$115)-SUM('03 CAPEX &amp; Depreciation'!$G$110:AK$115)),SUM('03 CAPEX &amp; Depreciation'!AL$110:AL$115))+IF('01 Major Assumptions'!AL$15=1,0,MAX(0,'01 Major Assumptions'!$D$132-('00 Summary'!AK$85+'00 Summary'!AL$72+'00 Summary'!AL$75+'00 Summary'!AL$77-'00 Summary'!AL$78-'00 Summary'!AL$80+MIN(MAX(0,'01 Major Assumptions'!$D$145*SUM('03 CAPEX &amp; Depreciation'!$F$110:$F$115)-SUM('03 CAPEX &amp; Depreciation'!$G$110:AK$115)),SUM('03 CAPEX &amp; Depreciation'!AL$110:AL$115)))))</f>
        <v>0</v>
      </c>
      <c r="AM12" s="90">
        <f>MIN(MAX(0,'01 Major Assumptions'!$D$145*SUM('03 CAPEX &amp; Depreciation'!$F$110:$F$115)-SUM('03 CAPEX &amp; Depreciation'!$G$110:AL$115)),SUM('03 CAPEX &amp; Depreciation'!AM$110:AM$115))+IF('01 Major Assumptions'!AM$15=1,0,MAX(0,'01 Major Assumptions'!$D$132-('00 Summary'!AL$85+'00 Summary'!AM$72+'00 Summary'!AM$75+'00 Summary'!AM$77-'00 Summary'!AM$78-'00 Summary'!AM$80+MIN(MAX(0,'01 Major Assumptions'!$D$145*SUM('03 CAPEX &amp; Depreciation'!$F$110:$F$115)-SUM('03 CAPEX &amp; Depreciation'!$G$110:AL$115)),SUM('03 CAPEX &amp; Depreciation'!AM$110:AM$115)))))</f>
        <v>0</v>
      </c>
      <c r="AN12" s="90">
        <f>MIN(MAX(0,'01 Major Assumptions'!$D$145*SUM('03 CAPEX &amp; Depreciation'!$F$110:$F$115)-SUM('03 CAPEX &amp; Depreciation'!$G$110:AM$115)),SUM('03 CAPEX &amp; Depreciation'!AN$110:AN$115))+IF('01 Major Assumptions'!AN$15=1,0,MAX(0,'01 Major Assumptions'!$D$132-('00 Summary'!AM$85+'00 Summary'!AN$72+'00 Summary'!AN$75+'00 Summary'!AN$77-'00 Summary'!AN$78-'00 Summary'!AN$80+MIN(MAX(0,'01 Major Assumptions'!$D$145*SUM('03 CAPEX &amp; Depreciation'!$F$110:$F$115)-SUM('03 CAPEX &amp; Depreciation'!$G$110:AM$115)),SUM('03 CAPEX &amp; Depreciation'!AN$110:AN$115)))))</f>
        <v>0</v>
      </c>
      <c r="AO12" s="90">
        <f>MIN(MAX(0,'01 Major Assumptions'!$D$145*SUM('03 CAPEX &amp; Depreciation'!$F$110:$F$115)-SUM('03 CAPEX &amp; Depreciation'!$G$110:AN$115)),SUM('03 CAPEX &amp; Depreciation'!AO$110:AO$115))+IF('01 Major Assumptions'!AO$15=1,0,MAX(0,'01 Major Assumptions'!$D$132-('00 Summary'!AN$85+'00 Summary'!AO$72+'00 Summary'!AO$75+'00 Summary'!AO$77-'00 Summary'!AO$78-'00 Summary'!AO$80+MIN(MAX(0,'01 Major Assumptions'!$D$145*SUM('03 CAPEX &amp; Depreciation'!$F$110:$F$115)-SUM('03 CAPEX &amp; Depreciation'!$G$110:AN$115)),SUM('03 CAPEX &amp; Depreciation'!AO$110:AO$115)))))</f>
        <v>0</v>
      </c>
      <c r="AP12" s="90">
        <f>MIN(MAX(0,'01 Major Assumptions'!$D$145*SUM('03 CAPEX &amp; Depreciation'!$F$110:$F$115)-SUM('03 CAPEX &amp; Depreciation'!$G$110:AO$115)),SUM('03 CAPEX &amp; Depreciation'!AP$110:AP$115))+IF('01 Major Assumptions'!AP$15=1,0,MAX(0,'01 Major Assumptions'!$D$132-('00 Summary'!AO$85+'00 Summary'!AP$72+'00 Summary'!AP$75+'00 Summary'!AP$77-'00 Summary'!AP$78-'00 Summary'!AP$80+MIN(MAX(0,'01 Major Assumptions'!$D$145*SUM('03 CAPEX &amp; Depreciation'!$F$110:$F$115)-SUM('03 CAPEX &amp; Depreciation'!$G$110:AO$115)),SUM('03 CAPEX &amp; Depreciation'!AP$110:AP$115)))))</f>
        <v>0</v>
      </c>
      <c r="AQ12" s="90">
        <f>MIN(MAX(0,'01 Major Assumptions'!$D$145*SUM('03 CAPEX &amp; Depreciation'!$F$110:$F$115)-SUM('03 CAPEX &amp; Depreciation'!$G$110:AP$115)),SUM('03 CAPEX &amp; Depreciation'!AQ$110:AQ$115))+IF('01 Major Assumptions'!AQ$15=1,0,MAX(0,'01 Major Assumptions'!$D$132-('00 Summary'!AP$85+'00 Summary'!AQ$72+'00 Summary'!AQ$75+'00 Summary'!AQ$77-'00 Summary'!AQ$78-'00 Summary'!AQ$80+MIN(MAX(0,'01 Major Assumptions'!$D$145*SUM('03 CAPEX &amp; Depreciation'!$F$110:$F$115)-SUM('03 CAPEX &amp; Depreciation'!$G$110:AP$115)),SUM('03 CAPEX &amp; Depreciation'!AQ$110:AQ$115)))))</f>
        <v>0</v>
      </c>
      <c r="AR12" s="90">
        <f>MIN(MAX(0,'01 Major Assumptions'!$D$145*SUM('03 CAPEX &amp; Depreciation'!$F$110:$F$115)-SUM('03 CAPEX &amp; Depreciation'!$G$110:AQ$115)),SUM('03 CAPEX &amp; Depreciation'!AR$110:AR$115))+IF('01 Major Assumptions'!AR$15=1,0,MAX(0,'01 Major Assumptions'!$D$132-('00 Summary'!AQ$85+'00 Summary'!AR$72+'00 Summary'!AR$75+'00 Summary'!AR$77-'00 Summary'!AR$78-'00 Summary'!AR$80+MIN(MAX(0,'01 Major Assumptions'!$D$145*SUM('03 CAPEX &amp; Depreciation'!$F$110:$F$115)-SUM('03 CAPEX &amp; Depreciation'!$G$110:AQ$115)),SUM('03 CAPEX &amp; Depreciation'!AR$110:AR$115)))))</f>
        <v>0</v>
      </c>
      <c r="AS12" s="90">
        <f>MIN(MAX(0,'01 Major Assumptions'!$D$145*SUM('03 CAPEX &amp; Depreciation'!$F$110:$F$115)-SUM('03 CAPEX &amp; Depreciation'!$G$110:AR$115)),SUM('03 CAPEX &amp; Depreciation'!AS$110:AS$115))+IF('01 Major Assumptions'!AS$15=1,0,MAX(0,'01 Major Assumptions'!$D$132-('00 Summary'!AR$85+'00 Summary'!AS$72+'00 Summary'!AS$75+'00 Summary'!AS$77-'00 Summary'!AS$78-'00 Summary'!AS$80+MIN(MAX(0,'01 Major Assumptions'!$D$145*SUM('03 CAPEX &amp; Depreciation'!$F$110:$F$115)-SUM('03 CAPEX &amp; Depreciation'!$G$110:AR$115)),SUM('03 CAPEX &amp; Depreciation'!AS$110:AS$115)))))</f>
        <v>0</v>
      </c>
      <c r="AT12" s="90">
        <f>MIN(MAX(0,'01 Major Assumptions'!$D$145*SUM('03 CAPEX &amp; Depreciation'!$F$110:$F$115)-SUM('03 CAPEX &amp; Depreciation'!$G$110:AS$115)),SUM('03 CAPEX &amp; Depreciation'!AT$110:AT$115))+IF('01 Major Assumptions'!AT$15=1,0,MAX(0,'01 Major Assumptions'!$D$132-('00 Summary'!AS$85+'00 Summary'!AT$72+'00 Summary'!AT$75+'00 Summary'!AT$77-'00 Summary'!AT$78-'00 Summary'!AT$80+MIN(MAX(0,'01 Major Assumptions'!$D$145*SUM('03 CAPEX &amp; Depreciation'!$F$110:$F$115)-SUM('03 CAPEX &amp; Depreciation'!$G$110:AS$115)),SUM('03 CAPEX &amp; Depreciation'!AT$110:AT$115)))))</f>
        <v>0</v>
      </c>
      <c r="AU12" s="90">
        <f>MIN(MAX(0,'01 Major Assumptions'!$D$145*SUM('03 CAPEX &amp; Depreciation'!$F$110:$F$115)-SUM('03 CAPEX &amp; Depreciation'!$G$110:AT$115)),SUM('03 CAPEX &amp; Depreciation'!AU$110:AU$115))+IF('01 Major Assumptions'!AU$15=1,0,MAX(0,'01 Major Assumptions'!$D$132-('00 Summary'!AT$85+'00 Summary'!AU$72+'00 Summary'!AU$75+'00 Summary'!AU$77-'00 Summary'!AU$78-'00 Summary'!AU$80+MIN(MAX(0,'01 Major Assumptions'!$D$145*SUM('03 CAPEX &amp; Depreciation'!$F$110:$F$115)-SUM('03 CAPEX &amp; Depreciation'!$G$110:AT$115)),SUM('03 CAPEX &amp; Depreciation'!AU$110:AU$115)))))</f>
        <v>0</v>
      </c>
      <c r="AV12" s="90">
        <f>MIN(MAX(0,'01 Major Assumptions'!$D$145*SUM('03 CAPEX &amp; Depreciation'!$F$110:$F$115)-SUM('03 CAPEX &amp; Depreciation'!$G$110:AU$115)),SUM('03 CAPEX &amp; Depreciation'!AV$110:AV$115))+IF('01 Major Assumptions'!AV$15=1,0,MAX(0,'01 Major Assumptions'!$D$132-('00 Summary'!AU$85+'00 Summary'!AV$72+'00 Summary'!AV$75+'00 Summary'!AV$77-'00 Summary'!AV$78-'00 Summary'!AV$80+MIN(MAX(0,'01 Major Assumptions'!$D$145*SUM('03 CAPEX &amp; Depreciation'!$F$110:$F$115)-SUM('03 CAPEX &amp; Depreciation'!$G$110:AU$115)),SUM('03 CAPEX &amp; Depreciation'!AV$110:AV$115)))))</f>
        <v>0</v>
      </c>
      <c r="AW12" s="90">
        <f>MIN(MAX(0,'01 Major Assumptions'!$D$145*SUM('03 CAPEX &amp; Depreciation'!$F$110:$F$115)-SUM('03 CAPEX &amp; Depreciation'!$G$110:AV$115)),SUM('03 CAPEX &amp; Depreciation'!AW$110:AW$115))+IF('01 Major Assumptions'!AW$15=1,0,MAX(0,'01 Major Assumptions'!$D$132-('00 Summary'!AV$85+'00 Summary'!AW$72+'00 Summary'!AW$75+'00 Summary'!AW$77-'00 Summary'!AW$78-'00 Summary'!AW$80+MIN(MAX(0,'01 Major Assumptions'!$D$145*SUM('03 CAPEX &amp; Depreciation'!$F$110:$F$115)-SUM('03 CAPEX &amp; Depreciation'!$G$110:AV$115)),SUM('03 CAPEX &amp; Depreciation'!AW$110:AW$115)))))</f>
        <v>0</v>
      </c>
      <c r="AX12" s="90">
        <f>MIN(MAX(0,'01 Major Assumptions'!$D$145*SUM('03 CAPEX &amp; Depreciation'!$F$110:$F$115)-SUM('03 CAPEX &amp; Depreciation'!$G$110:AW$115)),SUM('03 CAPEX &amp; Depreciation'!AX$110:AX$115))+IF('01 Major Assumptions'!AX$15=1,0,MAX(0,'01 Major Assumptions'!$D$132-('00 Summary'!AW$85+'00 Summary'!AX$72+'00 Summary'!AX$75+'00 Summary'!AX$77-'00 Summary'!AX$78-'00 Summary'!AX$80+MIN(MAX(0,'01 Major Assumptions'!$D$145*SUM('03 CAPEX &amp; Depreciation'!$F$110:$F$115)-SUM('03 CAPEX &amp; Depreciation'!$G$110:AW$115)),SUM('03 CAPEX &amp; Depreciation'!AX$110:AX$115)))))</f>
        <v>0</v>
      </c>
      <c r="AY12" s="90">
        <f>MIN(MAX(0,'01 Major Assumptions'!$D$145*SUM('03 CAPEX &amp; Depreciation'!$F$110:$F$115)-SUM('03 CAPEX &amp; Depreciation'!$G$110:AX$115)),SUM('03 CAPEX &amp; Depreciation'!AY$110:AY$115))+IF('01 Major Assumptions'!AY$15=1,0,MAX(0,'01 Major Assumptions'!$D$132-('00 Summary'!AX$85+'00 Summary'!AY$72+'00 Summary'!AY$75+'00 Summary'!AY$77-'00 Summary'!AY$78-'00 Summary'!AY$80+MIN(MAX(0,'01 Major Assumptions'!$D$145*SUM('03 CAPEX &amp; Depreciation'!$F$110:$F$115)-SUM('03 CAPEX &amp; Depreciation'!$G$110:AX$115)),SUM('03 CAPEX &amp; Depreciation'!AY$110:AY$115)))))</f>
        <v>0</v>
      </c>
      <c r="AZ12" s="90">
        <f>MIN(MAX(0,'01 Major Assumptions'!$D$145*SUM('03 CAPEX &amp; Depreciation'!$F$110:$F$115)-SUM('03 CAPEX &amp; Depreciation'!$G$110:AY$115)),SUM('03 CAPEX &amp; Depreciation'!AZ$110:AZ$115))+IF('01 Major Assumptions'!AZ$15=1,0,MAX(0,'01 Major Assumptions'!$D$132-('00 Summary'!AY$85+'00 Summary'!AZ$72+'00 Summary'!AZ$75+'00 Summary'!AZ$77-'00 Summary'!AZ$78-'00 Summary'!AZ$80+MIN(MAX(0,'01 Major Assumptions'!$D$145*SUM('03 CAPEX &amp; Depreciation'!$F$110:$F$115)-SUM('03 CAPEX &amp; Depreciation'!$G$110:AY$115)),SUM('03 CAPEX &amp; Depreciation'!AZ$110:AZ$115)))))</f>
        <v>0</v>
      </c>
      <c r="BA12" s="90">
        <f>MIN(MAX(0,'01 Major Assumptions'!$D$145*SUM('03 CAPEX &amp; Depreciation'!$F$110:$F$115)-SUM('03 CAPEX &amp; Depreciation'!$G$110:AZ$115)),SUM('03 CAPEX &amp; Depreciation'!BA$110:BA$115))+IF('01 Major Assumptions'!BA$15=1,0,MAX(0,'01 Major Assumptions'!$D$132-('00 Summary'!AZ$85+'00 Summary'!BA$72+'00 Summary'!BA$75+'00 Summary'!BA$77-'00 Summary'!BA$78-'00 Summary'!BA$80+MIN(MAX(0,'01 Major Assumptions'!$D$145*SUM('03 CAPEX &amp; Depreciation'!$F$110:$F$115)-SUM('03 CAPEX &amp; Depreciation'!$G$110:AZ$115)),SUM('03 CAPEX &amp; Depreciation'!BA$110:BA$115)))))</f>
        <v>0</v>
      </c>
      <c r="BB12" s="90">
        <f>MIN(MAX(0,'01 Major Assumptions'!$D$145*SUM('03 CAPEX &amp; Depreciation'!$F$110:$F$115)-SUM('03 CAPEX &amp; Depreciation'!$G$110:BA$115)),SUM('03 CAPEX &amp; Depreciation'!BB$110:BB$115))+IF('01 Major Assumptions'!BB$15=1,0,MAX(0,'01 Major Assumptions'!$D$132-('00 Summary'!BA$85+'00 Summary'!BB$72+'00 Summary'!BB$75+'00 Summary'!BB$77-'00 Summary'!BB$78-'00 Summary'!BB$80+MIN(MAX(0,'01 Major Assumptions'!$D$145*SUM('03 CAPEX &amp; Depreciation'!$F$110:$F$115)-SUM('03 CAPEX &amp; Depreciation'!$G$110:BA$115)),SUM('03 CAPEX &amp; Depreciation'!BB$110:BB$115)))))</f>
        <v>0</v>
      </c>
      <c r="BC12" s="90">
        <f>MIN(MAX(0,'01 Major Assumptions'!$D$145*SUM('03 CAPEX &amp; Depreciation'!$F$110:$F$115)-SUM('03 CAPEX &amp; Depreciation'!$G$110:BB$115)),SUM('03 CAPEX &amp; Depreciation'!BC$110:BC$115))+IF('01 Major Assumptions'!BC$15=1,0,MAX(0,'01 Major Assumptions'!$D$132-('00 Summary'!BB$85+'00 Summary'!BC$72+'00 Summary'!BC$75+'00 Summary'!BC$77-'00 Summary'!BC$78-'00 Summary'!BC$80+MIN(MAX(0,'01 Major Assumptions'!$D$145*SUM('03 CAPEX &amp; Depreciation'!$F$110:$F$115)-SUM('03 CAPEX &amp; Depreciation'!$G$110:BB$115)),SUM('03 CAPEX &amp; Depreciation'!BC$110:BC$115)))))</f>
        <v>0</v>
      </c>
      <c r="BD12" s="90">
        <f>MIN(MAX(0,'01 Major Assumptions'!$D$145*SUM('03 CAPEX &amp; Depreciation'!$F$110:$F$115)-SUM('03 CAPEX &amp; Depreciation'!$G$110:BC$115)),SUM('03 CAPEX &amp; Depreciation'!BD$110:BD$115))+IF('01 Major Assumptions'!BD$15=1,0,MAX(0,'01 Major Assumptions'!$D$132-('00 Summary'!BC$85+'00 Summary'!BD$72+'00 Summary'!BD$75+'00 Summary'!BD$77-'00 Summary'!BD$78-'00 Summary'!BD$80+MIN(MAX(0,'01 Major Assumptions'!$D$145*SUM('03 CAPEX &amp; Depreciation'!$F$110:$F$115)-SUM('03 CAPEX &amp; Depreciation'!$G$110:BC$115)),SUM('03 CAPEX &amp; Depreciation'!BD$110:BD$115)))))</f>
        <v>0</v>
      </c>
      <c r="BE12" s="90">
        <f>MIN(MAX(0,'01 Major Assumptions'!$D$145*SUM('03 CAPEX &amp; Depreciation'!$F$110:$F$115)-SUM('03 CAPEX &amp; Depreciation'!$G$110:BD$115)),SUM('03 CAPEX &amp; Depreciation'!BE$110:BE$115))+IF('01 Major Assumptions'!BE$15=1,0,MAX(0,'01 Major Assumptions'!$D$132-('00 Summary'!BD$85+'00 Summary'!BE$72+'00 Summary'!BE$75+'00 Summary'!BE$77-'00 Summary'!BE$78-'00 Summary'!BE$80+MIN(MAX(0,'01 Major Assumptions'!$D$145*SUM('03 CAPEX &amp; Depreciation'!$F$110:$F$115)-SUM('03 CAPEX &amp; Depreciation'!$G$110:BD$115)),SUM('03 CAPEX &amp; Depreciation'!BE$110:BE$115)))))</f>
        <v>0</v>
      </c>
      <c r="BF12" s="90">
        <f>MIN(MAX(0,'01 Major Assumptions'!$D$145*SUM('03 CAPEX &amp; Depreciation'!$F$110:$F$115)-SUM('03 CAPEX &amp; Depreciation'!$G$110:BE$115)),SUM('03 CAPEX &amp; Depreciation'!BF$110:BF$115))+IF('01 Major Assumptions'!BF$15=1,0,MAX(0,'01 Major Assumptions'!$D$132-('00 Summary'!BE$85+'00 Summary'!BF$72+'00 Summary'!BF$75+'00 Summary'!BF$77-'00 Summary'!BF$78-'00 Summary'!BF$80+MIN(MAX(0,'01 Major Assumptions'!$D$145*SUM('03 CAPEX &amp; Depreciation'!$F$110:$F$115)-SUM('03 CAPEX &amp; Depreciation'!$G$110:BE$115)),SUM('03 CAPEX &amp; Depreciation'!BF$110:BF$115)))))</f>
        <v>0</v>
      </c>
      <c r="BG12" s="90">
        <f>MIN(MAX(0,'01 Major Assumptions'!$D$145*SUM('03 CAPEX &amp; Depreciation'!$F$110:$F$115)-SUM('03 CAPEX &amp; Depreciation'!$G$110:BF$115)),SUM('03 CAPEX &amp; Depreciation'!BG$110:BG$115))+IF('01 Major Assumptions'!BG$15=1,0,MAX(0,'01 Major Assumptions'!$D$132-('00 Summary'!BF$85+'00 Summary'!BG$72+'00 Summary'!BG$75+'00 Summary'!BG$77-'00 Summary'!BG$78-'00 Summary'!BG$80+MIN(MAX(0,'01 Major Assumptions'!$D$145*SUM('03 CAPEX &amp; Depreciation'!$F$110:$F$115)-SUM('03 CAPEX &amp; Depreciation'!$G$110:BF$115)),SUM('03 CAPEX &amp; Depreciation'!BG$110:BG$115)))))</f>
        <v>0</v>
      </c>
      <c r="BH12" s="90">
        <f>MIN(MAX(0,'01 Major Assumptions'!$D$145*SUM('03 CAPEX &amp; Depreciation'!$F$110:$F$115)-SUM('03 CAPEX &amp; Depreciation'!$G$110:BG$115)),SUM('03 CAPEX &amp; Depreciation'!BH$110:BH$115))+IF('01 Major Assumptions'!BH$15=1,0,MAX(0,'01 Major Assumptions'!$D$132-('00 Summary'!BG$85+'00 Summary'!BH$72+'00 Summary'!BH$75+'00 Summary'!BH$77-'00 Summary'!BH$78-'00 Summary'!BH$80+MIN(MAX(0,'01 Major Assumptions'!$D$145*SUM('03 CAPEX &amp; Depreciation'!$F$110:$F$115)-SUM('03 CAPEX &amp; Depreciation'!$G$110:BG$115)),SUM('03 CAPEX &amp; Depreciation'!BH$110:BH$115)))))</f>
        <v>0</v>
      </c>
      <c r="BI12" s="90">
        <f>MIN(MAX(0,'01 Major Assumptions'!$D$145*SUM('03 CAPEX &amp; Depreciation'!$F$110:$F$115)-SUM('03 CAPEX &amp; Depreciation'!$G$110:BH$115)),SUM('03 CAPEX &amp; Depreciation'!BI$110:BI$115))+IF('01 Major Assumptions'!BI$15=1,0,MAX(0,'01 Major Assumptions'!$D$132-('00 Summary'!BH$85+'00 Summary'!BI$72+'00 Summary'!BI$75+'00 Summary'!BI$77-'00 Summary'!BI$78-'00 Summary'!BI$80+MIN(MAX(0,'01 Major Assumptions'!$D$145*SUM('03 CAPEX &amp; Depreciation'!$F$110:$F$115)-SUM('03 CAPEX &amp; Depreciation'!$G$110:BH$115)),SUM('03 CAPEX &amp; Depreciation'!BI$110:BI$115)))))</f>
        <v>0</v>
      </c>
      <c r="BJ12" s="90">
        <f>MIN(MAX(0,'01 Major Assumptions'!$D$145*SUM('03 CAPEX &amp; Depreciation'!$F$110:$F$115)-SUM('03 CAPEX &amp; Depreciation'!$G$110:BI$115)),SUM('03 CAPEX &amp; Depreciation'!BJ$110:BJ$115))+IF('01 Major Assumptions'!BJ$15=1,0,MAX(0,'01 Major Assumptions'!$D$132-('00 Summary'!BI$85+'00 Summary'!BJ$72+'00 Summary'!BJ$75+'00 Summary'!BJ$77-'00 Summary'!BJ$78-'00 Summary'!BJ$80+MIN(MAX(0,'01 Major Assumptions'!$D$145*SUM('03 CAPEX &amp; Depreciation'!$F$110:$F$115)-SUM('03 CAPEX &amp; Depreciation'!$G$110:BI$115)),SUM('03 CAPEX &amp; Depreciation'!BJ$110:BJ$115)))))</f>
        <v>0</v>
      </c>
      <c r="BK12" s="90">
        <f>MIN(MAX(0,'01 Major Assumptions'!$D$145*SUM('03 CAPEX &amp; Depreciation'!$F$110:$F$115)-SUM('03 CAPEX &amp; Depreciation'!$G$110:BJ$115)),SUM('03 CAPEX &amp; Depreciation'!BK$110:BK$115))+IF('01 Major Assumptions'!BK$15=1,0,MAX(0,'01 Major Assumptions'!$D$132-('00 Summary'!BJ$85+'00 Summary'!BK$72+'00 Summary'!BK$75+'00 Summary'!BK$77-'00 Summary'!BK$78-'00 Summary'!BK$80+MIN(MAX(0,'01 Major Assumptions'!$D$145*SUM('03 CAPEX &amp; Depreciation'!$F$110:$F$115)-SUM('03 CAPEX &amp; Depreciation'!$G$110:BJ$115)),SUM('03 CAPEX &amp; Depreciation'!BK$110:BK$115)))))</f>
        <v>0</v>
      </c>
      <c r="BL12" s="90">
        <f>MIN(MAX(0,'01 Major Assumptions'!$D$145*SUM('03 CAPEX &amp; Depreciation'!$F$110:$F$115)-SUM('03 CAPEX &amp; Depreciation'!$G$110:BK$115)),SUM('03 CAPEX &amp; Depreciation'!BL$110:BL$115))+IF('01 Major Assumptions'!BL$15=1,0,MAX(0,'01 Major Assumptions'!$D$132-('00 Summary'!BK$85+'00 Summary'!BL$72+'00 Summary'!BL$75+'00 Summary'!BL$77-'00 Summary'!BL$78-'00 Summary'!BL$80+MIN(MAX(0,'01 Major Assumptions'!$D$145*SUM('03 CAPEX &amp; Depreciation'!$F$110:$F$115)-SUM('03 CAPEX &amp; Depreciation'!$G$110:BK$115)),SUM('03 CAPEX &amp; Depreciation'!BL$110:BL$115)))))</f>
        <v>0</v>
      </c>
      <c r="BM12" s="90">
        <f>MIN(MAX(0,'01 Major Assumptions'!$D$145*SUM('03 CAPEX &amp; Depreciation'!$F$110:$F$115)-SUM('03 CAPEX &amp; Depreciation'!$G$110:BL$115)),SUM('03 CAPEX &amp; Depreciation'!BM$110:BM$115))+IF('01 Major Assumptions'!BM$15=1,0,MAX(0,'01 Major Assumptions'!$D$132-('00 Summary'!BL$85+'00 Summary'!BM$72+'00 Summary'!BM$75+'00 Summary'!BM$77-'00 Summary'!BM$78-'00 Summary'!BM$80+MIN(MAX(0,'01 Major Assumptions'!$D$145*SUM('03 CAPEX &amp; Depreciation'!$F$110:$F$115)-SUM('03 CAPEX &amp; Depreciation'!$G$110:BL$115)),SUM('03 CAPEX &amp; Depreciation'!BM$110:BM$115)))))</f>
        <v>0</v>
      </c>
      <c r="BN12" s="90">
        <f>MIN(MAX(0,'01 Major Assumptions'!$D$145*SUM('03 CAPEX &amp; Depreciation'!$F$110:$F$115)-SUM('03 CAPEX &amp; Depreciation'!$G$110:BM$115)),SUM('03 CAPEX &amp; Depreciation'!BN$110:BN$115))+IF('01 Major Assumptions'!BN$15=1,0,MAX(0,'01 Major Assumptions'!$D$132-('00 Summary'!BM$85+'00 Summary'!BN$72+'00 Summary'!BN$75+'00 Summary'!BN$77-'00 Summary'!BN$78-'00 Summary'!BN$80+MIN(MAX(0,'01 Major Assumptions'!$D$145*SUM('03 CAPEX &amp; Depreciation'!$F$110:$F$115)-SUM('03 CAPEX &amp; Depreciation'!$G$110:BM$115)),SUM('03 CAPEX &amp; Depreciation'!BN$110:BN$115)))))</f>
        <v>0</v>
      </c>
      <c r="BO12" s="90">
        <f>MIN(MAX(0,'01 Major Assumptions'!$D$145*SUM('03 CAPEX &amp; Depreciation'!$F$110:$F$115)-SUM('03 CAPEX &amp; Depreciation'!$G$110:BN$115)),SUM('03 CAPEX &amp; Depreciation'!BO$110:BO$115))+IF('01 Major Assumptions'!BO$15=1,0,MAX(0,'01 Major Assumptions'!$D$132-('00 Summary'!BN$85+'00 Summary'!BO$72+'00 Summary'!BO$75+'00 Summary'!BO$77-'00 Summary'!BO$78-'00 Summary'!BO$80+MIN(MAX(0,'01 Major Assumptions'!$D$145*SUM('03 CAPEX &amp; Depreciation'!$F$110:$F$115)-SUM('03 CAPEX &amp; Depreciation'!$G$110:BN$115)),SUM('03 CAPEX &amp; Depreciation'!BO$110:BO$115)))))</f>
        <v>0</v>
      </c>
    </row>
    <row r="13" spans="1:67">
      <c r="A13" s="11"/>
      <c r="B13" s="11"/>
      <c r="C13" s="11" t="s">
        <v>451</v>
      </c>
      <c r="D13" s="33"/>
      <c r="E13" s="10" t="s">
        <v>13</v>
      </c>
      <c r="F13" s="10"/>
      <c r="G13" s="90">
        <f>G11</f>
        <v>0</v>
      </c>
      <c r="H13" s="90">
        <f>G13+H11</f>
        <v>0</v>
      </c>
      <c r="I13" s="90">
        <f t="shared" ref="I13:BI13" si="2">H13+I11</f>
        <v>0</v>
      </c>
      <c r="J13" s="90">
        <f t="shared" si="2"/>
        <v>0</v>
      </c>
      <c r="K13" s="90">
        <f t="shared" si="2"/>
        <v>0</v>
      </c>
      <c r="L13" s="90">
        <f t="shared" si="2"/>
        <v>0</v>
      </c>
      <c r="M13" s="90">
        <f t="shared" si="2"/>
        <v>0</v>
      </c>
      <c r="N13" s="90">
        <f t="shared" si="2"/>
        <v>0</v>
      </c>
      <c r="O13" s="90">
        <f t="shared" si="2"/>
        <v>0</v>
      </c>
      <c r="P13" s="90">
        <f t="shared" si="2"/>
        <v>0</v>
      </c>
      <c r="Q13" s="90">
        <f t="shared" si="2"/>
        <v>62863981.617646933</v>
      </c>
      <c r="R13" s="90">
        <f t="shared" si="2"/>
        <v>128987486.27297781</v>
      </c>
      <c r="S13" s="90">
        <f t="shared" si="2"/>
        <v>196135826.57852507</v>
      </c>
      <c r="T13" s="90">
        <f t="shared" si="2"/>
        <v>263647887.06072736</v>
      </c>
      <c r="U13" s="90">
        <f t="shared" si="2"/>
        <v>331525637.87054157</v>
      </c>
      <c r="V13" s="90">
        <f t="shared" si="2"/>
        <v>399771059.83057564</v>
      </c>
      <c r="W13" s="90">
        <f t="shared" si="2"/>
        <v>468386144.49289322</v>
      </c>
      <c r="X13" s="90">
        <f t="shared" si="2"/>
        <v>537372894.19713163</v>
      </c>
      <c r="Y13" s="90">
        <f t="shared" si="2"/>
        <v>606733322.12893474</v>
      </c>
      <c r="Z13" s="90">
        <f t="shared" si="2"/>
        <v>676469452.37870181</v>
      </c>
      <c r="AA13" s="90">
        <f t="shared" si="2"/>
        <v>747046320.00065506</v>
      </c>
      <c r="AB13" s="90">
        <f t="shared" si="2"/>
        <v>747046320.00065506</v>
      </c>
      <c r="AC13" s="90">
        <f t="shared" si="2"/>
        <v>747046320.00065506</v>
      </c>
      <c r="AD13" s="90">
        <f t="shared" si="2"/>
        <v>747046320.00065506</v>
      </c>
      <c r="AE13" s="90">
        <f t="shared" si="2"/>
        <v>747046320.00065506</v>
      </c>
      <c r="AF13" s="90">
        <f t="shared" si="2"/>
        <v>747046320.00065506</v>
      </c>
      <c r="AG13" s="90">
        <f t="shared" si="2"/>
        <v>747046320.00065506</v>
      </c>
      <c r="AH13" s="90">
        <f t="shared" si="2"/>
        <v>747046320.00065506</v>
      </c>
      <c r="AI13" s="90">
        <f t="shared" si="2"/>
        <v>747046320.00065506</v>
      </c>
      <c r="AJ13" s="90">
        <f t="shared" si="2"/>
        <v>747046320.00065506</v>
      </c>
      <c r="AK13" s="90">
        <f t="shared" si="2"/>
        <v>747046320.00065506</v>
      </c>
      <c r="AL13" s="90">
        <f t="shared" si="2"/>
        <v>747046320.00065506</v>
      </c>
      <c r="AM13" s="90">
        <f t="shared" si="2"/>
        <v>747046320.00065506</v>
      </c>
      <c r="AN13" s="90">
        <f t="shared" si="2"/>
        <v>747046320.00065506</v>
      </c>
      <c r="AO13" s="90">
        <f t="shared" si="2"/>
        <v>747046320.00065506</v>
      </c>
      <c r="AP13" s="90">
        <f t="shared" si="2"/>
        <v>747046320.00065506</v>
      </c>
      <c r="AQ13" s="90">
        <f t="shared" si="2"/>
        <v>747046320.00065506</v>
      </c>
      <c r="AR13" s="90">
        <f t="shared" si="2"/>
        <v>747046320.00065506</v>
      </c>
      <c r="AS13" s="90">
        <f t="shared" si="2"/>
        <v>747046320.00065506</v>
      </c>
      <c r="AT13" s="90">
        <f t="shared" si="2"/>
        <v>747046320.00065506</v>
      </c>
      <c r="AU13" s="90">
        <f t="shared" si="2"/>
        <v>747046320.00065506</v>
      </c>
      <c r="AV13" s="90">
        <f t="shared" si="2"/>
        <v>747046320.00065506</v>
      </c>
      <c r="AW13" s="90">
        <f t="shared" si="2"/>
        <v>747046320.00065506</v>
      </c>
      <c r="AX13" s="90">
        <f t="shared" si="2"/>
        <v>747046320.00065506</v>
      </c>
      <c r="AY13" s="90">
        <f t="shared" si="2"/>
        <v>747046320.00065506</v>
      </c>
      <c r="AZ13" s="90">
        <f t="shared" si="2"/>
        <v>747046320.00065506</v>
      </c>
      <c r="BA13" s="90">
        <f t="shared" si="2"/>
        <v>747046320.00065506</v>
      </c>
      <c r="BB13" s="90">
        <f t="shared" si="2"/>
        <v>747046320.00065506</v>
      </c>
      <c r="BC13" s="90">
        <f t="shared" si="2"/>
        <v>747046320.00065506</v>
      </c>
      <c r="BD13" s="90">
        <f t="shared" si="2"/>
        <v>747046320.00065506</v>
      </c>
      <c r="BE13" s="90">
        <f t="shared" si="2"/>
        <v>747046320.00065506</v>
      </c>
      <c r="BF13" s="90">
        <f t="shared" si="2"/>
        <v>747046320.00065506</v>
      </c>
      <c r="BG13" s="90">
        <f t="shared" si="2"/>
        <v>747046320.00065506</v>
      </c>
      <c r="BH13" s="90">
        <f t="shared" si="2"/>
        <v>747046320.00065506</v>
      </c>
      <c r="BI13" s="90">
        <f t="shared" si="2"/>
        <v>747046320.00065506</v>
      </c>
      <c r="BJ13" s="90">
        <f t="shared" ref="BJ13:BO13" si="3">BI13+BJ11</f>
        <v>747046320.00065506</v>
      </c>
      <c r="BK13" s="90">
        <f t="shared" si="3"/>
        <v>747046320.00065506</v>
      </c>
      <c r="BL13" s="90">
        <f t="shared" si="3"/>
        <v>747046320.00065506</v>
      </c>
      <c r="BM13" s="90">
        <f t="shared" si="3"/>
        <v>747046320.00065506</v>
      </c>
      <c r="BN13" s="90">
        <f t="shared" si="3"/>
        <v>747046320.00065506</v>
      </c>
      <c r="BO13" s="90">
        <f t="shared" si="3"/>
        <v>747046320.00065506</v>
      </c>
    </row>
    <row r="14" spans="1:67">
      <c r="A14" s="11"/>
      <c r="B14" s="11"/>
      <c r="C14" s="11" t="s">
        <v>452</v>
      </c>
      <c r="D14" s="33"/>
      <c r="E14" s="10" t="s">
        <v>13</v>
      </c>
      <c r="F14" s="10"/>
      <c r="G14" s="90">
        <f>G12</f>
        <v>23922220.516129032</v>
      </c>
      <c r="H14" s="90">
        <f>G14+H12</f>
        <v>47648777.428571433</v>
      </c>
      <c r="I14" s="90">
        <f t="shared" ref="I14:BI14" si="4">H14+I12</f>
        <v>71445820.516129032</v>
      </c>
      <c r="J14" s="90">
        <f t="shared" si="4"/>
        <v>341326656</v>
      </c>
      <c r="K14" s="90">
        <f t="shared" si="4"/>
        <v>396405891.10436434</v>
      </c>
      <c r="L14" s="90">
        <f t="shared" si="4"/>
        <v>451463197.17647058</v>
      </c>
      <c r="M14" s="90">
        <f t="shared" si="4"/>
        <v>506552432.28083491</v>
      </c>
      <c r="N14" s="90">
        <f t="shared" si="4"/>
        <v>561630702.86907017</v>
      </c>
      <c r="O14" s="90">
        <f t="shared" si="4"/>
        <v>616698008.94117641</v>
      </c>
      <c r="P14" s="90">
        <f t="shared" si="4"/>
        <v>682554122.40575576</v>
      </c>
      <c r="Q14" s="90">
        <f t="shared" si="4"/>
        <v>706993193.5</v>
      </c>
      <c r="R14" s="90">
        <f t="shared" si="4"/>
        <v>707456309.89784944</v>
      </c>
      <c r="S14" s="90">
        <f t="shared" si="4"/>
        <v>708160748.7275269</v>
      </c>
      <c r="T14" s="90">
        <f t="shared" si="4"/>
        <v>708685266.45908046</v>
      </c>
      <c r="U14" s="90">
        <f t="shared" si="4"/>
        <v>709947891.26516128</v>
      </c>
      <c r="V14" s="90">
        <f t="shared" si="4"/>
        <v>711091579.87</v>
      </c>
      <c r="W14" s="90">
        <f t="shared" si="4"/>
        <v>712422913.43989253</v>
      </c>
      <c r="X14" s="90">
        <f t="shared" si="4"/>
        <v>713672301.03666675</v>
      </c>
      <c r="Y14" s="90">
        <f t="shared" si="4"/>
        <v>714992881.91838717</v>
      </c>
      <c r="Z14" s="90">
        <f t="shared" si="4"/>
        <v>716272840.35118294</v>
      </c>
      <c r="AA14" s="90">
        <f t="shared" si="4"/>
        <v>717388700.28601158</v>
      </c>
      <c r="AB14" s="90">
        <f t="shared" si="4"/>
        <v>717388700.28601158</v>
      </c>
      <c r="AC14" s="90">
        <f t="shared" si="4"/>
        <v>717388700.28601158</v>
      </c>
      <c r="AD14" s="90">
        <f t="shared" si="4"/>
        <v>717388700.28601158</v>
      </c>
      <c r="AE14" s="90">
        <f t="shared" si="4"/>
        <v>717388700.28601158</v>
      </c>
      <c r="AF14" s="90">
        <f t="shared" si="4"/>
        <v>717388700.28601158</v>
      </c>
      <c r="AG14" s="90">
        <f t="shared" si="4"/>
        <v>717388700.28601158</v>
      </c>
      <c r="AH14" s="90">
        <f t="shared" si="4"/>
        <v>717388700.28601158</v>
      </c>
      <c r="AI14" s="90">
        <f t="shared" si="4"/>
        <v>717388700.28601158</v>
      </c>
      <c r="AJ14" s="90">
        <f t="shared" si="4"/>
        <v>717388700.28601158</v>
      </c>
      <c r="AK14" s="90">
        <f t="shared" si="4"/>
        <v>717388700.28601158</v>
      </c>
      <c r="AL14" s="90">
        <f t="shared" si="4"/>
        <v>717388700.28601158</v>
      </c>
      <c r="AM14" s="90">
        <f t="shared" si="4"/>
        <v>717388700.28601158</v>
      </c>
      <c r="AN14" s="90">
        <f t="shared" si="4"/>
        <v>717388700.28601158</v>
      </c>
      <c r="AO14" s="90">
        <f t="shared" si="4"/>
        <v>717388700.28601158</v>
      </c>
      <c r="AP14" s="90">
        <f t="shared" si="4"/>
        <v>717388700.28601158</v>
      </c>
      <c r="AQ14" s="90">
        <f t="shared" si="4"/>
        <v>717388700.28601158</v>
      </c>
      <c r="AR14" s="90">
        <f t="shared" si="4"/>
        <v>717388700.28601158</v>
      </c>
      <c r="AS14" s="90">
        <f t="shared" si="4"/>
        <v>717388700.28601158</v>
      </c>
      <c r="AT14" s="90">
        <f t="shared" si="4"/>
        <v>717388700.28601158</v>
      </c>
      <c r="AU14" s="90">
        <f t="shared" si="4"/>
        <v>717388700.28601158</v>
      </c>
      <c r="AV14" s="90">
        <f t="shared" si="4"/>
        <v>717388700.28601158</v>
      </c>
      <c r="AW14" s="90">
        <f t="shared" si="4"/>
        <v>717388700.28601158</v>
      </c>
      <c r="AX14" s="90">
        <f t="shared" si="4"/>
        <v>717388700.28601158</v>
      </c>
      <c r="AY14" s="90">
        <f t="shared" si="4"/>
        <v>717388700.28601158</v>
      </c>
      <c r="AZ14" s="90">
        <f t="shared" si="4"/>
        <v>717388700.28601158</v>
      </c>
      <c r="BA14" s="90">
        <f t="shared" si="4"/>
        <v>717388700.28601158</v>
      </c>
      <c r="BB14" s="90">
        <f t="shared" si="4"/>
        <v>717388700.28601158</v>
      </c>
      <c r="BC14" s="90">
        <f t="shared" si="4"/>
        <v>717388700.28601158</v>
      </c>
      <c r="BD14" s="90">
        <f t="shared" si="4"/>
        <v>717388700.28601158</v>
      </c>
      <c r="BE14" s="90">
        <f t="shared" si="4"/>
        <v>717388700.28601158</v>
      </c>
      <c r="BF14" s="90">
        <f t="shared" si="4"/>
        <v>717388700.28601158</v>
      </c>
      <c r="BG14" s="90">
        <f t="shared" si="4"/>
        <v>717388700.28601158</v>
      </c>
      <c r="BH14" s="90">
        <f t="shared" si="4"/>
        <v>717388700.28601158</v>
      </c>
      <c r="BI14" s="90">
        <f t="shared" si="4"/>
        <v>717388700.28601158</v>
      </c>
      <c r="BJ14" s="90">
        <f t="shared" ref="BJ14:BO14" si="5">BI14+BJ12</f>
        <v>717388700.28601158</v>
      </c>
      <c r="BK14" s="90">
        <f t="shared" si="5"/>
        <v>717388700.28601158</v>
      </c>
      <c r="BL14" s="90">
        <f t="shared" si="5"/>
        <v>717388700.28601158</v>
      </c>
      <c r="BM14" s="90">
        <f t="shared" si="5"/>
        <v>717388700.28601158</v>
      </c>
      <c r="BN14" s="90">
        <f t="shared" si="5"/>
        <v>717388700.28601158</v>
      </c>
      <c r="BO14" s="90">
        <f t="shared" si="5"/>
        <v>717388700.28601158</v>
      </c>
    </row>
    <row r="15" spans="1:67">
      <c r="A15" s="11"/>
      <c r="B15" s="11"/>
      <c r="C15" s="11"/>
      <c r="D15" s="33"/>
      <c r="E15" s="43"/>
      <c r="F15" s="4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row>
    <row r="16" spans="1:67">
      <c r="A16" s="18" t="s">
        <v>453</v>
      </c>
      <c r="B16" s="18"/>
      <c r="C16" s="18"/>
      <c r="D16" s="39"/>
      <c r="E16" s="39"/>
      <c r="F16" s="39"/>
      <c r="G16" s="40"/>
      <c r="H16" s="40"/>
      <c r="I16" s="40"/>
      <c r="J16" s="40"/>
      <c r="K16" s="40"/>
      <c r="L16" s="40"/>
      <c r="M16" s="40"/>
      <c r="N16" s="40"/>
      <c r="O16" s="40"/>
      <c r="P16" s="40"/>
      <c r="Q16" s="40"/>
      <c r="R16" s="40"/>
      <c r="S16" s="40"/>
      <c r="T16" s="40"/>
      <c r="U16" s="40"/>
      <c r="V16" s="40"/>
      <c r="W16" s="40"/>
      <c r="X16" s="40"/>
      <c r="Y16" s="40"/>
      <c r="Z16" s="40"/>
      <c r="AA16" s="40"/>
      <c r="AB16" s="40"/>
      <c r="AC16" s="40"/>
      <c r="AD16" s="40"/>
      <c r="AE16" s="40"/>
      <c r="AF16" s="40"/>
      <c r="AG16" s="40"/>
      <c r="AH16" s="40"/>
      <c r="AI16" s="40"/>
      <c r="AJ16" s="40"/>
      <c r="AK16" s="40"/>
      <c r="AL16" s="40"/>
      <c r="AM16" s="40"/>
      <c r="AN16" s="40"/>
      <c r="AO16" s="40"/>
      <c r="AP16" s="40"/>
      <c r="AQ16" s="40"/>
      <c r="AR16" s="40"/>
      <c r="AS16" s="40"/>
      <c r="AT16" s="40"/>
      <c r="AU16" s="40"/>
      <c r="AV16" s="40"/>
      <c r="AW16" s="40"/>
      <c r="AX16" s="40"/>
      <c r="AY16" s="40"/>
      <c r="AZ16" s="40"/>
      <c r="BA16" s="40"/>
      <c r="BB16" s="40"/>
      <c r="BC16" s="40"/>
      <c r="BD16" s="40"/>
      <c r="BE16" s="40"/>
      <c r="BF16" s="40"/>
      <c r="BG16" s="40"/>
      <c r="BH16" s="40"/>
      <c r="BI16" s="40"/>
      <c r="BJ16" s="40"/>
      <c r="BK16" s="40"/>
      <c r="BL16" s="40"/>
      <c r="BM16" s="40"/>
      <c r="BN16" s="40"/>
      <c r="BO16" s="40"/>
    </row>
    <row r="17" spans="1:67">
      <c r="A17" s="11"/>
      <c r="B17" s="11" t="s">
        <v>1732</v>
      </c>
      <c r="C17" s="11"/>
      <c r="D17" s="90">
        <f>'01 Major Assumptions'!$D$135*SUM('03 CAPEX &amp; Depreciation'!$F$110:$F$115)</f>
        <v>702850000</v>
      </c>
      <c r="E17" s="10" t="s">
        <v>13</v>
      </c>
      <c r="F17" s="10"/>
      <c r="G17" s="3">
        <f>'01 Major Assumptions'!$D$145*SUM('03 CAPEX &amp; Depreciation'!$F$110:$F$115)</f>
        <v>702850000</v>
      </c>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row>
    <row r="18" spans="1:67">
      <c r="A18" s="11"/>
      <c r="B18" s="11"/>
      <c r="C18" s="11" t="s">
        <v>17</v>
      </c>
      <c r="D18" s="33"/>
      <c r="E18" s="10" t="s">
        <v>13</v>
      </c>
      <c r="F18" s="10"/>
      <c r="G18" s="90">
        <f>0</f>
        <v>0</v>
      </c>
      <c r="H18" s="90">
        <f>G30</f>
        <v>0</v>
      </c>
      <c r="I18" s="90">
        <f t="shared" ref="I18:BI18" si="6">H30</f>
        <v>0</v>
      </c>
      <c r="J18" s="90">
        <f t="shared" si="6"/>
        <v>0</v>
      </c>
      <c r="K18" s="90">
        <f t="shared" si="6"/>
        <v>0</v>
      </c>
      <c r="L18" s="90">
        <f t="shared" si="6"/>
        <v>0</v>
      </c>
      <c r="M18" s="90">
        <f t="shared" si="6"/>
        <v>0</v>
      </c>
      <c r="N18" s="90">
        <f t="shared" si="6"/>
        <v>0</v>
      </c>
      <c r="O18" s="90">
        <f t="shared" si="6"/>
        <v>0</v>
      </c>
      <c r="P18" s="90">
        <f t="shared" si="6"/>
        <v>0</v>
      </c>
      <c r="Q18" s="90">
        <f t="shared" si="6"/>
        <v>0</v>
      </c>
      <c r="R18" s="90">
        <f t="shared" si="6"/>
        <v>62863981.617646933</v>
      </c>
      <c r="S18" s="90">
        <f t="shared" si="6"/>
        <v>128987486.27297781</v>
      </c>
      <c r="T18" s="90">
        <f t="shared" si="6"/>
        <v>196135826.5785251</v>
      </c>
      <c r="U18" s="90">
        <f t="shared" si="6"/>
        <v>263647887.06072742</v>
      </c>
      <c r="V18" s="90">
        <f t="shared" si="6"/>
        <v>331525637.87054163</v>
      </c>
      <c r="W18" s="90">
        <f t="shared" si="6"/>
        <v>399771059.8305757</v>
      </c>
      <c r="X18" s="90">
        <f t="shared" si="6"/>
        <v>468386144.49289328</v>
      </c>
      <c r="Y18" s="90">
        <f t="shared" si="6"/>
        <v>537372894.19713175</v>
      </c>
      <c r="Z18" s="90">
        <f t="shared" si="6"/>
        <v>606733322.12893486</v>
      </c>
      <c r="AA18" s="90">
        <f t="shared" si="6"/>
        <v>676469452.37870193</v>
      </c>
      <c r="AB18" s="90">
        <f t="shared" si="6"/>
        <v>747046320.00065517</v>
      </c>
      <c r="AC18" s="90">
        <f t="shared" si="6"/>
        <v>747046320.00065517</v>
      </c>
      <c r="AD18" s="90">
        <f t="shared" si="6"/>
        <v>747046320.00065517</v>
      </c>
      <c r="AE18" s="90">
        <f t="shared" si="6"/>
        <v>747046320.00065517</v>
      </c>
      <c r="AF18" s="90">
        <f t="shared" si="6"/>
        <v>747046320.00065517</v>
      </c>
      <c r="AG18" s="90">
        <f t="shared" si="6"/>
        <v>747046320.00065517</v>
      </c>
      <c r="AH18" s="90">
        <f t="shared" si="6"/>
        <v>747046320.00065517</v>
      </c>
      <c r="AI18" s="90">
        <f t="shared" si="6"/>
        <v>747046320.00065517</v>
      </c>
      <c r="AJ18" s="90">
        <f t="shared" si="6"/>
        <v>747046320.00065517</v>
      </c>
      <c r="AK18" s="90">
        <f t="shared" si="6"/>
        <v>747046320.00065517</v>
      </c>
      <c r="AL18" s="90">
        <f t="shared" si="6"/>
        <v>747046320.00065517</v>
      </c>
      <c r="AM18" s="90">
        <f t="shared" si="6"/>
        <v>747046320.00065517</v>
      </c>
      <c r="AN18" s="90">
        <f t="shared" si="6"/>
        <v>747046320.00065517</v>
      </c>
      <c r="AO18" s="90">
        <f t="shared" si="6"/>
        <v>738152911.42921877</v>
      </c>
      <c r="AP18" s="90">
        <f t="shared" si="6"/>
        <v>729259502.85778236</v>
      </c>
      <c r="AQ18" s="90">
        <f t="shared" si="6"/>
        <v>720366094.28634596</v>
      </c>
      <c r="AR18" s="90">
        <f t="shared" si="6"/>
        <v>711472685.71490955</v>
      </c>
      <c r="AS18" s="90">
        <f t="shared" si="6"/>
        <v>702579277.14347315</v>
      </c>
      <c r="AT18" s="90">
        <f t="shared" si="6"/>
        <v>693685868.57203674</v>
      </c>
      <c r="AU18" s="90">
        <f t="shared" si="6"/>
        <v>684792460.00060034</v>
      </c>
      <c r="AV18" s="90">
        <f t="shared" si="6"/>
        <v>675899051.42916393</v>
      </c>
      <c r="AW18" s="90">
        <f t="shared" si="6"/>
        <v>667005642.85772753</v>
      </c>
      <c r="AX18" s="90">
        <f t="shared" si="6"/>
        <v>658112234.28629112</v>
      </c>
      <c r="AY18" s="90">
        <f t="shared" si="6"/>
        <v>649218825.71485472</v>
      </c>
      <c r="AZ18" s="90">
        <f t="shared" si="6"/>
        <v>640325417.14341831</v>
      </c>
      <c r="BA18" s="90">
        <f t="shared" si="6"/>
        <v>631432008.57198191</v>
      </c>
      <c r="BB18" s="90">
        <f t="shared" si="6"/>
        <v>622538600.0005455</v>
      </c>
      <c r="BC18" s="90">
        <f t="shared" si="6"/>
        <v>613645191.4291091</v>
      </c>
      <c r="BD18" s="90">
        <f t="shared" si="6"/>
        <v>604751782.85767269</v>
      </c>
      <c r="BE18" s="90">
        <f t="shared" si="6"/>
        <v>595858374.28623629</v>
      </c>
      <c r="BF18" s="90">
        <f t="shared" si="6"/>
        <v>586964965.71479988</v>
      </c>
      <c r="BG18" s="90">
        <f t="shared" si="6"/>
        <v>578071557.14336348</v>
      </c>
      <c r="BH18" s="90">
        <f t="shared" si="6"/>
        <v>569178148.57192707</v>
      </c>
      <c r="BI18" s="90">
        <f t="shared" si="6"/>
        <v>560284740.00049067</v>
      </c>
      <c r="BJ18" s="90">
        <f t="shared" ref="BJ18:BO18" si="7">BI30</f>
        <v>453563837.14325422</v>
      </c>
      <c r="BK18" s="90">
        <f t="shared" si="7"/>
        <v>346842934.28601778</v>
      </c>
      <c r="BL18" s="90">
        <f t="shared" si="7"/>
        <v>240122031.42878133</v>
      </c>
      <c r="BM18" s="90">
        <f t="shared" si="7"/>
        <v>133401128.57154487</v>
      </c>
      <c r="BN18" s="63">
        <f t="shared" si="7"/>
        <v>26680225.714308411</v>
      </c>
      <c r="BO18" s="63">
        <f t="shared" si="7"/>
        <v>26680225.714308411</v>
      </c>
    </row>
    <row r="19" spans="1:67">
      <c r="A19" s="11"/>
      <c r="B19" s="11"/>
      <c r="C19" s="11" t="s">
        <v>1731</v>
      </c>
      <c r="D19" s="33"/>
      <c r="E19" s="10" t="s">
        <v>13</v>
      </c>
      <c r="F19" s="10"/>
      <c r="G19" s="90">
        <f>SUM('03 CAPEX &amp; Depreciation'!G$110:G$115)-MIN('01 Major Assumptions'!$D$145*SUM('03 CAPEX &amp; Depreciation'!$F$110:$F$115),SUM('03 CAPEX &amp; Depreciation'!G$110:G$115))</f>
        <v>0</v>
      </c>
      <c r="H19" s="90">
        <f>SUM('03 CAPEX &amp; Depreciation'!H$110:H$115)-MIN(MAX(0,'01 Major Assumptions'!$D$145*SUM('03 CAPEX &amp; Depreciation'!$F$110:$F$115)-SUM('03 CAPEX &amp; Depreciation'!$G$110:G$115)),SUM('03 CAPEX &amp; Depreciation'!H$110:H$115))</f>
        <v>0</v>
      </c>
      <c r="I19" s="90">
        <f>SUM('03 CAPEX &amp; Depreciation'!I$110:I$115)-MIN(MAX(0,'01 Major Assumptions'!$D$145*SUM('03 CAPEX &amp; Depreciation'!$F$110:$F$115)-SUM('03 CAPEX &amp; Depreciation'!$G$110:H$115)),SUM('03 CAPEX &amp; Depreciation'!I$110:I$115))</f>
        <v>0</v>
      </c>
      <c r="J19" s="90">
        <f>SUM('03 CAPEX &amp; Depreciation'!J$110:J$115)-MIN(MAX(0,'01 Major Assumptions'!$D$145*SUM('03 CAPEX &amp; Depreciation'!$F$110:$F$115)-SUM('03 CAPEX &amp; Depreciation'!$G$110:I$115)),SUM('03 CAPEX &amp; Depreciation'!J$110:J$115))</f>
        <v>0</v>
      </c>
      <c r="K19" s="90">
        <f>SUM('03 CAPEX &amp; Depreciation'!K$110:K$115)-MIN(MAX(0,'01 Major Assumptions'!$D$145*SUM('03 CAPEX &amp; Depreciation'!$F$110:$F$115)-SUM('03 CAPEX &amp; Depreciation'!$G$110:J$115)),SUM('03 CAPEX &amp; Depreciation'!K$110:K$115))</f>
        <v>0</v>
      </c>
      <c r="L19" s="90">
        <f>SUM('03 CAPEX &amp; Depreciation'!L$110:L$115)-MIN(MAX(0,'01 Major Assumptions'!$D$145*SUM('03 CAPEX &amp; Depreciation'!$F$110:$F$115)-SUM('03 CAPEX &amp; Depreciation'!$G$110:K$115)),SUM('03 CAPEX &amp; Depreciation'!L$110:L$115))</f>
        <v>0</v>
      </c>
      <c r="M19" s="90">
        <f>SUM('03 CAPEX &amp; Depreciation'!M$110:M$115)-MIN(MAX(0,'01 Major Assumptions'!$D$145*SUM('03 CAPEX &amp; Depreciation'!$F$110:$F$115)-SUM('03 CAPEX &amp; Depreciation'!$G$110:L$115)),SUM('03 CAPEX &amp; Depreciation'!M$110:M$115))</f>
        <v>0</v>
      </c>
      <c r="N19" s="90">
        <f>SUM('03 CAPEX &amp; Depreciation'!N$110:N$115)-MIN(MAX(0,'01 Major Assumptions'!$D$145*SUM('03 CAPEX &amp; Depreciation'!$F$110:$F$115)-SUM('03 CAPEX &amp; Depreciation'!$G$110:M$115)),SUM('03 CAPEX &amp; Depreciation'!N$110:N$115))</f>
        <v>0</v>
      </c>
      <c r="O19" s="90">
        <f>SUM('03 CAPEX &amp; Depreciation'!O$110:O$115)-MIN(MAX(0,'01 Major Assumptions'!$D$145*SUM('03 CAPEX &amp; Depreciation'!$F$110:$F$115)-SUM('03 CAPEX &amp; Depreciation'!$G$110:N$115)),SUM('03 CAPEX &amp; Depreciation'!O$110:O$115))</f>
        <v>0</v>
      </c>
      <c r="P19" s="90">
        <f>SUM('03 CAPEX &amp; Depreciation'!P$110:P$115)-MIN(MAX(0,'01 Major Assumptions'!$D$145*SUM('03 CAPEX &amp; Depreciation'!$F$110:$F$115)-SUM('03 CAPEX &amp; Depreciation'!$G$110:O$115)),SUM('03 CAPEX &amp; Depreciation'!P$110:P$115))</f>
        <v>0</v>
      </c>
      <c r="Q19" s="90">
        <f>SUM('03 CAPEX &amp; Depreciation'!Q$110:Q$115)-MIN(MAX(0,'01 Major Assumptions'!$D$145*SUM('03 CAPEX &amp; Depreciation'!$F$110:$F$115)-SUM('03 CAPEX &amp; Depreciation'!$G$110:P$115)),SUM('03 CAPEX &amp; Depreciation'!Q$110:Q$115))</f>
        <v>41485627.450980261</v>
      </c>
      <c r="R19" s="90">
        <f>SUM('03 CAPEX &amp; Depreciation'!R$110:R$115)-MIN(MAX(0,'01 Major Assumptions'!$D$145*SUM('03 CAPEX &amp; Depreciation'!$F$110:$F$115)-SUM('03 CAPEX &amp; Depreciation'!$G$110:Q$115)),SUM('03 CAPEX &amp; Depreciation'!R$110:R$115))</f>
        <v>65490137.25490196</v>
      </c>
      <c r="S19" s="90">
        <f>SUM('03 CAPEX &amp; Depreciation'!S$110:S$115)-MIN(MAX(0,'01 Major Assumptions'!$D$145*SUM('03 CAPEX &amp; Depreciation'!$F$110:$F$115)-SUM('03 CAPEX &amp; Depreciation'!$G$110:R$115)),SUM('03 CAPEX &amp; Depreciation'!S$110:S$115))</f>
        <v>66156803.921568632</v>
      </c>
      <c r="T19" s="90">
        <f>SUM('03 CAPEX &amp; Depreciation'!T$110:T$115)-MIN(MAX(0,'01 Major Assumptions'!$D$145*SUM('03 CAPEX &amp; Depreciation'!$F$110:$F$115)-SUM('03 CAPEX &amp; Depreciation'!$G$110:S$115)),SUM('03 CAPEX &amp; Depreciation'!T$110:T$115))</f>
        <v>66156803.921568632</v>
      </c>
      <c r="U19" s="90">
        <f>SUM('03 CAPEX &amp; Depreciation'!U$110:U$115)-MIN(MAX(0,'01 Major Assumptions'!$D$145*SUM('03 CAPEX &amp; Depreciation'!$F$110:$F$115)-SUM('03 CAPEX &amp; Depreciation'!$G$110:T$115)),SUM('03 CAPEX &amp; Depreciation'!U$110:U$115))</f>
        <v>66156803.921568632</v>
      </c>
      <c r="V19" s="90">
        <f>SUM('03 CAPEX &amp; Depreciation'!V$110:V$115)-MIN(MAX(0,'01 Major Assumptions'!$D$145*SUM('03 CAPEX &amp; Depreciation'!$F$110:$F$115)-SUM('03 CAPEX &amp; Depreciation'!$G$110:U$115)),SUM('03 CAPEX &amp; Depreciation'!V$110:V$115))</f>
        <v>66156803.921568632</v>
      </c>
      <c r="W19" s="90">
        <f>SUM('03 CAPEX &amp; Depreciation'!W$110:W$115)-MIN(MAX(0,'01 Major Assumptions'!$D$145*SUM('03 CAPEX &amp; Depreciation'!$F$110:$F$115)-SUM('03 CAPEX &amp; Depreciation'!$G$110:V$115)),SUM('03 CAPEX &amp; Depreciation'!W$110:W$115))</f>
        <v>66156803.921568632</v>
      </c>
      <c r="X19" s="90">
        <f>SUM('03 CAPEX &amp; Depreciation'!X$110:X$115)-MIN(MAX(0,'01 Major Assumptions'!$D$145*SUM('03 CAPEX &amp; Depreciation'!$F$110:$F$115)-SUM('03 CAPEX &amp; Depreciation'!$G$110:W$115)),SUM('03 CAPEX &amp; Depreciation'!X$110:X$115))</f>
        <v>66156803.921568632</v>
      </c>
      <c r="Y19" s="90">
        <f>SUM('03 CAPEX &amp; Depreciation'!Y$110:Y$115)-MIN(MAX(0,'01 Major Assumptions'!$D$145*SUM('03 CAPEX &amp; Depreciation'!$F$110:$F$115)-SUM('03 CAPEX &amp; Depreciation'!$G$110:X$115)),SUM('03 CAPEX &amp; Depreciation'!Y$110:Y$115))</f>
        <v>66156803.921568632</v>
      </c>
      <c r="Z19" s="90">
        <f>SUM('03 CAPEX &amp; Depreciation'!Z$110:Z$115)-MIN(MAX(0,'01 Major Assumptions'!$D$145*SUM('03 CAPEX &amp; Depreciation'!$F$110:$F$115)-SUM('03 CAPEX &amp; Depreciation'!$G$110:Y$115)),SUM('03 CAPEX &amp; Depreciation'!Z$110:Z$115))</f>
        <v>66156803.921568632</v>
      </c>
      <c r="AA19" s="90">
        <f>SUM('03 CAPEX &amp; Depreciation'!AA$110:AA$115)-MIN(MAX(0,'01 Major Assumptions'!$D$145*SUM('03 CAPEX &amp; Depreciation'!$F$110:$F$115)-SUM('03 CAPEX &amp; Depreciation'!$G$110:Z$115)),SUM('03 CAPEX &amp; Depreciation'!AA$110:AA$115))</f>
        <v>66619803.921568632</v>
      </c>
      <c r="AB19" s="90">
        <f>SUM('03 CAPEX &amp; Depreciation'!AB$110:AB$115)-MIN(MAX(0,'01 Major Assumptions'!$D$145*SUM('03 CAPEX &amp; Depreciation'!$F$110:$F$115)-SUM('03 CAPEX &amp; Depreciation'!$G$110:AA$115)),SUM('03 CAPEX &amp; Depreciation'!AB$110:AB$115))</f>
        <v>0</v>
      </c>
      <c r="AC19" s="90">
        <f>SUM('03 CAPEX &amp; Depreciation'!AC$110:AC$115)-MIN(MAX(0,'01 Major Assumptions'!$D$145*SUM('03 CAPEX &amp; Depreciation'!$F$110:$F$115)-SUM('03 CAPEX &amp; Depreciation'!$G$110:AB$115)),SUM('03 CAPEX &amp; Depreciation'!AC$110:AC$115))</f>
        <v>0</v>
      </c>
      <c r="AD19" s="90">
        <f>SUM('03 CAPEX &amp; Depreciation'!AD$110:AD$115)-MIN(MAX(0,'01 Major Assumptions'!$D$145*SUM('03 CAPEX &amp; Depreciation'!$F$110:$F$115)-SUM('03 CAPEX &amp; Depreciation'!$G$110:AC$115)),SUM('03 CAPEX &amp; Depreciation'!AD$110:AD$115))</f>
        <v>0</v>
      </c>
      <c r="AE19" s="90">
        <f>SUM('03 CAPEX &amp; Depreciation'!AE$110:AE$115)-MIN(MAX(0,'01 Major Assumptions'!$D$145*SUM('03 CAPEX &amp; Depreciation'!$F$110:$F$115)-SUM('03 CAPEX &amp; Depreciation'!$G$110:AD$115)),SUM('03 CAPEX &amp; Depreciation'!AE$110:AE$115))</f>
        <v>0</v>
      </c>
      <c r="AF19" s="90">
        <f>SUM('03 CAPEX &amp; Depreciation'!AF$110:AF$115)-MIN(MAX(0,'01 Major Assumptions'!$D$145*SUM('03 CAPEX &amp; Depreciation'!$F$110:$F$115)-SUM('03 CAPEX &amp; Depreciation'!$G$110:AE$115)),SUM('03 CAPEX &amp; Depreciation'!AF$110:AF$115))</f>
        <v>0</v>
      </c>
      <c r="AG19" s="90">
        <f>SUM('03 CAPEX &amp; Depreciation'!AG$110:AG$115)-MIN(MAX(0,'01 Major Assumptions'!$D$145*SUM('03 CAPEX &amp; Depreciation'!$F$110:$F$115)-SUM('03 CAPEX &amp; Depreciation'!$G$110:AF$115)),SUM('03 CAPEX &amp; Depreciation'!AG$110:AG$115))</f>
        <v>0</v>
      </c>
      <c r="AH19" s="90">
        <f>SUM('03 CAPEX &amp; Depreciation'!AH$110:AH$115)-MIN(MAX(0,'01 Major Assumptions'!$D$145*SUM('03 CAPEX &amp; Depreciation'!$F$110:$F$115)-SUM('03 CAPEX &amp; Depreciation'!$G$110:AG$115)),SUM('03 CAPEX &amp; Depreciation'!AH$110:AH$115))</f>
        <v>0</v>
      </c>
      <c r="AI19" s="90">
        <f>SUM('03 CAPEX &amp; Depreciation'!AI$110:AI$115)-MIN(MAX(0,'01 Major Assumptions'!$D$145*SUM('03 CAPEX &amp; Depreciation'!$F$110:$F$115)-SUM('03 CAPEX &amp; Depreciation'!$G$110:AH$115)),SUM('03 CAPEX &amp; Depreciation'!AI$110:AI$115))</f>
        <v>0</v>
      </c>
      <c r="AJ19" s="90">
        <f>SUM('03 CAPEX &amp; Depreciation'!AJ$110:AJ$115)-MIN(MAX(0,'01 Major Assumptions'!$D$145*SUM('03 CAPEX &amp; Depreciation'!$F$110:$F$115)-SUM('03 CAPEX &amp; Depreciation'!$G$110:AI$115)),SUM('03 CAPEX &amp; Depreciation'!AJ$110:AJ$115))</f>
        <v>0</v>
      </c>
      <c r="AK19" s="90">
        <f>SUM('03 CAPEX &amp; Depreciation'!AK$110:AK$115)-MIN(MAX(0,'01 Major Assumptions'!$D$145*SUM('03 CAPEX &amp; Depreciation'!$F$110:$F$115)-SUM('03 CAPEX &amp; Depreciation'!$G$110:AJ$115)),SUM('03 CAPEX &amp; Depreciation'!AK$110:AK$115))</f>
        <v>0</v>
      </c>
      <c r="AL19" s="90">
        <f>SUM('03 CAPEX &amp; Depreciation'!AL$110:AL$115)-MIN(MAX(0,'01 Major Assumptions'!$D$145*SUM('03 CAPEX &amp; Depreciation'!$F$110:$F$115)-SUM('03 CAPEX &amp; Depreciation'!$G$110:AK$115)),SUM('03 CAPEX &amp; Depreciation'!AL$110:AL$115))</f>
        <v>0</v>
      </c>
      <c r="AM19" s="90">
        <f>SUM('03 CAPEX &amp; Depreciation'!AM$110:AM$115)-MIN(MAX(0,'01 Major Assumptions'!$D$145*SUM('03 CAPEX &amp; Depreciation'!$F$110:$F$115)-SUM('03 CAPEX &amp; Depreciation'!$G$110:AL$115)),SUM('03 CAPEX &amp; Depreciation'!AM$110:AM$115))</f>
        <v>0</v>
      </c>
      <c r="AN19" s="90">
        <f>SUM('03 CAPEX &amp; Depreciation'!AN$110:AN$115)-MIN(MAX(0,'01 Major Assumptions'!$D$145*SUM('03 CAPEX &amp; Depreciation'!$F$110:$F$115)-SUM('03 CAPEX &amp; Depreciation'!$G$110:AM$115)),SUM('03 CAPEX &amp; Depreciation'!AN$110:AN$115))</f>
        <v>0</v>
      </c>
      <c r="AO19" s="90">
        <f>SUM('03 CAPEX &amp; Depreciation'!AO$110:AO$115)-MIN(MAX(0,'01 Major Assumptions'!$D$145*SUM('03 CAPEX &amp; Depreciation'!$F$110:$F$115)-SUM('03 CAPEX &amp; Depreciation'!$G$110:AN$115)),SUM('03 CAPEX &amp; Depreciation'!AO$110:AO$115))</f>
        <v>0</v>
      </c>
      <c r="AP19" s="90">
        <f>SUM('03 CAPEX &amp; Depreciation'!AP$110:AP$115)-MIN(MAX(0,'01 Major Assumptions'!$D$145*SUM('03 CAPEX &amp; Depreciation'!$F$110:$F$115)-SUM('03 CAPEX &amp; Depreciation'!$G$110:AO$115)),SUM('03 CAPEX &amp; Depreciation'!AP$110:AP$115))</f>
        <v>0</v>
      </c>
      <c r="AQ19" s="90">
        <f>SUM('03 CAPEX &amp; Depreciation'!AQ$110:AQ$115)-MIN(MAX(0,'01 Major Assumptions'!$D$145*SUM('03 CAPEX &amp; Depreciation'!$F$110:$F$115)-SUM('03 CAPEX &amp; Depreciation'!$G$110:AP$115)),SUM('03 CAPEX &amp; Depreciation'!AQ$110:AQ$115))</f>
        <v>0</v>
      </c>
      <c r="AR19" s="90">
        <f>SUM('03 CAPEX &amp; Depreciation'!AR$110:AR$115)-MIN(MAX(0,'01 Major Assumptions'!$D$145*SUM('03 CAPEX &amp; Depreciation'!$F$110:$F$115)-SUM('03 CAPEX &amp; Depreciation'!$G$110:AQ$115)),SUM('03 CAPEX &amp; Depreciation'!AR$110:AR$115))</f>
        <v>0</v>
      </c>
      <c r="AS19" s="90">
        <f>SUM('03 CAPEX &amp; Depreciation'!AS$110:AS$115)-MIN(MAX(0,'01 Major Assumptions'!$D$145*SUM('03 CAPEX &amp; Depreciation'!$F$110:$F$115)-SUM('03 CAPEX &amp; Depreciation'!$G$110:AR$115)),SUM('03 CAPEX &amp; Depreciation'!AS$110:AS$115))</f>
        <v>0</v>
      </c>
      <c r="AT19" s="90">
        <f>SUM('03 CAPEX &amp; Depreciation'!AT$110:AT$115)-MIN(MAX(0,'01 Major Assumptions'!$D$145*SUM('03 CAPEX &amp; Depreciation'!$F$110:$F$115)-SUM('03 CAPEX &amp; Depreciation'!$G$110:AS$115)),SUM('03 CAPEX &amp; Depreciation'!AT$110:AT$115))</f>
        <v>0</v>
      </c>
      <c r="AU19" s="90">
        <f>SUM('03 CAPEX &amp; Depreciation'!AU$110:AU$115)-MIN(MAX(0,'01 Major Assumptions'!$D$145*SUM('03 CAPEX &amp; Depreciation'!$F$110:$F$115)-SUM('03 CAPEX &amp; Depreciation'!$G$110:AT$115)),SUM('03 CAPEX &amp; Depreciation'!AU$110:AU$115))</f>
        <v>0</v>
      </c>
      <c r="AV19" s="90">
        <f>SUM('03 CAPEX &amp; Depreciation'!AV$110:AV$115)-MIN(MAX(0,'01 Major Assumptions'!$D$145*SUM('03 CAPEX &amp; Depreciation'!$F$110:$F$115)-SUM('03 CAPEX &amp; Depreciation'!$G$110:AU$115)),SUM('03 CAPEX &amp; Depreciation'!AV$110:AV$115))</f>
        <v>0</v>
      </c>
      <c r="AW19" s="90">
        <f>SUM('03 CAPEX &amp; Depreciation'!AW$110:AW$115)-MIN(MAX(0,'01 Major Assumptions'!$D$145*SUM('03 CAPEX &amp; Depreciation'!$F$110:$F$115)-SUM('03 CAPEX &amp; Depreciation'!$G$110:AV$115)),SUM('03 CAPEX &amp; Depreciation'!AW$110:AW$115))</f>
        <v>0</v>
      </c>
      <c r="AX19" s="90">
        <f>SUM('03 CAPEX &amp; Depreciation'!AX$110:AX$115)-MIN(MAX(0,'01 Major Assumptions'!$D$145*SUM('03 CAPEX &amp; Depreciation'!$F$110:$F$115)-SUM('03 CAPEX &amp; Depreciation'!$G$110:AW$115)),SUM('03 CAPEX &amp; Depreciation'!AX$110:AX$115))</f>
        <v>0</v>
      </c>
      <c r="AY19" s="90">
        <f>SUM('03 CAPEX &amp; Depreciation'!AY$110:AY$115)-MIN(MAX(0,'01 Major Assumptions'!$D$145*SUM('03 CAPEX &amp; Depreciation'!$F$110:$F$115)-SUM('03 CAPEX &amp; Depreciation'!$G$110:AX$115)),SUM('03 CAPEX &amp; Depreciation'!AY$110:AY$115))</f>
        <v>0</v>
      </c>
      <c r="AZ19" s="90">
        <f>SUM('03 CAPEX &amp; Depreciation'!AZ$110:AZ$115)-MIN(MAX(0,'01 Major Assumptions'!$D$145*SUM('03 CAPEX &amp; Depreciation'!$F$110:$F$115)-SUM('03 CAPEX &amp; Depreciation'!$G$110:AY$115)),SUM('03 CAPEX &amp; Depreciation'!AZ$110:AZ$115))</f>
        <v>0</v>
      </c>
      <c r="BA19" s="90">
        <f>SUM('03 CAPEX &amp; Depreciation'!BA$110:BA$115)-MIN(MAX(0,'01 Major Assumptions'!$D$145*SUM('03 CAPEX &amp; Depreciation'!$F$110:$F$115)-SUM('03 CAPEX &amp; Depreciation'!$G$110:AZ$115)),SUM('03 CAPEX &amp; Depreciation'!BA$110:BA$115))</f>
        <v>0</v>
      </c>
      <c r="BB19" s="90">
        <f>SUM('03 CAPEX &amp; Depreciation'!BB$110:BB$115)-MIN(MAX(0,'01 Major Assumptions'!$D$145*SUM('03 CAPEX &amp; Depreciation'!$F$110:$F$115)-SUM('03 CAPEX &amp; Depreciation'!$G$110:BA$115)),SUM('03 CAPEX &amp; Depreciation'!BB$110:BB$115))</f>
        <v>0</v>
      </c>
      <c r="BC19" s="90">
        <f>SUM('03 CAPEX &amp; Depreciation'!BC$110:BC$115)-MIN(MAX(0,'01 Major Assumptions'!$D$145*SUM('03 CAPEX &amp; Depreciation'!$F$110:$F$115)-SUM('03 CAPEX &amp; Depreciation'!$G$110:BB$115)),SUM('03 CAPEX &amp; Depreciation'!BC$110:BC$115))</f>
        <v>0</v>
      </c>
      <c r="BD19" s="90">
        <f>SUM('03 CAPEX &amp; Depreciation'!BD$110:BD$115)-MIN(MAX(0,'01 Major Assumptions'!$D$145*SUM('03 CAPEX &amp; Depreciation'!$F$110:$F$115)-SUM('03 CAPEX &amp; Depreciation'!$G$110:BC$115)),SUM('03 CAPEX &amp; Depreciation'!BD$110:BD$115))</f>
        <v>0</v>
      </c>
      <c r="BE19" s="90">
        <f>SUM('03 CAPEX &amp; Depreciation'!BE$110:BE$115)-MIN(MAX(0,'01 Major Assumptions'!$D$145*SUM('03 CAPEX &amp; Depreciation'!$F$110:$F$115)-SUM('03 CAPEX &amp; Depreciation'!$G$110:BD$115)),SUM('03 CAPEX &amp; Depreciation'!BE$110:BE$115))</f>
        <v>0</v>
      </c>
      <c r="BF19" s="90">
        <f>SUM('03 CAPEX &amp; Depreciation'!BF$110:BF$115)-MIN(MAX(0,'01 Major Assumptions'!$D$145*SUM('03 CAPEX &amp; Depreciation'!$F$110:$F$115)-SUM('03 CAPEX &amp; Depreciation'!$G$110:BE$115)),SUM('03 CAPEX &amp; Depreciation'!BF$110:BF$115))</f>
        <v>0</v>
      </c>
      <c r="BG19" s="90">
        <f>SUM('03 CAPEX &amp; Depreciation'!BG$110:BG$115)-MIN(MAX(0,'01 Major Assumptions'!$D$145*SUM('03 CAPEX &amp; Depreciation'!$F$110:$F$115)-SUM('03 CAPEX &amp; Depreciation'!$G$110:BF$115)),SUM('03 CAPEX &amp; Depreciation'!BG$110:BG$115))</f>
        <v>0</v>
      </c>
      <c r="BH19" s="90">
        <f>SUM('03 CAPEX &amp; Depreciation'!BH$110:BH$115)-MIN(MAX(0,'01 Major Assumptions'!$D$145*SUM('03 CAPEX &amp; Depreciation'!$F$110:$F$115)-SUM('03 CAPEX &amp; Depreciation'!$G$110:BG$115)),SUM('03 CAPEX &amp; Depreciation'!BH$110:BH$115))</f>
        <v>0</v>
      </c>
      <c r="BI19" s="90">
        <f>SUM('03 CAPEX &amp; Depreciation'!BI$110:BI$115)-MIN(MAX(0,'01 Major Assumptions'!$D$145*SUM('03 CAPEX &amp; Depreciation'!$F$110:$F$115)-SUM('03 CAPEX &amp; Depreciation'!$G$110:BH$115)),SUM('03 CAPEX &amp; Depreciation'!BI$110:BI$115))</f>
        <v>0</v>
      </c>
      <c r="BJ19" s="90">
        <f>SUM('03 CAPEX &amp; Depreciation'!BJ$110:BJ$115)-MIN(MAX(0,'01 Major Assumptions'!$D$145*SUM('03 CAPEX &amp; Depreciation'!$F$110:$F$115)-SUM('03 CAPEX &amp; Depreciation'!$G$110:BI$115)),SUM('03 CAPEX &amp; Depreciation'!BJ$110:BJ$115))</f>
        <v>0</v>
      </c>
      <c r="BK19" s="90">
        <f>SUM('03 CAPEX &amp; Depreciation'!BK$110:BK$115)-MIN(MAX(0,'01 Major Assumptions'!$D$145*SUM('03 CAPEX &amp; Depreciation'!$F$110:$F$115)-SUM('03 CAPEX &amp; Depreciation'!$G$110:BJ$115)),SUM('03 CAPEX &amp; Depreciation'!BK$110:BK$115))</f>
        <v>0</v>
      </c>
      <c r="BL19" s="90">
        <f>SUM('03 CAPEX &amp; Depreciation'!BL$110:BL$115)-MIN(MAX(0,'01 Major Assumptions'!$D$145*SUM('03 CAPEX &amp; Depreciation'!$F$110:$F$115)-SUM('03 CAPEX &amp; Depreciation'!$G$110:BK$115)),SUM('03 CAPEX &amp; Depreciation'!BL$110:BL$115))</f>
        <v>0</v>
      </c>
      <c r="BM19" s="90">
        <f>SUM('03 CAPEX &amp; Depreciation'!BM$110:BM$115)-MIN(MAX(0,'01 Major Assumptions'!$D$145*SUM('03 CAPEX &amp; Depreciation'!$F$110:$F$115)-SUM('03 CAPEX &amp; Depreciation'!$G$110:BL$115)),SUM('03 CAPEX &amp; Depreciation'!BM$110:BM$115))</f>
        <v>0</v>
      </c>
      <c r="BN19" s="90">
        <f>SUM('03 CAPEX &amp; Depreciation'!BN$110:BN$115)-MIN(MAX(0,'01 Major Assumptions'!$D$145*SUM('03 CAPEX &amp; Depreciation'!$F$110:$F$115)-SUM('03 CAPEX &amp; Depreciation'!$G$110:BM$115)),SUM('03 CAPEX &amp; Depreciation'!BN$110:BN$115))</f>
        <v>0</v>
      </c>
      <c r="BO19" s="90">
        <f>SUM('03 CAPEX &amp; Depreciation'!BO$110:BO$115)-MIN(MAX(0,'01 Major Assumptions'!$D$145*SUM('03 CAPEX &amp; Depreciation'!$F$110:$F$115)-SUM('03 CAPEX &amp; Depreciation'!$G$110:BN$115)),SUM('03 CAPEX &amp; Depreciation'!BO$110:BO$115))</f>
        <v>0</v>
      </c>
    </row>
    <row r="20" spans="1:67">
      <c r="A20" s="11"/>
      <c r="B20" s="11"/>
      <c r="C20" s="11" t="s">
        <v>454</v>
      </c>
      <c r="D20" s="33"/>
      <c r="E20" s="10" t="s">
        <v>13</v>
      </c>
      <c r="F20" s="10"/>
      <c r="G20" s="90">
        <f>'03 CAPEX &amp; Depreciation'!G$105+'03 CAPEX &amp; Depreciation'!G$106</f>
        <v>0</v>
      </c>
      <c r="H20" s="90">
        <f>'03 CAPEX &amp; Depreciation'!H$105+'03 CAPEX &amp; Depreciation'!H$106</f>
        <v>0</v>
      </c>
      <c r="I20" s="90">
        <f>'03 CAPEX &amp; Depreciation'!I$105+'03 CAPEX &amp; Depreciation'!I$106</f>
        <v>0</v>
      </c>
      <c r="J20" s="90">
        <f>'03 CAPEX &amp; Depreciation'!J$105+'03 CAPEX &amp; Depreciation'!J$106</f>
        <v>0</v>
      </c>
      <c r="K20" s="90">
        <f>'03 CAPEX &amp; Depreciation'!K$105+'03 CAPEX &amp; Depreciation'!K$106</f>
        <v>0</v>
      </c>
      <c r="L20" s="90">
        <f>'03 CAPEX &amp; Depreciation'!L$105+'03 CAPEX &amp; Depreciation'!L$106</f>
        <v>0</v>
      </c>
      <c r="M20" s="90">
        <f>'03 CAPEX &amp; Depreciation'!M$105+'03 CAPEX &amp; Depreciation'!M$106</f>
        <v>0</v>
      </c>
      <c r="N20" s="90">
        <f>'03 CAPEX &amp; Depreciation'!N$105+'03 CAPEX &amp; Depreciation'!N$106</f>
        <v>0</v>
      </c>
      <c r="O20" s="90">
        <f>'03 CAPEX &amp; Depreciation'!O$105+'03 CAPEX &amp; Depreciation'!O$106</f>
        <v>0</v>
      </c>
      <c r="P20" s="90">
        <f>'03 CAPEX &amp; Depreciation'!P$105+'03 CAPEX &amp; Depreciation'!P$106</f>
        <v>0</v>
      </c>
      <c r="Q20" s="90">
        <f>'03 CAPEX &amp; Depreciation'!Q$105+'03 CAPEX &amp; Depreciation'!Q$106</f>
        <v>21378354.166666668</v>
      </c>
      <c r="R20" s="90">
        <f>'03 CAPEX &amp; Depreciation'!R$105+'03 CAPEX &amp; Depreciation'!R$106</f>
        <v>633367.40042892098</v>
      </c>
      <c r="S20" s="90">
        <f>'03 CAPEX &amp; Depreciation'!S$105+'03 CAPEX &amp; Depreciation'!S$106</f>
        <v>991536.38397862983</v>
      </c>
      <c r="T20" s="90">
        <f>'03 CAPEX &amp; Depreciation'!T$105+'03 CAPEX &amp; Depreciation'!T$106</f>
        <v>1355256.5606336775</v>
      </c>
      <c r="U20" s="90">
        <f>'03 CAPEX &amp; Depreciation'!U$105+'03 CAPEX &amp; Depreciation'!U$106</f>
        <v>1720946.888245607</v>
      </c>
      <c r="V20" s="90">
        <f>'03 CAPEX &amp; Depreciation'!V$105+'03 CAPEX &amp; Depreciation'!V$106</f>
        <v>2088618.038465434</v>
      </c>
      <c r="W20" s="90">
        <f>'03 CAPEX &amp; Depreciation'!W$105+'03 CAPEX &amp; Depreciation'!W$106</f>
        <v>2458280.7407489517</v>
      </c>
      <c r="X20" s="90">
        <f>'03 CAPEX &amp; Depreciation'!X$105+'03 CAPEX &amp; Depreciation'!X$106</f>
        <v>2829945.782669839</v>
      </c>
      <c r="Y20" s="90">
        <f>'03 CAPEX &amp; Depreciation'!Y$105+'03 CAPEX &amp; Depreciation'!Y$106</f>
        <v>3203624.010234464</v>
      </c>
      <c r="Z20" s="90">
        <f>'03 CAPEX &amp; Depreciation'!Z$105+'03 CAPEX &amp; Depreciation'!Z$106</f>
        <v>3579326.3281983975</v>
      </c>
      <c r="AA20" s="90">
        <f>'03 CAPEX &amp; Depreciation'!AA$105+'03 CAPEX &amp; Depreciation'!AA$106</f>
        <v>3957063.7003846355</v>
      </c>
      <c r="AB20" s="90">
        <f>'03 CAPEX &amp; Depreciation'!AB$105+'03 CAPEX &amp; Depreciation'!AB$106</f>
        <v>0</v>
      </c>
      <c r="AC20" s="90">
        <f>'03 CAPEX &amp; Depreciation'!AC$105+'03 CAPEX &amp; Depreciation'!AC$106</f>
        <v>0</v>
      </c>
      <c r="AD20" s="90">
        <f>'03 CAPEX &amp; Depreciation'!AD$105+'03 CAPEX &amp; Depreciation'!AD$106</f>
        <v>0</v>
      </c>
      <c r="AE20" s="90">
        <f>'03 CAPEX &amp; Depreciation'!AE$105+'03 CAPEX &amp; Depreciation'!AE$106</f>
        <v>0</v>
      </c>
      <c r="AF20" s="90">
        <f>'03 CAPEX &amp; Depreciation'!AF$105+'03 CAPEX &amp; Depreciation'!AF$106</f>
        <v>0</v>
      </c>
      <c r="AG20" s="90">
        <f>'03 CAPEX &amp; Depreciation'!AG$105+'03 CAPEX &amp; Depreciation'!AG$106</f>
        <v>0</v>
      </c>
      <c r="AH20" s="90">
        <f>'03 CAPEX &amp; Depreciation'!AH$105+'03 CAPEX &amp; Depreciation'!AH$106</f>
        <v>0</v>
      </c>
      <c r="AI20" s="90">
        <f>'03 CAPEX &amp; Depreciation'!AI$105+'03 CAPEX &amp; Depreciation'!AI$106</f>
        <v>0</v>
      </c>
      <c r="AJ20" s="90">
        <f>'03 CAPEX &amp; Depreciation'!AJ$105+'03 CAPEX &amp; Depreciation'!AJ$106</f>
        <v>0</v>
      </c>
      <c r="AK20" s="90">
        <f>'03 CAPEX &amp; Depreciation'!AK$105+'03 CAPEX &amp; Depreciation'!AK$106</f>
        <v>0</v>
      </c>
      <c r="AL20" s="90">
        <f>'03 CAPEX &amp; Depreciation'!AL$105+'03 CAPEX &amp; Depreciation'!AL$106</f>
        <v>0</v>
      </c>
      <c r="AM20" s="90">
        <f>'03 CAPEX &amp; Depreciation'!AM$105+'03 CAPEX &amp; Depreciation'!AM$106</f>
        <v>0</v>
      </c>
      <c r="AN20" s="90">
        <f>'03 CAPEX &amp; Depreciation'!AN$105+'03 CAPEX &amp; Depreciation'!AN$106</f>
        <v>0</v>
      </c>
      <c r="AO20" s="90">
        <f>'03 CAPEX &amp; Depreciation'!AO$105+'03 CAPEX &amp; Depreciation'!AO$106</f>
        <v>0</v>
      </c>
      <c r="AP20" s="90">
        <f>'03 CAPEX &amp; Depreciation'!AP$105+'03 CAPEX &amp; Depreciation'!AP$106</f>
        <v>0</v>
      </c>
      <c r="AQ20" s="90">
        <f>'03 CAPEX &amp; Depreciation'!AQ$105+'03 CAPEX &amp; Depreciation'!AQ$106</f>
        <v>0</v>
      </c>
      <c r="AR20" s="90">
        <f>'03 CAPEX &amp; Depreciation'!AR$105+'03 CAPEX &amp; Depreciation'!AR$106</f>
        <v>0</v>
      </c>
      <c r="AS20" s="90">
        <f>'03 CAPEX &amp; Depreciation'!AS$105+'03 CAPEX &amp; Depreciation'!AS$106</f>
        <v>0</v>
      </c>
      <c r="AT20" s="90">
        <f>'03 CAPEX &amp; Depreciation'!AT$105+'03 CAPEX &amp; Depreciation'!AT$106</f>
        <v>0</v>
      </c>
      <c r="AU20" s="90">
        <f>'03 CAPEX &amp; Depreciation'!AU$105+'03 CAPEX &amp; Depreciation'!AU$106</f>
        <v>0</v>
      </c>
      <c r="AV20" s="90">
        <f>'03 CAPEX &amp; Depreciation'!AV$105+'03 CAPEX &amp; Depreciation'!AV$106</f>
        <v>0</v>
      </c>
      <c r="AW20" s="90">
        <f>'03 CAPEX &amp; Depreciation'!AW$105+'03 CAPEX &amp; Depreciation'!AW$106</f>
        <v>0</v>
      </c>
      <c r="AX20" s="90">
        <f>'03 CAPEX &amp; Depreciation'!AX$105+'03 CAPEX &amp; Depreciation'!AX$106</f>
        <v>0</v>
      </c>
      <c r="AY20" s="90">
        <f>'03 CAPEX &amp; Depreciation'!AY$105+'03 CAPEX &amp; Depreciation'!AY$106</f>
        <v>0</v>
      </c>
      <c r="AZ20" s="90">
        <f>'03 CAPEX &amp; Depreciation'!AZ$105+'03 CAPEX &amp; Depreciation'!AZ$106</f>
        <v>0</v>
      </c>
      <c r="BA20" s="90">
        <f>'03 CAPEX &amp; Depreciation'!BA$105+'03 CAPEX &amp; Depreciation'!BA$106</f>
        <v>0</v>
      </c>
      <c r="BB20" s="90">
        <f>'03 CAPEX &amp; Depreciation'!BB$105+'03 CAPEX &amp; Depreciation'!BB$106</f>
        <v>0</v>
      </c>
      <c r="BC20" s="90">
        <f>'03 CAPEX &amp; Depreciation'!BC$105+'03 CAPEX &amp; Depreciation'!BC$106</f>
        <v>0</v>
      </c>
      <c r="BD20" s="90">
        <f>'03 CAPEX &amp; Depreciation'!BD$105+'03 CAPEX &amp; Depreciation'!BD$106</f>
        <v>0</v>
      </c>
      <c r="BE20" s="90">
        <f>'03 CAPEX &amp; Depreciation'!BE$105+'03 CAPEX &amp; Depreciation'!BE$106</f>
        <v>0</v>
      </c>
      <c r="BF20" s="90">
        <f>'03 CAPEX &amp; Depreciation'!BF$105+'03 CAPEX &amp; Depreciation'!BF$106</f>
        <v>0</v>
      </c>
      <c r="BG20" s="90">
        <f>'03 CAPEX &amp; Depreciation'!BG$105+'03 CAPEX &amp; Depreciation'!BG$106</f>
        <v>0</v>
      </c>
      <c r="BH20" s="90">
        <f>'03 CAPEX &amp; Depreciation'!BH$105+'03 CAPEX &amp; Depreciation'!BH$106</f>
        <v>0</v>
      </c>
      <c r="BI20" s="90">
        <f>'03 CAPEX &amp; Depreciation'!BI$105+'03 CAPEX &amp; Depreciation'!BI$106</f>
        <v>0</v>
      </c>
      <c r="BJ20" s="90">
        <f>'03 CAPEX &amp; Depreciation'!BJ$105+'03 CAPEX &amp; Depreciation'!BJ$106</f>
        <v>0</v>
      </c>
      <c r="BK20" s="90">
        <f>'03 CAPEX &amp; Depreciation'!BK$105+'03 CAPEX &amp; Depreciation'!BK$106</f>
        <v>0</v>
      </c>
      <c r="BL20" s="90">
        <f>'03 CAPEX &amp; Depreciation'!BL$105+'03 CAPEX &amp; Depreciation'!BL$106</f>
        <v>0</v>
      </c>
      <c r="BM20" s="90">
        <f>'03 CAPEX &amp; Depreciation'!BM$105+'03 CAPEX &amp; Depreciation'!BM$106</f>
        <v>0</v>
      </c>
      <c r="BN20" s="90">
        <f>'03 CAPEX &amp; Depreciation'!BN$105+'03 CAPEX &amp; Depreciation'!BN$106</f>
        <v>0</v>
      </c>
      <c r="BO20" s="90">
        <f>'03 CAPEX &amp; Depreciation'!BO$105+'03 CAPEX &amp; Depreciation'!BO$106</f>
        <v>0</v>
      </c>
    </row>
    <row r="21" spans="1:67">
      <c r="A21" s="11"/>
      <c r="B21" s="11"/>
      <c r="C21" s="11" t="s">
        <v>166</v>
      </c>
      <c r="D21" s="33"/>
      <c r="E21" s="10" t="s">
        <v>53</v>
      </c>
      <c r="F21" s="10"/>
      <c r="G21" s="6">
        <f>'01 Major Assumptions'!$D$136</f>
        <v>7.0000000000000007E-2</v>
      </c>
      <c r="H21" s="6">
        <f>'01 Major Assumptions'!$D$136</f>
        <v>7.0000000000000007E-2</v>
      </c>
      <c r="I21" s="6">
        <f>'01 Major Assumptions'!$D$136</f>
        <v>7.0000000000000007E-2</v>
      </c>
      <c r="J21" s="6">
        <f>'01 Major Assumptions'!$D$136</f>
        <v>7.0000000000000007E-2</v>
      </c>
      <c r="K21" s="6">
        <f>'01 Major Assumptions'!$D$136</f>
        <v>7.0000000000000007E-2</v>
      </c>
      <c r="L21" s="6">
        <f>'01 Major Assumptions'!$D$136</f>
        <v>7.0000000000000007E-2</v>
      </c>
      <c r="M21" s="6">
        <f>'01 Major Assumptions'!$D$136</f>
        <v>7.0000000000000007E-2</v>
      </c>
      <c r="N21" s="6">
        <f>'01 Major Assumptions'!$D$136</f>
        <v>7.0000000000000007E-2</v>
      </c>
      <c r="O21" s="6">
        <f>'01 Major Assumptions'!$D$136</f>
        <v>7.0000000000000007E-2</v>
      </c>
      <c r="P21" s="6">
        <f>'01 Major Assumptions'!$D$136</f>
        <v>7.0000000000000007E-2</v>
      </c>
      <c r="Q21" s="6">
        <f>'01 Major Assumptions'!$D$136</f>
        <v>7.0000000000000007E-2</v>
      </c>
      <c r="R21" s="6">
        <f>'01 Major Assumptions'!$D$136</f>
        <v>7.0000000000000007E-2</v>
      </c>
      <c r="S21" s="6">
        <f>'01 Major Assumptions'!$D$136</f>
        <v>7.0000000000000007E-2</v>
      </c>
      <c r="T21" s="6">
        <f>'01 Major Assumptions'!$D$136</f>
        <v>7.0000000000000007E-2</v>
      </c>
      <c r="U21" s="6">
        <f>'01 Major Assumptions'!$D$136</f>
        <v>7.0000000000000007E-2</v>
      </c>
      <c r="V21" s="6">
        <f>'01 Major Assumptions'!$D$136</f>
        <v>7.0000000000000007E-2</v>
      </c>
      <c r="W21" s="6">
        <f>'01 Major Assumptions'!$D$136</f>
        <v>7.0000000000000007E-2</v>
      </c>
      <c r="X21" s="6">
        <f>'01 Major Assumptions'!$D$136</f>
        <v>7.0000000000000007E-2</v>
      </c>
      <c r="Y21" s="6">
        <f>'01 Major Assumptions'!$D$136</f>
        <v>7.0000000000000007E-2</v>
      </c>
      <c r="Z21" s="6">
        <f>'01 Major Assumptions'!$D$136</f>
        <v>7.0000000000000007E-2</v>
      </c>
      <c r="AA21" s="6">
        <f>'01 Major Assumptions'!$D$136</f>
        <v>7.0000000000000007E-2</v>
      </c>
      <c r="AB21" s="6">
        <f>'01 Major Assumptions'!$D$136</f>
        <v>7.0000000000000007E-2</v>
      </c>
      <c r="AC21" s="6">
        <f>'01 Major Assumptions'!$D$136</f>
        <v>7.0000000000000007E-2</v>
      </c>
      <c r="AD21" s="6">
        <f>'01 Major Assumptions'!$D$136</f>
        <v>7.0000000000000007E-2</v>
      </c>
      <c r="AE21" s="6">
        <f>'01 Major Assumptions'!$D$136</f>
        <v>7.0000000000000007E-2</v>
      </c>
      <c r="AF21" s="6">
        <f>'01 Major Assumptions'!$D$136</f>
        <v>7.0000000000000007E-2</v>
      </c>
      <c r="AG21" s="6">
        <f>'01 Major Assumptions'!$D$136</f>
        <v>7.0000000000000007E-2</v>
      </c>
      <c r="AH21" s="6">
        <f>'01 Major Assumptions'!$D$136</f>
        <v>7.0000000000000007E-2</v>
      </c>
      <c r="AI21" s="6">
        <f>'01 Major Assumptions'!$D$136</f>
        <v>7.0000000000000007E-2</v>
      </c>
      <c r="AJ21" s="6">
        <f>'01 Major Assumptions'!$D$136</f>
        <v>7.0000000000000007E-2</v>
      </c>
      <c r="AK21" s="6">
        <f>'01 Major Assumptions'!$D$136</f>
        <v>7.0000000000000007E-2</v>
      </c>
      <c r="AL21" s="6">
        <f>'01 Major Assumptions'!$D$136</f>
        <v>7.0000000000000007E-2</v>
      </c>
      <c r="AM21" s="6">
        <f>'01 Major Assumptions'!$D$136</f>
        <v>7.0000000000000007E-2</v>
      </c>
      <c r="AN21" s="6">
        <f>'01 Major Assumptions'!$D$136</f>
        <v>7.0000000000000007E-2</v>
      </c>
      <c r="AO21" s="6">
        <f>'01 Major Assumptions'!$D$136</f>
        <v>7.0000000000000007E-2</v>
      </c>
      <c r="AP21" s="6">
        <f>'01 Major Assumptions'!$D$136</f>
        <v>7.0000000000000007E-2</v>
      </c>
      <c r="AQ21" s="6">
        <f>'01 Major Assumptions'!$D$136</f>
        <v>7.0000000000000007E-2</v>
      </c>
      <c r="AR21" s="6">
        <f>'01 Major Assumptions'!$D$136</f>
        <v>7.0000000000000007E-2</v>
      </c>
      <c r="AS21" s="6">
        <f>'01 Major Assumptions'!$D$136</f>
        <v>7.0000000000000007E-2</v>
      </c>
      <c r="AT21" s="6">
        <f>'01 Major Assumptions'!$D$136</f>
        <v>7.0000000000000007E-2</v>
      </c>
      <c r="AU21" s="6">
        <f>'01 Major Assumptions'!$D$136</f>
        <v>7.0000000000000007E-2</v>
      </c>
      <c r="AV21" s="6">
        <f>'01 Major Assumptions'!$D$136</f>
        <v>7.0000000000000007E-2</v>
      </c>
      <c r="AW21" s="6">
        <f>'01 Major Assumptions'!$D$136</f>
        <v>7.0000000000000007E-2</v>
      </c>
      <c r="AX21" s="6">
        <f>'01 Major Assumptions'!$D$136</f>
        <v>7.0000000000000007E-2</v>
      </c>
      <c r="AY21" s="6">
        <f>'01 Major Assumptions'!$D$136</f>
        <v>7.0000000000000007E-2</v>
      </c>
      <c r="AZ21" s="6">
        <f>'01 Major Assumptions'!$D$136</f>
        <v>7.0000000000000007E-2</v>
      </c>
      <c r="BA21" s="6">
        <f>'01 Major Assumptions'!$D$136</f>
        <v>7.0000000000000007E-2</v>
      </c>
      <c r="BB21" s="6">
        <f>'01 Major Assumptions'!$D$136</f>
        <v>7.0000000000000007E-2</v>
      </c>
      <c r="BC21" s="6">
        <f>'01 Major Assumptions'!$D$136</f>
        <v>7.0000000000000007E-2</v>
      </c>
      <c r="BD21" s="6">
        <f>'01 Major Assumptions'!$D$136</f>
        <v>7.0000000000000007E-2</v>
      </c>
      <c r="BE21" s="6">
        <f>'01 Major Assumptions'!$D$136</f>
        <v>7.0000000000000007E-2</v>
      </c>
      <c r="BF21" s="6">
        <f>'01 Major Assumptions'!$D$136</f>
        <v>7.0000000000000007E-2</v>
      </c>
      <c r="BG21" s="6">
        <f>'01 Major Assumptions'!$D$136</f>
        <v>7.0000000000000007E-2</v>
      </c>
      <c r="BH21" s="6">
        <f>'01 Major Assumptions'!$D$136</f>
        <v>7.0000000000000007E-2</v>
      </c>
      <c r="BI21" s="6">
        <f>'01 Major Assumptions'!$D$136</f>
        <v>7.0000000000000007E-2</v>
      </c>
      <c r="BJ21" s="6">
        <f>'01 Major Assumptions'!$D$136</f>
        <v>7.0000000000000007E-2</v>
      </c>
      <c r="BK21" s="6">
        <f>'01 Major Assumptions'!$D$136</f>
        <v>7.0000000000000007E-2</v>
      </c>
      <c r="BL21" s="6">
        <f>'01 Major Assumptions'!$D$136</f>
        <v>7.0000000000000007E-2</v>
      </c>
      <c r="BM21" s="6">
        <f>'01 Major Assumptions'!$D$136</f>
        <v>7.0000000000000007E-2</v>
      </c>
      <c r="BN21" s="6">
        <f>'01 Major Assumptions'!$D$136</f>
        <v>7.0000000000000007E-2</v>
      </c>
      <c r="BO21" s="6">
        <f>'01 Major Assumptions'!$D$136</f>
        <v>7.0000000000000007E-2</v>
      </c>
    </row>
    <row r="22" spans="1:67">
      <c r="A22" s="11"/>
      <c r="B22" s="11"/>
      <c r="C22" s="11" t="s">
        <v>455</v>
      </c>
      <c r="D22" s="33"/>
      <c r="E22" s="10" t="s">
        <v>13</v>
      </c>
      <c r="F22" s="10"/>
      <c r="G22" s="90">
        <f>G18*G21*'01 Major Assumptions'!G$14/12</f>
        <v>0</v>
      </c>
      <c r="H22" s="90">
        <f>H18*H21*'01 Major Assumptions'!H$14/12</f>
        <v>0</v>
      </c>
      <c r="I22" s="90">
        <f>I18*I21*'01 Major Assumptions'!I$14/12</f>
        <v>0</v>
      </c>
      <c r="J22" s="90">
        <f>J18*J21*'01 Major Assumptions'!J$14/12</f>
        <v>0</v>
      </c>
      <c r="K22" s="90">
        <f>K18*K21*'01 Major Assumptions'!K$14/12</f>
        <v>0</v>
      </c>
      <c r="L22" s="90">
        <f>L18*L21*'01 Major Assumptions'!L$14/12</f>
        <v>0</v>
      </c>
      <c r="M22" s="90">
        <f>M18*M21*'01 Major Assumptions'!M$14/12</f>
        <v>0</v>
      </c>
      <c r="N22" s="90">
        <f>N18*N21*'01 Major Assumptions'!N$14/12</f>
        <v>0</v>
      </c>
      <c r="O22" s="90">
        <f>O18*O21*'01 Major Assumptions'!O$14/12</f>
        <v>0</v>
      </c>
      <c r="P22" s="90">
        <f>P18*P21*'01 Major Assumptions'!P$14/12</f>
        <v>0</v>
      </c>
      <c r="Q22" s="90">
        <f>Q18*Q21*'01 Major Assumptions'!Q$14/12</f>
        <v>0</v>
      </c>
      <c r="R22" s="90">
        <f>R18*R21*'01 Major Assumptions'!R$14/12</f>
        <v>366706.55943627382</v>
      </c>
      <c r="S22" s="90">
        <f>S18*S21*'01 Major Assumptions'!S$14/12</f>
        <v>752427.00325903727</v>
      </c>
      <c r="T22" s="90">
        <f>T18*T21*'01 Major Assumptions'!T$14/12</f>
        <v>1144125.6550413964</v>
      </c>
      <c r="U22" s="90">
        <f>U18*U21*'01 Major Assumptions'!U$14/12</f>
        <v>1537946.0078542435</v>
      </c>
      <c r="V22" s="90">
        <f>V18*V21*'01 Major Assumptions'!V$14/12</f>
        <v>1933899.5542448263</v>
      </c>
      <c r="W22" s="90">
        <f>W18*W21*'01 Major Assumptions'!W$14/12</f>
        <v>2331997.8490116918</v>
      </c>
      <c r="X22" s="90">
        <f>X18*X21*'01 Major Assumptions'!X$14/12</f>
        <v>2732252.509541878</v>
      </c>
      <c r="Y22" s="90">
        <f>Y18*Y21*'01 Major Assumptions'!Y$14/12</f>
        <v>3134675.2161499355</v>
      </c>
      <c r="Z22" s="90">
        <f>Z18*Z21*'01 Major Assumptions'!Z$14/12</f>
        <v>3539277.7124187872</v>
      </c>
      <c r="AA22" s="90">
        <f>AA18*AA21*'01 Major Assumptions'!AA$14/12</f>
        <v>3946071.805542428</v>
      </c>
      <c r="AB22" s="90">
        <f>AB18*AB21*'01 Major Assumptions'!AB$14/12</f>
        <v>4357770.2000038223</v>
      </c>
      <c r="AC22" s="90">
        <f>AC18*AC21*'01 Major Assumptions'!AC$14/12</f>
        <v>4357770.2000038223</v>
      </c>
      <c r="AD22" s="90">
        <f>AD18*AD21*'01 Major Assumptions'!AD$14/12</f>
        <v>4357770.2000038223</v>
      </c>
      <c r="AE22" s="90">
        <f>AE18*AE21*'01 Major Assumptions'!AE$14/12</f>
        <v>4357770.2000038223</v>
      </c>
      <c r="AF22" s="90">
        <f>AF18*AF21*'01 Major Assumptions'!AF$14/12</f>
        <v>4357770.2000038223</v>
      </c>
      <c r="AG22" s="90">
        <f>AG18*AG21*'01 Major Assumptions'!AG$14/12</f>
        <v>4357770.2000038223</v>
      </c>
      <c r="AH22" s="90">
        <f>AH18*AH21*'01 Major Assumptions'!AH$14/12</f>
        <v>4357770.2000038223</v>
      </c>
      <c r="AI22" s="90">
        <f>AI18*AI21*'01 Major Assumptions'!AI$14/12</f>
        <v>4357770.2000038223</v>
      </c>
      <c r="AJ22" s="90">
        <f>AJ18*AJ21*'01 Major Assumptions'!AJ$14/12</f>
        <v>4357770.2000038223</v>
      </c>
      <c r="AK22" s="90">
        <f>AK18*AK21*'01 Major Assumptions'!AK$14/12</f>
        <v>4357770.2000038223</v>
      </c>
      <c r="AL22" s="90">
        <f>AL18*AL21*'01 Major Assumptions'!AL$14/12</f>
        <v>4357770.2000038223</v>
      </c>
      <c r="AM22" s="90">
        <f>AM18*AM21*'01 Major Assumptions'!AM$14/12</f>
        <v>4357770.2000038223</v>
      </c>
      <c r="AN22" s="90">
        <f>AN18*AN21*'01 Major Assumptions'!AN$14/12</f>
        <v>4357770.2000038223</v>
      </c>
      <c r="AO22" s="90">
        <f>AO18*AO21*'01 Major Assumptions'!AO$14/12</f>
        <v>4305891.9833371099</v>
      </c>
      <c r="AP22" s="90">
        <f>AP18*AP21*'01 Major Assumptions'!AP$14/12</f>
        <v>4254013.7666703975</v>
      </c>
      <c r="AQ22" s="90">
        <f>AQ18*AQ21*'01 Major Assumptions'!AQ$14/12</f>
        <v>4202135.5500036851</v>
      </c>
      <c r="AR22" s="90">
        <f>AR18*AR21*'01 Major Assumptions'!AR$14/12</f>
        <v>4150257.3333369731</v>
      </c>
      <c r="AS22" s="90">
        <f>AS18*AS21*'01 Major Assumptions'!AS$14/12</f>
        <v>4098379.1166702602</v>
      </c>
      <c r="AT22" s="90">
        <f>AT18*AT21*'01 Major Assumptions'!AT$14/12</f>
        <v>4046500.9000035482</v>
      </c>
      <c r="AU22" s="90">
        <f>AU18*AU21*'01 Major Assumptions'!AU$14/12</f>
        <v>3994622.6833368358</v>
      </c>
      <c r="AV22" s="90">
        <f>AV18*AV21*'01 Major Assumptions'!AV$14/12</f>
        <v>3942744.4666701234</v>
      </c>
      <c r="AW22" s="90">
        <f>AW18*AW21*'01 Major Assumptions'!AW$14/12</f>
        <v>3890866.250003411</v>
      </c>
      <c r="AX22" s="90">
        <f>AX18*AX21*'01 Major Assumptions'!AX$14/12</f>
        <v>3838988.0333366985</v>
      </c>
      <c r="AY22" s="90">
        <f>AY18*AY21*'01 Major Assumptions'!AY$14/12</f>
        <v>3787109.8166699861</v>
      </c>
      <c r="AZ22" s="90">
        <f>AZ18*AZ21*'01 Major Assumptions'!AZ$14/12</f>
        <v>3735231.6000032737</v>
      </c>
      <c r="BA22" s="90">
        <f>BA18*BA21*'01 Major Assumptions'!BA$14/12</f>
        <v>3683353.3833365613</v>
      </c>
      <c r="BB22" s="90">
        <f>BB18*BB21*'01 Major Assumptions'!BB$14/12</f>
        <v>3631475.1666698493</v>
      </c>
      <c r="BC22" s="90">
        <f>BC18*BC21*'01 Major Assumptions'!BC$14/12</f>
        <v>3579596.9500031364</v>
      </c>
      <c r="BD22" s="90">
        <f>BD18*BD21*'01 Major Assumptions'!BD$14/12</f>
        <v>3527718.7333364245</v>
      </c>
      <c r="BE22" s="90">
        <f>BE18*BE21*'01 Major Assumptions'!BE$14/12</f>
        <v>3475840.5166697116</v>
      </c>
      <c r="BF22" s="90">
        <f>BF18*BF21*'01 Major Assumptions'!BF$14/12</f>
        <v>3423962.3000029996</v>
      </c>
      <c r="BG22" s="90">
        <f>BG18*BG21*'01 Major Assumptions'!BG$14/12</f>
        <v>3372084.0833362876</v>
      </c>
      <c r="BH22" s="90">
        <f>BH18*BH21*'01 Major Assumptions'!BH$14/12</f>
        <v>3320205.8666695748</v>
      </c>
      <c r="BI22" s="90">
        <f>BI18*BI21*'01 Major Assumptions'!BI$14/12</f>
        <v>39219931.800034352</v>
      </c>
      <c r="BJ22" s="90">
        <f>BJ18*BJ21*'01 Major Assumptions'!BJ$14/12</f>
        <v>31749468.6000278</v>
      </c>
      <c r="BK22" s="90">
        <f>BK18*BK21*'01 Major Assumptions'!BK$14/12</f>
        <v>24279005.400021244</v>
      </c>
      <c r="BL22" s="90">
        <f>BL18*BL21*'01 Major Assumptions'!BL$14/12</f>
        <v>16808542.200014696</v>
      </c>
      <c r="BM22" s="90">
        <f>BM18*BM21*'01 Major Assumptions'!BM$14/12</f>
        <v>9338079.0000081416</v>
      </c>
      <c r="BN22" s="90">
        <f>BN18*BN21*'01 Major Assumptions'!BN$14/12</f>
        <v>1867615.8000015889</v>
      </c>
      <c r="BO22" s="90">
        <f>BO18*BO21*'01 Major Assumptions'!BO$14/12</f>
        <v>1867615.8000015889</v>
      </c>
    </row>
    <row r="23" spans="1:67">
      <c r="A23" s="11"/>
      <c r="B23" s="11"/>
      <c r="C23" s="11" t="s">
        <v>456</v>
      </c>
      <c r="D23" s="33"/>
      <c r="E23" s="10" t="s">
        <v>13</v>
      </c>
      <c r="F23" s="10"/>
      <c r="G23" s="90">
        <f>IF('01 Major Assumptions'!G$15=0,G22,0)</f>
        <v>0</v>
      </c>
      <c r="H23" s="90">
        <f>IF('01 Major Assumptions'!H$15=0,H22,0)</f>
        <v>0</v>
      </c>
      <c r="I23" s="90">
        <f>IF('01 Major Assumptions'!I$15=0,I22,0)</f>
        <v>0</v>
      </c>
      <c r="J23" s="90">
        <f>IF('01 Major Assumptions'!J$15=0,J22,0)</f>
        <v>0</v>
      </c>
      <c r="K23" s="90">
        <f>IF('01 Major Assumptions'!K$15=0,K22,0)</f>
        <v>0</v>
      </c>
      <c r="L23" s="90">
        <f>IF('01 Major Assumptions'!L$15=0,L22,0)</f>
        <v>0</v>
      </c>
      <c r="M23" s="90">
        <f>IF('01 Major Assumptions'!M$15=0,M22,0)</f>
        <v>0</v>
      </c>
      <c r="N23" s="90">
        <f>IF('01 Major Assumptions'!N$15=0,N22,0)</f>
        <v>0</v>
      </c>
      <c r="O23" s="90">
        <f>IF('01 Major Assumptions'!O$15=0,O22,0)</f>
        <v>0</v>
      </c>
      <c r="P23" s="90">
        <f>IF('01 Major Assumptions'!P$15=0,P22,0)</f>
        <v>0</v>
      </c>
      <c r="Q23" s="90">
        <f>IF('01 Major Assumptions'!Q$15=0,Q22,0)</f>
        <v>0</v>
      </c>
      <c r="R23" s="90">
        <f>IF('01 Major Assumptions'!R$15=0,R22,0)</f>
        <v>366706.55943627382</v>
      </c>
      <c r="S23" s="90">
        <f>IF('01 Major Assumptions'!S$15=0,S22,0)</f>
        <v>752427.00325903727</v>
      </c>
      <c r="T23" s="90">
        <f>IF('01 Major Assumptions'!T$15=0,T22,0)</f>
        <v>1144125.6550413964</v>
      </c>
      <c r="U23" s="90">
        <f>IF('01 Major Assumptions'!U$15=0,U22,0)</f>
        <v>1537946.0078542435</v>
      </c>
      <c r="V23" s="90">
        <f>IF('01 Major Assumptions'!V$15=0,V22,0)</f>
        <v>1933899.5542448263</v>
      </c>
      <c r="W23" s="90">
        <f>IF('01 Major Assumptions'!W$15=0,W22,0)</f>
        <v>2331997.8490116918</v>
      </c>
      <c r="X23" s="90">
        <f>IF('01 Major Assumptions'!X$15=0,X22,0)</f>
        <v>2732252.509541878</v>
      </c>
      <c r="Y23" s="90">
        <f>IF('01 Major Assumptions'!Y$15=0,Y22,0)</f>
        <v>3134675.2161499355</v>
      </c>
      <c r="Z23" s="90">
        <f>IF('01 Major Assumptions'!Z$15=0,Z22,0)</f>
        <v>3539277.7124187872</v>
      </c>
      <c r="AA23" s="90">
        <f>IF('01 Major Assumptions'!AA$15=0,AA22,0)</f>
        <v>3946071.805542428</v>
      </c>
      <c r="AB23" s="90">
        <f>IF('01 Major Assumptions'!AB$15=0,AB22,0)</f>
        <v>0</v>
      </c>
      <c r="AC23" s="90">
        <f>IF('01 Major Assumptions'!AC$15=0,AC22,0)</f>
        <v>0</v>
      </c>
      <c r="AD23" s="90">
        <f>IF('01 Major Assumptions'!AD$15=0,AD22,0)</f>
        <v>0</v>
      </c>
      <c r="AE23" s="90">
        <f>IF('01 Major Assumptions'!AE$15=0,AE22,0)</f>
        <v>0</v>
      </c>
      <c r="AF23" s="90">
        <f>IF('01 Major Assumptions'!AF$15=0,AF22,0)</f>
        <v>0</v>
      </c>
      <c r="AG23" s="90">
        <f>IF('01 Major Assumptions'!AG$15=0,AG22,0)</f>
        <v>0</v>
      </c>
      <c r="AH23" s="90">
        <f>IF('01 Major Assumptions'!AH$15=0,AH22,0)</f>
        <v>0</v>
      </c>
      <c r="AI23" s="90">
        <f>IF('01 Major Assumptions'!AI$15=0,AI22,0)</f>
        <v>0</v>
      </c>
      <c r="AJ23" s="90">
        <f>IF('01 Major Assumptions'!AJ$15=0,AJ22,0)</f>
        <v>0</v>
      </c>
      <c r="AK23" s="90">
        <f>IF('01 Major Assumptions'!AK$15=0,AK22,0)</f>
        <v>0</v>
      </c>
      <c r="AL23" s="90">
        <f>IF('01 Major Assumptions'!AL$15=0,AL22,0)</f>
        <v>0</v>
      </c>
      <c r="AM23" s="90">
        <f>IF('01 Major Assumptions'!AM$15=0,AM22,0)</f>
        <v>0</v>
      </c>
      <c r="AN23" s="90">
        <f>IF('01 Major Assumptions'!AN$15=0,AN22,0)</f>
        <v>0</v>
      </c>
      <c r="AO23" s="90">
        <f>IF('01 Major Assumptions'!AO$15=0,AO22,0)</f>
        <v>0</v>
      </c>
      <c r="AP23" s="90">
        <f>IF('01 Major Assumptions'!AP$15=0,AP22,0)</f>
        <v>0</v>
      </c>
      <c r="AQ23" s="90">
        <f>IF('01 Major Assumptions'!AQ$15=0,AQ22,0)</f>
        <v>0</v>
      </c>
      <c r="AR23" s="90">
        <f>IF('01 Major Assumptions'!AR$15=0,AR22,0)</f>
        <v>0</v>
      </c>
      <c r="AS23" s="90">
        <f>IF('01 Major Assumptions'!AS$15=0,AS22,0)</f>
        <v>0</v>
      </c>
      <c r="AT23" s="90">
        <f>IF('01 Major Assumptions'!AT$15=0,AT22,0)</f>
        <v>0</v>
      </c>
      <c r="AU23" s="90">
        <f>IF('01 Major Assumptions'!AU$15=0,AU22,0)</f>
        <v>0</v>
      </c>
      <c r="AV23" s="90">
        <f>IF('01 Major Assumptions'!AV$15=0,AV22,0)</f>
        <v>0</v>
      </c>
      <c r="AW23" s="90">
        <f>IF('01 Major Assumptions'!AW$15=0,AW22,0)</f>
        <v>0</v>
      </c>
      <c r="AX23" s="90">
        <f>IF('01 Major Assumptions'!AX$15=0,AX22,0)</f>
        <v>0</v>
      </c>
      <c r="AY23" s="90">
        <f>IF('01 Major Assumptions'!AY$15=0,AY22,0)</f>
        <v>0</v>
      </c>
      <c r="AZ23" s="90">
        <f>IF('01 Major Assumptions'!AZ$15=0,AZ22,0)</f>
        <v>0</v>
      </c>
      <c r="BA23" s="90">
        <f>IF('01 Major Assumptions'!BA$15=0,BA22,0)</f>
        <v>0</v>
      </c>
      <c r="BB23" s="90">
        <f>IF('01 Major Assumptions'!BB$15=0,BB22,0)</f>
        <v>0</v>
      </c>
      <c r="BC23" s="90">
        <f>IF('01 Major Assumptions'!BC$15=0,BC22,0)</f>
        <v>0</v>
      </c>
      <c r="BD23" s="90">
        <f>IF('01 Major Assumptions'!BD$15=0,BD22,0)</f>
        <v>0</v>
      </c>
      <c r="BE23" s="90">
        <f>IF('01 Major Assumptions'!BE$15=0,BE22,0)</f>
        <v>0</v>
      </c>
      <c r="BF23" s="90">
        <f>IF('01 Major Assumptions'!BF$15=0,BF22,0)</f>
        <v>0</v>
      </c>
      <c r="BG23" s="90">
        <f>IF('01 Major Assumptions'!BG$15=0,BG22,0)</f>
        <v>0</v>
      </c>
      <c r="BH23" s="90">
        <f>IF('01 Major Assumptions'!BH$15=0,BH22,0)</f>
        <v>0</v>
      </c>
      <c r="BI23" s="90">
        <f>IF('01 Major Assumptions'!BI$15=0,BI22,0)</f>
        <v>0</v>
      </c>
      <c r="BJ23" s="90">
        <f>IF('01 Major Assumptions'!BJ$15=0,BJ22,0)</f>
        <v>0</v>
      </c>
      <c r="BK23" s="90">
        <f>IF('01 Major Assumptions'!BK$15=0,BK22,0)</f>
        <v>0</v>
      </c>
      <c r="BL23" s="90">
        <f>IF('01 Major Assumptions'!BL$15=0,BL22,0)</f>
        <v>0</v>
      </c>
      <c r="BM23" s="90">
        <f>IF('01 Major Assumptions'!BM$15=0,BM22,0)</f>
        <v>0</v>
      </c>
      <c r="BN23" s="90">
        <f>IF('01 Major Assumptions'!BN$15=0,BN22,0)</f>
        <v>0</v>
      </c>
      <c r="BO23" s="90">
        <f>IF('01 Major Assumptions'!BO$15=0,BO22,0)</f>
        <v>0</v>
      </c>
    </row>
    <row r="24" spans="1:67">
      <c r="A24" s="11"/>
      <c r="B24" s="11"/>
      <c r="C24" s="11" t="s">
        <v>457</v>
      </c>
      <c r="D24" s="33"/>
      <c r="E24" s="10" t="s">
        <v>13</v>
      </c>
      <c r="F24" s="10"/>
      <c r="G24" s="90">
        <f>G22-G23</f>
        <v>0</v>
      </c>
      <c r="H24" s="90">
        <f t="shared" ref="H24:BI24" si="8">H22-H23</f>
        <v>0</v>
      </c>
      <c r="I24" s="90">
        <f t="shared" si="8"/>
        <v>0</v>
      </c>
      <c r="J24" s="90">
        <f t="shared" si="8"/>
        <v>0</v>
      </c>
      <c r="K24" s="90">
        <f t="shared" si="8"/>
        <v>0</v>
      </c>
      <c r="L24" s="90">
        <f t="shared" si="8"/>
        <v>0</v>
      </c>
      <c r="M24" s="90">
        <f t="shared" si="8"/>
        <v>0</v>
      </c>
      <c r="N24" s="90">
        <f t="shared" si="8"/>
        <v>0</v>
      </c>
      <c r="O24" s="90">
        <f t="shared" si="8"/>
        <v>0</v>
      </c>
      <c r="P24" s="90">
        <f t="shared" si="8"/>
        <v>0</v>
      </c>
      <c r="Q24" s="90">
        <f t="shared" si="8"/>
        <v>0</v>
      </c>
      <c r="R24" s="90">
        <f t="shared" si="8"/>
        <v>0</v>
      </c>
      <c r="S24" s="90">
        <f t="shared" si="8"/>
        <v>0</v>
      </c>
      <c r="T24" s="90">
        <f t="shared" si="8"/>
        <v>0</v>
      </c>
      <c r="U24" s="90">
        <f t="shared" si="8"/>
        <v>0</v>
      </c>
      <c r="V24" s="90">
        <f t="shared" si="8"/>
        <v>0</v>
      </c>
      <c r="W24" s="90">
        <f t="shared" si="8"/>
        <v>0</v>
      </c>
      <c r="X24" s="90">
        <f t="shared" si="8"/>
        <v>0</v>
      </c>
      <c r="Y24" s="90">
        <f t="shared" si="8"/>
        <v>0</v>
      </c>
      <c r="Z24" s="90">
        <f t="shared" si="8"/>
        <v>0</v>
      </c>
      <c r="AA24" s="90">
        <f t="shared" si="8"/>
        <v>0</v>
      </c>
      <c r="AB24" s="90">
        <f t="shared" si="8"/>
        <v>4357770.2000038223</v>
      </c>
      <c r="AC24" s="90">
        <f t="shared" si="8"/>
        <v>4357770.2000038223</v>
      </c>
      <c r="AD24" s="90">
        <f t="shared" si="8"/>
        <v>4357770.2000038223</v>
      </c>
      <c r="AE24" s="90">
        <f t="shared" si="8"/>
        <v>4357770.2000038223</v>
      </c>
      <c r="AF24" s="90">
        <f t="shared" si="8"/>
        <v>4357770.2000038223</v>
      </c>
      <c r="AG24" s="90">
        <f t="shared" si="8"/>
        <v>4357770.2000038223</v>
      </c>
      <c r="AH24" s="90">
        <f t="shared" si="8"/>
        <v>4357770.2000038223</v>
      </c>
      <c r="AI24" s="90">
        <f t="shared" si="8"/>
        <v>4357770.2000038223</v>
      </c>
      <c r="AJ24" s="90">
        <f t="shared" si="8"/>
        <v>4357770.2000038223</v>
      </c>
      <c r="AK24" s="90">
        <f t="shared" si="8"/>
        <v>4357770.2000038223</v>
      </c>
      <c r="AL24" s="90">
        <f t="shared" si="8"/>
        <v>4357770.2000038223</v>
      </c>
      <c r="AM24" s="90">
        <f t="shared" si="8"/>
        <v>4357770.2000038223</v>
      </c>
      <c r="AN24" s="90">
        <f t="shared" si="8"/>
        <v>4357770.2000038223</v>
      </c>
      <c r="AO24" s="90">
        <f t="shared" si="8"/>
        <v>4305891.9833371099</v>
      </c>
      <c r="AP24" s="90">
        <f t="shared" si="8"/>
        <v>4254013.7666703975</v>
      </c>
      <c r="AQ24" s="90">
        <f t="shared" si="8"/>
        <v>4202135.5500036851</v>
      </c>
      <c r="AR24" s="90">
        <f t="shared" si="8"/>
        <v>4150257.3333369731</v>
      </c>
      <c r="AS24" s="90">
        <f t="shared" si="8"/>
        <v>4098379.1166702602</v>
      </c>
      <c r="AT24" s="90">
        <f t="shared" si="8"/>
        <v>4046500.9000035482</v>
      </c>
      <c r="AU24" s="90">
        <f t="shared" si="8"/>
        <v>3994622.6833368358</v>
      </c>
      <c r="AV24" s="90">
        <f t="shared" si="8"/>
        <v>3942744.4666701234</v>
      </c>
      <c r="AW24" s="90">
        <f t="shared" si="8"/>
        <v>3890866.250003411</v>
      </c>
      <c r="AX24" s="90">
        <f t="shared" si="8"/>
        <v>3838988.0333366985</v>
      </c>
      <c r="AY24" s="90">
        <f t="shared" si="8"/>
        <v>3787109.8166699861</v>
      </c>
      <c r="AZ24" s="90">
        <f t="shared" si="8"/>
        <v>3735231.6000032737</v>
      </c>
      <c r="BA24" s="90">
        <f t="shared" si="8"/>
        <v>3683353.3833365613</v>
      </c>
      <c r="BB24" s="90">
        <f t="shared" si="8"/>
        <v>3631475.1666698493</v>
      </c>
      <c r="BC24" s="90">
        <f t="shared" si="8"/>
        <v>3579596.9500031364</v>
      </c>
      <c r="BD24" s="90">
        <f t="shared" si="8"/>
        <v>3527718.7333364245</v>
      </c>
      <c r="BE24" s="90">
        <f t="shared" si="8"/>
        <v>3475840.5166697116</v>
      </c>
      <c r="BF24" s="90">
        <f t="shared" si="8"/>
        <v>3423962.3000029996</v>
      </c>
      <c r="BG24" s="90">
        <f t="shared" si="8"/>
        <v>3372084.0833362876</v>
      </c>
      <c r="BH24" s="90">
        <f t="shared" si="8"/>
        <v>3320205.8666695748</v>
      </c>
      <c r="BI24" s="90">
        <f t="shared" si="8"/>
        <v>39219931.800034352</v>
      </c>
      <c r="BJ24" s="90">
        <f t="shared" ref="BJ24" si="9">BJ22-BJ23</f>
        <v>31749468.6000278</v>
      </c>
      <c r="BK24" s="90">
        <f t="shared" ref="BK24" si="10">BK22-BK23</f>
        <v>24279005.400021244</v>
      </c>
      <c r="BL24" s="90">
        <f t="shared" ref="BL24" si="11">BL22-BL23</f>
        <v>16808542.200014696</v>
      </c>
      <c r="BM24" s="90">
        <f t="shared" ref="BM24" si="12">BM22-BM23</f>
        <v>9338079.0000081416</v>
      </c>
      <c r="BN24" s="90">
        <f t="shared" ref="BN24" si="13">BN22-BN23</f>
        <v>1867615.8000015889</v>
      </c>
      <c r="BO24" s="90">
        <f t="shared" ref="BO24" si="14">BO22-BO23</f>
        <v>1867615.8000015889</v>
      </c>
    </row>
    <row r="25" spans="1:67">
      <c r="A25" s="11"/>
      <c r="B25" s="11"/>
      <c r="C25" s="11" t="s">
        <v>1775</v>
      </c>
      <c r="D25" s="33"/>
      <c r="E25" s="10" t="s">
        <v>13</v>
      </c>
      <c r="F25" s="10"/>
      <c r="G25" s="90">
        <f>IF(AND(SUM($G$19:G19)&gt;0,SUM(E$19:$G19)=0),$D$17*'01 Major Assumptions'!$D$140,0)</f>
        <v>0</v>
      </c>
      <c r="H25" s="90">
        <f>IF(AND(SUM($G$19:H19)&gt;0,SUM($G$19:G19)=0),$D$17*'01 Major Assumptions'!$D$140,0)</f>
        <v>0</v>
      </c>
      <c r="I25" s="90">
        <f>IF(AND(SUM($G$19:I19)&gt;0,SUM($G$19:H19)=0),$D$17*'01 Major Assumptions'!$D$140,0)</f>
        <v>0</v>
      </c>
      <c r="J25" s="90">
        <f>IF(AND(SUM($G$19:J19)&gt;0,SUM($G$19:I19)=0),$D$17*'01 Major Assumptions'!$D$140,0)</f>
        <v>0</v>
      </c>
      <c r="K25" s="90">
        <f>IF(AND(SUM($G$19:K19)&gt;0,SUM($G$19:J19)=0),$D$17*'01 Major Assumptions'!$D$140,0)</f>
        <v>0</v>
      </c>
      <c r="L25" s="90">
        <f>IF(AND(SUM($G$19:L19)&gt;0,SUM($G$19:K19)=0),$D$17*'01 Major Assumptions'!$D$140,0)</f>
        <v>0</v>
      </c>
      <c r="M25" s="90">
        <f>IF(AND(SUM($G$19:M19)&gt;0,SUM($G$19:L19)=0),$D$17*'01 Major Assumptions'!$D$140,0)</f>
        <v>0</v>
      </c>
      <c r="N25" s="90">
        <f>IF(AND(SUM($G$19:N19)&gt;0,SUM($G$19:M19)=0),$D$17*'01 Major Assumptions'!$D$140,0)</f>
        <v>0</v>
      </c>
      <c r="O25" s="90">
        <f>IF(AND(SUM($G$19:O19)&gt;0,SUM($G$19:N19)=0),$D$17*'01 Major Assumptions'!$D$140,0)</f>
        <v>0</v>
      </c>
      <c r="P25" s="90">
        <f>IF(AND(SUM($G$19:P19)&gt;0,SUM($G$19:O19)=0),$D$17*'01 Major Assumptions'!$D$140,0)</f>
        <v>0</v>
      </c>
      <c r="Q25" s="90">
        <f>IF(AND(SUM($G$19:Q19)&gt;0,SUM($G$19:P19)=0),$D$17*'01 Major Assumptions'!$D$140,0)</f>
        <v>21085500</v>
      </c>
      <c r="R25" s="90">
        <f>IF(AND(SUM($G$19:R19)&gt;0,SUM($G$19:Q19)=0),$D$17*'01 Major Assumptions'!$D$140,0)</f>
        <v>0</v>
      </c>
      <c r="S25" s="90">
        <f>IF(AND(SUM($G$19:S19)&gt;0,SUM($G$19:R19)=0),$D$17*'01 Major Assumptions'!$D$140,0)</f>
        <v>0</v>
      </c>
      <c r="T25" s="90">
        <f>IF(AND(SUM($G$19:T19)&gt;0,SUM($G$19:S19)=0),$D$17*'01 Major Assumptions'!$D$140,0)</f>
        <v>0</v>
      </c>
      <c r="U25" s="90">
        <f>IF(AND(SUM($G$19:U19)&gt;0,SUM($G$19:T19)=0),$D$17*'01 Major Assumptions'!$D$140,0)</f>
        <v>0</v>
      </c>
      <c r="V25" s="90">
        <f>IF(AND(SUM($G$19:V19)&gt;0,SUM($G$19:U19)=0),$D$17*'01 Major Assumptions'!$D$140,0)</f>
        <v>0</v>
      </c>
      <c r="W25" s="90">
        <f>IF(AND(SUM($G$19:W19)&gt;0,SUM($G$19:V19)=0),$D$17*'01 Major Assumptions'!$D$140,0)</f>
        <v>0</v>
      </c>
      <c r="X25" s="90">
        <f>IF(AND(SUM($G$19:X19)&gt;0,SUM($G$19:W19)=0),$D$17*'01 Major Assumptions'!$D$140,0)</f>
        <v>0</v>
      </c>
      <c r="Y25" s="90">
        <f>IF(AND(SUM($G$19:Y19)&gt;0,SUM($G$19:X19)=0),$D$17*'01 Major Assumptions'!$D$140,0)</f>
        <v>0</v>
      </c>
      <c r="Z25" s="90">
        <f>IF(AND(SUM($G$19:Z19)&gt;0,SUM($G$19:Y19)=0),$D$17*'01 Major Assumptions'!$D$140,0)</f>
        <v>0</v>
      </c>
      <c r="AA25" s="90">
        <f>IF(AND(SUM($G$19:AA19)&gt;0,SUM($G$19:Z19)=0),$D$17*'01 Major Assumptions'!$D$140,0)</f>
        <v>0</v>
      </c>
      <c r="AB25" s="90">
        <f>IF(AND(SUM($G$19:AB19)&gt;0,SUM($G$19:AA19)=0),$D$17*'01 Major Assumptions'!$D$140,0)</f>
        <v>0</v>
      </c>
      <c r="AC25" s="90">
        <f>IF(AND(SUM($G$19:AC19)&gt;0,SUM($G$19:AB19)=0),$D$17*'01 Major Assumptions'!$D$140,0)</f>
        <v>0</v>
      </c>
      <c r="AD25" s="90">
        <f>IF(AND(SUM($G$19:AD19)&gt;0,SUM($G$19:AC19)=0),$D$17*'01 Major Assumptions'!$D$140,0)</f>
        <v>0</v>
      </c>
      <c r="AE25" s="90">
        <f>IF(AND(SUM($G$19:AE19)&gt;0,SUM($G$19:AD19)=0),$D$17*'01 Major Assumptions'!$D$140,0)</f>
        <v>0</v>
      </c>
      <c r="AF25" s="90">
        <f>IF(AND(SUM($G$19:AF19)&gt;0,SUM($G$19:AE19)=0),$D$17*'01 Major Assumptions'!$D$140,0)</f>
        <v>0</v>
      </c>
      <c r="AG25" s="90">
        <f>IF(AND(SUM($G$19:AG19)&gt;0,SUM($G$19:AF19)=0),$D$17*'01 Major Assumptions'!$D$140,0)</f>
        <v>0</v>
      </c>
      <c r="AH25" s="90">
        <f>IF(AND(SUM($G$19:AH19)&gt;0,SUM($G$19:AG19)=0),$D$17*'01 Major Assumptions'!$D$140,0)</f>
        <v>0</v>
      </c>
      <c r="AI25" s="90">
        <f>IF(AND(SUM($G$19:AI19)&gt;0,SUM($G$19:AH19)=0),$D$17*'01 Major Assumptions'!$D$140,0)</f>
        <v>0</v>
      </c>
      <c r="AJ25" s="90">
        <f>IF(AND(SUM($G$19:AJ19)&gt;0,SUM($G$19:AI19)=0),$D$17*'01 Major Assumptions'!$D$140,0)</f>
        <v>0</v>
      </c>
      <c r="AK25" s="90">
        <f>IF(AND(SUM($G$19:AK19)&gt;0,SUM($G$19:AJ19)=0),$D$17*'01 Major Assumptions'!$D$140,0)</f>
        <v>0</v>
      </c>
      <c r="AL25" s="90">
        <f>IF(AND(SUM($G$19:AL19)&gt;0,SUM($G$19:AK19)=0),$D$17*'01 Major Assumptions'!$D$140,0)</f>
        <v>0</v>
      </c>
      <c r="AM25" s="90">
        <f>IF(AND(SUM($G$19:AM19)&gt;0,SUM($G$19:AL19)=0),$D$17*'01 Major Assumptions'!$D$140,0)</f>
        <v>0</v>
      </c>
      <c r="AN25" s="90">
        <f>IF(AND(SUM($G$19:AN19)&gt;0,SUM($G$19:AM19)=0),$D$17*'01 Major Assumptions'!$D$140,0)</f>
        <v>0</v>
      </c>
      <c r="AO25" s="90">
        <f>IF(AND(SUM($G$19:AO19)&gt;0,SUM($G$19:AN19)=0),$D$17*'01 Major Assumptions'!$D$140,0)</f>
        <v>0</v>
      </c>
      <c r="AP25" s="90">
        <f>IF(AND(SUM($G$19:AP19)&gt;0,SUM($G$19:AO19)=0),$D$17*'01 Major Assumptions'!$D$140,0)</f>
        <v>0</v>
      </c>
      <c r="AQ25" s="90">
        <f>IF(AND(SUM($G$19:AQ19)&gt;0,SUM($G$19:AP19)=0),$D$17*'01 Major Assumptions'!$D$140,0)</f>
        <v>0</v>
      </c>
      <c r="AR25" s="90">
        <f>IF(AND(SUM($G$19:AR19)&gt;0,SUM($G$19:AQ19)=0),$D$17*'01 Major Assumptions'!$D$140,0)</f>
        <v>0</v>
      </c>
      <c r="AS25" s="90">
        <f>IF(AND(SUM($G$19:AS19)&gt;0,SUM($G$19:AR19)=0),$D$17*'01 Major Assumptions'!$D$140,0)</f>
        <v>0</v>
      </c>
      <c r="AT25" s="90">
        <f>IF(AND(SUM($G$19:AT19)&gt;0,SUM($G$19:AS19)=0),$D$17*'01 Major Assumptions'!$D$140,0)</f>
        <v>0</v>
      </c>
      <c r="AU25" s="90">
        <f>IF(AND(SUM($G$19:AU19)&gt;0,SUM($G$19:AT19)=0),$D$17*'01 Major Assumptions'!$D$140,0)</f>
        <v>0</v>
      </c>
      <c r="AV25" s="90">
        <f>IF(AND(SUM($G$19:AV19)&gt;0,SUM($G$19:AU19)=0),$D$17*'01 Major Assumptions'!$D$140,0)</f>
        <v>0</v>
      </c>
      <c r="AW25" s="90">
        <f>IF(AND(SUM($G$19:AW19)&gt;0,SUM($G$19:AV19)=0),$D$17*'01 Major Assumptions'!$D$140,0)</f>
        <v>0</v>
      </c>
      <c r="AX25" s="90">
        <f>IF(AND(SUM($G$19:AX19)&gt;0,SUM($G$19:AW19)=0),$D$17*'01 Major Assumptions'!$D$140,0)</f>
        <v>0</v>
      </c>
      <c r="AY25" s="90">
        <f>IF(AND(SUM($G$19:AY19)&gt;0,SUM($G$19:AX19)=0),$D$17*'01 Major Assumptions'!$D$140,0)</f>
        <v>0</v>
      </c>
      <c r="AZ25" s="90">
        <f>IF(AND(SUM($G$19:AZ19)&gt;0,SUM($G$19:AY19)=0),$D$17*'01 Major Assumptions'!$D$140,0)</f>
        <v>0</v>
      </c>
      <c r="BA25" s="90">
        <f>IF(AND(SUM($G$19:BA19)&gt;0,SUM($G$19:AZ19)=0),$D$17*'01 Major Assumptions'!$D$140,0)</f>
        <v>0</v>
      </c>
      <c r="BB25" s="90">
        <f>IF(AND(SUM($G$19:BB19)&gt;0,SUM($G$19:BA19)=0),$D$17*'01 Major Assumptions'!$D$140,0)</f>
        <v>0</v>
      </c>
      <c r="BC25" s="90">
        <f>IF(AND(SUM($G$19:BC19)&gt;0,SUM($G$19:BB19)=0),$D$17*'01 Major Assumptions'!$D$140,0)</f>
        <v>0</v>
      </c>
      <c r="BD25" s="90">
        <f>IF(AND(SUM($G$19:BD19)&gt;0,SUM($G$19:BC19)=0),$D$17*'01 Major Assumptions'!$D$140,0)</f>
        <v>0</v>
      </c>
      <c r="BE25" s="90">
        <f>IF(AND(SUM($G$19:BE19)&gt;0,SUM($G$19:BD19)=0),$D$17*'01 Major Assumptions'!$D$140,0)</f>
        <v>0</v>
      </c>
      <c r="BF25" s="90">
        <f>IF(AND(SUM($G$19:BF19)&gt;0,SUM($G$19:BE19)=0),$D$17*'01 Major Assumptions'!$D$140,0)</f>
        <v>0</v>
      </c>
      <c r="BG25" s="90">
        <f>IF(AND(SUM($G$19:BG19)&gt;0,SUM($G$19:BF19)=0),$D$17*'01 Major Assumptions'!$D$140,0)</f>
        <v>0</v>
      </c>
      <c r="BH25" s="90">
        <f>IF(AND(SUM($G$19:BH19)&gt;0,SUM($G$19:BG19)=0),$D$17*'01 Major Assumptions'!$D$140,0)</f>
        <v>0</v>
      </c>
      <c r="BI25" s="90">
        <f>IF(AND(SUM($G$19:BI19)&gt;0,SUM($G$19:BH19)=0),$D$17*'01 Major Assumptions'!$D$140,0)</f>
        <v>0</v>
      </c>
      <c r="BJ25" s="90">
        <f>IF(AND(SUM($G$19:BJ19)&gt;0,SUM($G$19:BI19)=0),$D$17*'01 Major Assumptions'!$D$140,0)</f>
        <v>0</v>
      </c>
      <c r="BK25" s="90">
        <f>IF(AND(SUM($G$19:BK19)&gt;0,SUM($G$19:BJ19)=0),$D$17*'01 Major Assumptions'!$D$140,0)</f>
        <v>0</v>
      </c>
      <c r="BL25" s="90">
        <f>IF(AND(SUM($G$19:BL19)&gt;0,SUM($G$19:BK19)=0),$D$17*'01 Major Assumptions'!$D$140,0)</f>
        <v>0</v>
      </c>
      <c r="BM25" s="90">
        <f>IF(AND(SUM($G$19:BM19)&gt;0,SUM($G$19:BL19)=0),$D$17*'01 Major Assumptions'!$D$140,0)</f>
        <v>0</v>
      </c>
      <c r="BN25" s="90">
        <f>IF(AND(SUM($G$19:BN19)&gt;0,SUM($G$19:BM19)=0),$D$17*'01 Major Assumptions'!$D$140,0)</f>
        <v>0</v>
      </c>
      <c r="BO25" s="90">
        <f>IF(AND(SUM($G$19:BO19)&gt;0,SUM($G$19:BN19)=0),$D$17*'01 Major Assumptions'!$D$140,0)</f>
        <v>0</v>
      </c>
    </row>
    <row r="26" spans="1:67">
      <c r="A26" s="11"/>
      <c r="B26" s="11"/>
      <c r="C26" s="11" t="s">
        <v>1776</v>
      </c>
      <c r="D26" s="33"/>
      <c r="E26" s="10" t="s">
        <v>13</v>
      </c>
      <c r="F26" s="10"/>
      <c r="G26" s="90">
        <f>IF(AND(SUM($G$19:G19)&gt;0,'01 Major Assumptions'!G$15=0),MAX(0,$D$17-G18)*'01 Major Assumptions'!$D$141*'01 Major Assumptions'!G$14/12,0)</f>
        <v>0</v>
      </c>
      <c r="H26" s="90">
        <f>IF(AND(SUM($G$19:H19)&gt;0,'01 Major Assumptions'!H$15=0),MAX(0,$D$17-H18)*'01 Major Assumptions'!$D$141*'01 Major Assumptions'!H$14/12,0)</f>
        <v>0</v>
      </c>
      <c r="I26" s="90">
        <f>IF(AND(SUM($G$19:I19)&gt;0,'01 Major Assumptions'!I$15=0),MAX(0,$D$17-I18)*'01 Major Assumptions'!$D$141*'01 Major Assumptions'!I$14/12,0)</f>
        <v>0</v>
      </c>
      <c r="J26" s="90">
        <f>IF(AND(SUM($G$19:J19)&gt;0,'01 Major Assumptions'!J$15=0),MAX(0,$D$17-J18)*'01 Major Assumptions'!$D$141*'01 Major Assumptions'!J$14/12,0)</f>
        <v>0</v>
      </c>
      <c r="K26" s="90">
        <f>IF(AND(SUM($G$19:K19)&gt;0,'01 Major Assumptions'!K$15=0),MAX(0,$D$17-K18)*'01 Major Assumptions'!$D$141*'01 Major Assumptions'!K$14/12,0)</f>
        <v>0</v>
      </c>
      <c r="L26" s="90">
        <f>IF(AND(SUM($G$19:L19)&gt;0,'01 Major Assumptions'!L$15=0),MAX(0,$D$17-L18)*'01 Major Assumptions'!$D$141*'01 Major Assumptions'!L$14/12,0)</f>
        <v>0</v>
      </c>
      <c r="M26" s="90">
        <f>IF(AND(SUM($G$19:M19)&gt;0,'01 Major Assumptions'!M$15=0),MAX(0,$D$17-M18)*'01 Major Assumptions'!$D$141*'01 Major Assumptions'!M$14/12,0)</f>
        <v>0</v>
      </c>
      <c r="N26" s="90">
        <f>IF(AND(SUM($G$19:N19)&gt;0,'01 Major Assumptions'!N$15=0),MAX(0,$D$17-N18)*'01 Major Assumptions'!$D$141*'01 Major Assumptions'!N$14/12,0)</f>
        <v>0</v>
      </c>
      <c r="O26" s="90">
        <f>IF(AND(SUM($G$19:O19)&gt;0,'01 Major Assumptions'!O$15=0),MAX(0,$D$17-O18)*'01 Major Assumptions'!$D$141*'01 Major Assumptions'!O$14/12,0)</f>
        <v>0</v>
      </c>
      <c r="P26" s="90">
        <f>IF(AND(SUM($G$19:P19)&gt;0,'01 Major Assumptions'!P$15=0),MAX(0,$D$17-P18)*'01 Major Assumptions'!$D$141*'01 Major Assumptions'!P$14/12,0)</f>
        <v>0</v>
      </c>
      <c r="Q26" s="90">
        <f>IF(AND(SUM($G$19:Q19)&gt;0,'01 Major Assumptions'!Q$15=0),MAX(0,$D$17-Q18)*'01 Major Assumptions'!$D$141*'01 Major Assumptions'!Q$14/12,0)</f>
        <v>292854.16666666669</v>
      </c>
      <c r="R26" s="90">
        <f>IF(AND(SUM($G$19:R19)&gt;0,'01 Major Assumptions'!R$15=0),MAX(0,$D$17-R18)*'01 Major Assumptions'!$D$141*'01 Major Assumptions'!R$14/12,0)</f>
        <v>266660.84099264711</v>
      </c>
      <c r="S26" s="90">
        <f>IF(AND(SUM($G$19:S19)&gt;0,'01 Major Assumptions'!S$15=0),MAX(0,$D$17-S18)*'01 Major Assumptions'!$D$141*'01 Major Assumptions'!S$14/12,0)</f>
        <v>239109.38071959256</v>
      </c>
      <c r="T26" s="90">
        <f>IF(AND(SUM($G$19:T19)&gt;0,'01 Major Assumptions'!T$15=0),MAX(0,$D$17-T18)*'01 Major Assumptions'!$D$141*'01 Major Assumptions'!T$14/12,0)</f>
        <v>211130.90559228123</v>
      </c>
      <c r="U26" s="90">
        <f>IF(AND(SUM($G$19:U19)&gt;0,'01 Major Assumptions'!U$15=0),MAX(0,$D$17-U18)*'01 Major Assumptions'!$D$141*'01 Major Assumptions'!U$14/12,0)</f>
        <v>183000.88039136361</v>
      </c>
      <c r="V26" s="90">
        <f>IF(AND(SUM($G$19:V19)&gt;0,'01 Major Assumptions'!V$15=0),MAX(0,$D$17-V18)*'01 Major Assumptions'!$D$141*'01 Major Assumptions'!V$14/12,0)</f>
        <v>154718.48422060764</v>
      </c>
      <c r="W26" s="90">
        <f>IF(AND(SUM($G$19:W19)&gt;0,'01 Major Assumptions'!W$15=0),MAX(0,$D$17-W18)*'01 Major Assumptions'!$D$141*'01 Major Assumptions'!W$14/12,0)</f>
        <v>126282.89173726011</v>
      </c>
      <c r="X26" s="90">
        <f>IF(AND(SUM($G$19:X19)&gt;0,'01 Major Assumptions'!X$15=0),MAX(0,$D$17-X18)*'01 Major Assumptions'!$D$141*'01 Major Assumptions'!X$14/12,0)</f>
        <v>97693.273127961133</v>
      </c>
      <c r="Y26" s="90">
        <f>IF(AND(SUM($G$19:Y19)&gt;0,'01 Major Assumptions'!Y$15=0),MAX(0,$D$17-Y18)*'01 Major Assumptions'!$D$141*'01 Major Assumptions'!Y$14/12,0)</f>
        <v>68948.794084528447</v>
      </c>
      <c r="Z26" s="90">
        <f>IF(AND(SUM($G$19:Z19)&gt;0,'01 Major Assumptions'!Z$15=0),MAX(0,$D$17-Z18)*'01 Major Assumptions'!$D$141*'01 Major Assumptions'!Z$14/12,0)</f>
        <v>40048.615779610474</v>
      </c>
      <c r="AA26" s="90">
        <f>IF(AND(SUM($G$19:AA19)&gt;0,'01 Major Assumptions'!AA$15=0),MAX(0,$D$17-AA18)*'01 Major Assumptions'!$D$141*'01 Major Assumptions'!AA$14/12,0)</f>
        <v>10991.894842207532</v>
      </c>
      <c r="AB26" s="90">
        <f>IF(AND(SUM($G$19:AB19)&gt;0,'01 Major Assumptions'!AB$15=0),MAX(0,$D$17-AB18)*'01 Major Assumptions'!$D$141*'01 Major Assumptions'!AB$14/12,0)</f>
        <v>0</v>
      </c>
      <c r="AC26" s="90">
        <f>IF(AND(SUM($G$19:AC19)&gt;0,'01 Major Assumptions'!AC$15=0),MAX(0,$D$17-AC18)*'01 Major Assumptions'!$D$141*'01 Major Assumptions'!AC$14/12,0)</f>
        <v>0</v>
      </c>
      <c r="AD26" s="90">
        <f>IF(AND(SUM($G$19:AD19)&gt;0,'01 Major Assumptions'!AD$15=0),MAX(0,$D$17-AD18)*'01 Major Assumptions'!$D$141*'01 Major Assumptions'!AD$14/12,0)</f>
        <v>0</v>
      </c>
      <c r="AE26" s="90">
        <f>IF(AND(SUM($G$19:AE19)&gt;0,'01 Major Assumptions'!AE$15=0),MAX(0,$D$17-AE18)*'01 Major Assumptions'!$D$141*'01 Major Assumptions'!AE$14/12,0)</f>
        <v>0</v>
      </c>
      <c r="AF26" s="90">
        <f>IF(AND(SUM($G$19:AF19)&gt;0,'01 Major Assumptions'!AF$15=0),MAX(0,$D$17-AF18)*'01 Major Assumptions'!$D$141*'01 Major Assumptions'!AF$14/12,0)</f>
        <v>0</v>
      </c>
      <c r="AG26" s="90">
        <f>IF(AND(SUM($G$19:AG19)&gt;0,'01 Major Assumptions'!AG$15=0),MAX(0,$D$17-AG18)*'01 Major Assumptions'!$D$141*'01 Major Assumptions'!AG$14/12,0)</f>
        <v>0</v>
      </c>
      <c r="AH26" s="90">
        <f>IF(AND(SUM($G$19:AH19)&gt;0,'01 Major Assumptions'!AH$15=0),MAX(0,$D$17-AH18)*'01 Major Assumptions'!$D$141*'01 Major Assumptions'!AH$14/12,0)</f>
        <v>0</v>
      </c>
      <c r="AI26" s="90">
        <f>IF(AND(SUM($G$19:AI19)&gt;0,'01 Major Assumptions'!AI$15=0),MAX(0,$D$17-AI18)*'01 Major Assumptions'!$D$141*'01 Major Assumptions'!AI$14/12,0)</f>
        <v>0</v>
      </c>
      <c r="AJ26" s="90">
        <f>IF(AND(SUM($G$19:AJ19)&gt;0,'01 Major Assumptions'!AJ$15=0),MAX(0,$D$17-AJ18)*'01 Major Assumptions'!$D$141*'01 Major Assumptions'!AJ$14/12,0)</f>
        <v>0</v>
      </c>
      <c r="AK26" s="90">
        <f>IF(AND(SUM($G$19:AK19)&gt;0,'01 Major Assumptions'!AK$15=0),MAX(0,$D$17-AK18)*'01 Major Assumptions'!$D$141*'01 Major Assumptions'!AK$14/12,0)</f>
        <v>0</v>
      </c>
      <c r="AL26" s="90">
        <f>IF(AND(SUM($G$19:AL19)&gt;0,'01 Major Assumptions'!AL$15=0),MAX(0,$D$17-AL18)*'01 Major Assumptions'!$D$141*'01 Major Assumptions'!AL$14/12,0)</f>
        <v>0</v>
      </c>
      <c r="AM26" s="90">
        <f>IF(AND(SUM($G$19:AM19)&gt;0,'01 Major Assumptions'!AM$15=0),MAX(0,$D$17-AM18)*'01 Major Assumptions'!$D$141*'01 Major Assumptions'!AM$14/12,0)</f>
        <v>0</v>
      </c>
      <c r="AN26" s="90">
        <f>IF(AND(SUM($G$19:AN19)&gt;0,'01 Major Assumptions'!AN$15=0),MAX(0,$D$17-AN18)*'01 Major Assumptions'!$D$141*'01 Major Assumptions'!AN$14/12,0)</f>
        <v>0</v>
      </c>
      <c r="AO26" s="90">
        <f>IF(AND(SUM($G$19:AO19)&gt;0,'01 Major Assumptions'!AO$15=0),MAX(0,$D$17-AO18)*'01 Major Assumptions'!$D$141*'01 Major Assumptions'!AO$14/12,0)</f>
        <v>0</v>
      </c>
      <c r="AP26" s="90">
        <f>IF(AND(SUM($G$19:AP19)&gt;0,'01 Major Assumptions'!AP$15=0),MAX(0,$D$17-AP18)*'01 Major Assumptions'!$D$141*'01 Major Assumptions'!AP$14/12,0)</f>
        <v>0</v>
      </c>
      <c r="AQ26" s="90">
        <f>IF(AND(SUM($G$19:AQ19)&gt;0,'01 Major Assumptions'!AQ$15=0),MAX(0,$D$17-AQ18)*'01 Major Assumptions'!$D$141*'01 Major Assumptions'!AQ$14/12,0)</f>
        <v>0</v>
      </c>
      <c r="AR26" s="90">
        <f>IF(AND(SUM($G$19:AR19)&gt;0,'01 Major Assumptions'!AR$15=0),MAX(0,$D$17-AR18)*'01 Major Assumptions'!$D$141*'01 Major Assumptions'!AR$14/12,0)</f>
        <v>0</v>
      </c>
      <c r="AS26" s="90">
        <f>IF(AND(SUM($G$19:AS19)&gt;0,'01 Major Assumptions'!AS$15=0),MAX(0,$D$17-AS18)*'01 Major Assumptions'!$D$141*'01 Major Assumptions'!AS$14/12,0)</f>
        <v>0</v>
      </c>
      <c r="AT26" s="90">
        <f>IF(AND(SUM($G$19:AT19)&gt;0,'01 Major Assumptions'!AT$15=0),MAX(0,$D$17-AT18)*'01 Major Assumptions'!$D$141*'01 Major Assumptions'!AT$14/12,0)</f>
        <v>0</v>
      </c>
      <c r="AU26" s="90">
        <f>IF(AND(SUM($G$19:AU19)&gt;0,'01 Major Assumptions'!AU$15=0),MAX(0,$D$17-AU18)*'01 Major Assumptions'!$D$141*'01 Major Assumptions'!AU$14/12,0)</f>
        <v>0</v>
      </c>
      <c r="AV26" s="90">
        <f>IF(AND(SUM($G$19:AV19)&gt;0,'01 Major Assumptions'!AV$15=0),MAX(0,$D$17-AV18)*'01 Major Assumptions'!$D$141*'01 Major Assumptions'!AV$14/12,0)</f>
        <v>0</v>
      </c>
      <c r="AW26" s="90">
        <f>IF(AND(SUM($G$19:AW19)&gt;0,'01 Major Assumptions'!AW$15=0),MAX(0,$D$17-AW18)*'01 Major Assumptions'!$D$141*'01 Major Assumptions'!AW$14/12,0)</f>
        <v>0</v>
      </c>
      <c r="AX26" s="90">
        <f>IF(AND(SUM($G$19:AX19)&gt;0,'01 Major Assumptions'!AX$15=0),MAX(0,$D$17-AX18)*'01 Major Assumptions'!$D$141*'01 Major Assumptions'!AX$14/12,0)</f>
        <v>0</v>
      </c>
      <c r="AY26" s="90">
        <f>IF(AND(SUM($G$19:AY19)&gt;0,'01 Major Assumptions'!AY$15=0),MAX(0,$D$17-AY18)*'01 Major Assumptions'!$D$141*'01 Major Assumptions'!AY$14/12,0)</f>
        <v>0</v>
      </c>
      <c r="AZ26" s="90">
        <f>IF(AND(SUM($G$19:AZ19)&gt;0,'01 Major Assumptions'!AZ$15=0),MAX(0,$D$17-AZ18)*'01 Major Assumptions'!$D$141*'01 Major Assumptions'!AZ$14/12,0)</f>
        <v>0</v>
      </c>
      <c r="BA26" s="90">
        <f>IF(AND(SUM($G$19:BA19)&gt;0,'01 Major Assumptions'!BA$15=0),MAX(0,$D$17-BA18)*'01 Major Assumptions'!$D$141*'01 Major Assumptions'!BA$14/12,0)</f>
        <v>0</v>
      </c>
      <c r="BB26" s="90">
        <f>IF(AND(SUM($G$19:BB19)&gt;0,'01 Major Assumptions'!BB$15=0),MAX(0,$D$17-BB18)*'01 Major Assumptions'!$D$141*'01 Major Assumptions'!BB$14/12,0)</f>
        <v>0</v>
      </c>
      <c r="BC26" s="90">
        <f>IF(AND(SUM($G$19:BC19)&gt;0,'01 Major Assumptions'!BC$15=0),MAX(0,$D$17-BC18)*'01 Major Assumptions'!$D$141*'01 Major Assumptions'!BC$14/12,0)</f>
        <v>0</v>
      </c>
      <c r="BD26" s="90">
        <f>IF(AND(SUM($G$19:BD19)&gt;0,'01 Major Assumptions'!BD$15=0),MAX(0,$D$17-BD18)*'01 Major Assumptions'!$D$141*'01 Major Assumptions'!BD$14/12,0)</f>
        <v>0</v>
      </c>
      <c r="BE26" s="90">
        <f>IF(AND(SUM($G$19:BE19)&gt;0,'01 Major Assumptions'!BE$15=0),MAX(0,$D$17-BE18)*'01 Major Assumptions'!$D$141*'01 Major Assumptions'!BE$14/12,0)</f>
        <v>0</v>
      </c>
      <c r="BF26" s="90">
        <f>IF(AND(SUM($G$19:BF19)&gt;0,'01 Major Assumptions'!BF$15=0),MAX(0,$D$17-BF18)*'01 Major Assumptions'!$D$141*'01 Major Assumptions'!BF$14/12,0)</f>
        <v>0</v>
      </c>
      <c r="BG26" s="90">
        <f>IF(AND(SUM($G$19:BG19)&gt;0,'01 Major Assumptions'!BG$15=0),MAX(0,$D$17-BG18)*'01 Major Assumptions'!$D$141*'01 Major Assumptions'!BG$14/12,0)</f>
        <v>0</v>
      </c>
      <c r="BH26" s="90">
        <f>IF(AND(SUM($G$19:BH19)&gt;0,'01 Major Assumptions'!BH$15=0),MAX(0,$D$17-BH18)*'01 Major Assumptions'!$D$141*'01 Major Assumptions'!BH$14/12,0)</f>
        <v>0</v>
      </c>
      <c r="BI26" s="90">
        <f>IF(AND(SUM($G$19:BI19)&gt;0,'01 Major Assumptions'!BI$15=0),MAX(0,$D$17-BI18)*'01 Major Assumptions'!$D$141*'01 Major Assumptions'!BI$14/12,0)</f>
        <v>0</v>
      </c>
      <c r="BJ26" s="90">
        <f>IF(AND(SUM($G$19:BJ19)&gt;0,'01 Major Assumptions'!BJ$15=0),MAX(0,$D$17-BJ18)*'01 Major Assumptions'!$D$141*'01 Major Assumptions'!BJ$14/12,0)</f>
        <v>0</v>
      </c>
      <c r="BK26" s="90">
        <f>IF(AND(SUM($G$19:BK19)&gt;0,'01 Major Assumptions'!BK$15=0),MAX(0,$D$17-BK18)*'01 Major Assumptions'!$D$141*'01 Major Assumptions'!BK$14/12,0)</f>
        <v>0</v>
      </c>
      <c r="BL26" s="90">
        <f>IF(AND(SUM($G$19:BL19)&gt;0,'01 Major Assumptions'!BL$15=0),MAX(0,$D$17-BL18)*'01 Major Assumptions'!$D$141*'01 Major Assumptions'!BL$14/12,0)</f>
        <v>0</v>
      </c>
      <c r="BM26" s="90">
        <f>IF(AND(SUM($G$19:BM19)&gt;0,'01 Major Assumptions'!BM$15=0),MAX(0,$D$17-BM18)*'01 Major Assumptions'!$D$141*'01 Major Assumptions'!BM$14/12,0)</f>
        <v>0</v>
      </c>
      <c r="BN26" s="90">
        <f>IF(AND(SUM($G$19:BN19)&gt;0,'01 Major Assumptions'!BN$15=0),MAX(0,$D$17-BN18)*'01 Major Assumptions'!$D$141*'01 Major Assumptions'!BN$14/12,0)</f>
        <v>0</v>
      </c>
      <c r="BO26" s="90">
        <f>IF(AND(SUM($G$19:BO19)&gt;0,'01 Major Assumptions'!BO$15=0),MAX(0,$D$17-BO18)*'01 Major Assumptions'!$D$141*'01 Major Assumptions'!BO$14/12,0)</f>
        <v>0</v>
      </c>
    </row>
    <row r="27" spans="1:67">
      <c r="A27" s="11"/>
      <c r="B27" s="11" t="s">
        <v>458</v>
      </c>
      <c r="C27" s="11"/>
      <c r="D27" s="90">
        <f>SUM(G19:BO19)+SUM(G20:BO20)</f>
        <v>747046320.00065517</v>
      </c>
      <c r="E27" s="10" t="s">
        <v>13</v>
      </c>
      <c r="F27" s="10"/>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row>
    <row r="28" spans="1:67">
      <c r="A28" s="11"/>
      <c r="B28" s="11"/>
      <c r="C28" s="11" t="s">
        <v>459</v>
      </c>
      <c r="D28" s="33"/>
      <c r="E28" s="10" t="s">
        <v>460</v>
      </c>
      <c r="F28" s="10"/>
      <c r="G28" s="90">
        <f>IF(AND('01 Major Assumptions'!G$16&gt;'01 Major Assumptions'!$D$137*12,'01 Major Assumptions'!G$16&lt;=('01 Major Assumptions'!$D$137+'01 Major Assumptions'!$D$138)*12),1,0)</f>
        <v>0</v>
      </c>
      <c r="H28" s="90">
        <f>IF(AND('01 Major Assumptions'!H$16&gt;'01 Major Assumptions'!$D$137*12,'01 Major Assumptions'!H$16&lt;=('01 Major Assumptions'!$D$137+'01 Major Assumptions'!$D$138)*12),1,0)</f>
        <v>0</v>
      </c>
      <c r="I28" s="90">
        <f>IF(AND('01 Major Assumptions'!I$16&gt;'01 Major Assumptions'!$D$137*12,'01 Major Assumptions'!I$16&lt;=('01 Major Assumptions'!$D$137+'01 Major Assumptions'!$D$138)*12),1,0)</f>
        <v>0</v>
      </c>
      <c r="J28" s="90">
        <f>IF(AND('01 Major Assumptions'!J$16&gt;'01 Major Assumptions'!$D$137*12,'01 Major Assumptions'!J$16&lt;=('01 Major Assumptions'!$D$137+'01 Major Assumptions'!$D$138)*12),1,0)</f>
        <v>0</v>
      </c>
      <c r="K28" s="90">
        <f>IF(AND('01 Major Assumptions'!K$16&gt;'01 Major Assumptions'!$D$137*12,'01 Major Assumptions'!K$16&lt;=('01 Major Assumptions'!$D$137+'01 Major Assumptions'!$D$138)*12),1,0)</f>
        <v>0</v>
      </c>
      <c r="L28" s="90">
        <f>IF(AND('01 Major Assumptions'!L$16&gt;'01 Major Assumptions'!$D$137*12,'01 Major Assumptions'!L$16&lt;=('01 Major Assumptions'!$D$137+'01 Major Assumptions'!$D$138)*12),1,0)</f>
        <v>0</v>
      </c>
      <c r="M28" s="90">
        <f>IF(AND('01 Major Assumptions'!M$16&gt;'01 Major Assumptions'!$D$137*12,'01 Major Assumptions'!M$16&lt;=('01 Major Assumptions'!$D$137+'01 Major Assumptions'!$D$138)*12),1,0)</f>
        <v>0</v>
      </c>
      <c r="N28" s="90">
        <f>IF(AND('01 Major Assumptions'!N$16&gt;'01 Major Assumptions'!$D$137*12,'01 Major Assumptions'!N$16&lt;=('01 Major Assumptions'!$D$137+'01 Major Assumptions'!$D$138)*12),1,0)</f>
        <v>0</v>
      </c>
      <c r="O28" s="90">
        <f>IF(AND('01 Major Assumptions'!O$16&gt;'01 Major Assumptions'!$D$137*12,'01 Major Assumptions'!O$16&lt;=('01 Major Assumptions'!$D$137+'01 Major Assumptions'!$D$138)*12),1,0)</f>
        <v>0</v>
      </c>
      <c r="P28" s="90">
        <f>IF(AND('01 Major Assumptions'!P$16&gt;'01 Major Assumptions'!$D$137*12,'01 Major Assumptions'!P$16&lt;=('01 Major Assumptions'!$D$137+'01 Major Assumptions'!$D$138)*12),1,0)</f>
        <v>0</v>
      </c>
      <c r="Q28" s="90">
        <f>IF(AND('01 Major Assumptions'!Q$16&gt;'01 Major Assumptions'!$D$137*12,'01 Major Assumptions'!Q$16&lt;=('01 Major Assumptions'!$D$137+'01 Major Assumptions'!$D$138)*12),1,0)</f>
        <v>0</v>
      </c>
      <c r="R28" s="90">
        <f>IF(AND('01 Major Assumptions'!R$16&gt;'01 Major Assumptions'!$D$137*12,'01 Major Assumptions'!R$16&lt;=('01 Major Assumptions'!$D$137+'01 Major Assumptions'!$D$138)*12),1,0)</f>
        <v>0</v>
      </c>
      <c r="S28" s="90">
        <f>IF(AND('01 Major Assumptions'!S$16&gt;'01 Major Assumptions'!$D$137*12,'01 Major Assumptions'!S$16&lt;=('01 Major Assumptions'!$D$137+'01 Major Assumptions'!$D$138)*12),1,0)</f>
        <v>0</v>
      </c>
      <c r="T28" s="90">
        <f>IF(AND('01 Major Assumptions'!T$16&gt;'01 Major Assumptions'!$D$137*12,'01 Major Assumptions'!T$16&lt;=('01 Major Assumptions'!$D$137+'01 Major Assumptions'!$D$138)*12),1,0)</f>
        <v>0</v>
      </c>
      <c r="U28" s="90">
        <f>IF(AND('01 Major Assumptions'!U$16&gt;'01 Major Assumptions'!$D$137*12,'01 Major Assumptions'!U$16&lt;=('01 Major Assumptions'!$D$137+'01 Major Assumptions'!$D$138)*12),1,0)</f>
        <v>0</v>
      </c>
      <c r="V28" s="90">
        <f>IF(AND('01 Major Assumptions'!V$16&gt;'01 Major Assumptions'!$D$137*12,'01 Major Assumptions'!V$16&lt;=('01 Major Assumptions'!$D$137+'01 Major Assumptions'!$D$138)*12),1,0)</f>
        <v>0</v>
      </c>
      <c r="W28" s="90">
        <f>IF(AND('01 Major Assumptions'!W$16&gt;'01 Major Assumptions'!$D$137*12,'01 Major Assumptions'!W$16&lt;=('01 Major Assumptions'!$D$137+'01 Major Assumptions'!$D$138)*12),1,0)</f>
        <v>0</v>
      </c>
      <c r="X28" s="90">
        <f>IF(AND('01 Major Assumptions'!X$16&gt;'01 Major Assumptions'!$D$137*12,'01 Major Assumptions'!X$16&lt;=('01 Major Assumptions'!$D$137+'01 Major Assumptions'!$D$138)*12),1,0)</f>
        <v>0</v>
      </c>
      <c r="Y28" s="90">
        <f>IF(AND('01 Major Assumptions'!Y$16&gt;'01 Major Assumptions'!$D$137*12,'01 Major Assumptions'!Y$16&lt;=('01 Major Assumptions'!$D$137+'01 Major Assumptions'!$D$138)*12),1,0)</f>
        <v>0</v>
      </c>
      <c r="Z28" s="90">
        <f>IF(AND('01 Major Assumptions'!Z$16&gt;'01 Major Assumptions'!$D$137*12,'01 Major Assumptions'!Z$16&lt;=('01 Major Assumptions'!$D$137+'01 Major Assumptions'!$D$138)*12),1,0)</f>
        <v>0</v>
      </c>
      <c r="AA28" s="90">
        <f>IF(AND('01 Major Assumptions'!AA$16&gt;'01 Major Assumptions'!$D$137*12,'01 Major Assumptions'!AA$16&lt;=('01 Major Assumptions'!$D$137+'01 Major Assumptions'!$D$138)*12),1,0)</f>
        <v>0</v>
      </c>
      <c r="AB28" s="90">
        <f>IF(AND('01 Major Assumptions'!AB$16&gt;'01 Major Assumptions'!$D$137*12,'01 Major Assumptions'!AB$16&lt;=('01 Major Assumptions'!$D$137+'01 Major Assumptions'!$D$138)*12),1,0)</f>
        <v>0</v>
      </c>
      <c r="AC28" s="90">
        <f>IF(AND('01 Major Assumptions'!AC$16&gt;'01 Major Assumptions'!$D$137*12,'01 Major Assumptions'!AC$16&lt;=('01 Major Assumptions'!$D$137+'01 Major Assumptions'!$D$138)*12),1,0)</f>
        <v>0</v>
      </c>
      <c r="AD28" s="90">
        <f>IF(AND('01 Major Assumptions'!AD$16&gt;'01 Major Assumptions'!$D$137*12,'01 Major Assumptions'!AD$16&lt;=('01 Major Assumptions'!$D$137+'01 Major Assumptions'!$D$138)*12),1,0)</f>
        <v>0</v>
      </c>
      <c r="AE28" s="90">
        <f>IF(AND('01 Major Assumptions'!AE$16&gt;'01 Major Assumptions'!$D$137*12,'01 Major Assumptions'!AE$16&lt;=('01 Major Assumptions'!$D$137+'01 Major Assumptions'!$D$138)*12),1,0)</f>
        <v>0</v>
      </c>
      <c r="AF28" s="90">
        <f>IF(AND('01 Major Assumptions'!AF$16&gt;'01 Major Assumptions'!$D$137*12,'01 Major Assumptions'!AF$16&lt;=('01 Major Assumptions'!$D$137+'01 Major Assumptions'!$D$138)*12),1,0)</f>
        <v>0</v>
      </c>
      <c r="AG28" s="90">
        <f>IF(AND('01 Major Assumptions'!AG$16&gt;'01 Major Assumptions'!$D$137*12,'01 Major Assumptions'!AG$16&lt;=('01 Major Assumptions'!$D$137+'01 Major Assumptions'!$D$138)*12),1,0)</f>
        <v>0</v>
      </c>
      <c r="AH28" s="90">
        <f>IF(AND('01 Major Assumptions'!AH$16&gt;'01 Major Assumptions'!$D$137*12,'01 Major Assumptions'!AH$16&lt;=('01 Major Assumptions'!$D$137+'01 Major Assumptions'!$D$138)*12),1,0)</f>
        <v>0</v>
      </c>
      <c r="AI28" s="90">
        <f>IF(AND('01 Major Assumptions'!AI$16&gt;'01 Major Assumptions'!$D$137*12,'01 Major Assumptions'!AI$16&lt;=('01 Major Assumptions'!$D$137+'01 Major Assumptions'!$D$138)*12),1,0)</f>
        <v>0</v>
      </c>
      <c r="AJ28" s="90">
        <f>IF(AND('01 Major Assumptions'!AJ$16&gt;'01 Major Assumptions'!$D$137*12,'01 Major Assumptions'!AJ$16&lt;=('01 Major Assumptions'!$D$137+'01 Major Assumptions'!$D$138)*12),1,0)</f>
        <v>0</v>
      </c>
      <c r="AK28" s="90">
        <f>IF(AND('01 Major Assumptions'!AK$16&gt;'01 Major Assumptions'!$D$137*12,'01 Major Assumptions'!AK$16&lt;=('01 Major Assumptions'!$D$137+'01 Major Assumptions'!$D$138)*12),1,0)</f>
        <v>0</v>
      </c>
      <c r="AL28" s="90">
        <f>IF(AND('01 Major Assumptions'!AL$16&gt;'01 Major Assumptions'!$D$137*12,'01 Major Assumptions'!AL$16&lt;=('01 Major Assumptions'!$D$137+'01 Major Assumptions'!$D$138)*12),1,0)</f>
        <v>0</v>
      </c>
      <c r="AM28" s="90">
        <f>IF(AND('01 Major Assumptions'!AM$16&gt;'01 Major Assumptions'!$D$137*12,'01 Major Assumptions'!AM$16&lt;=('01 Major Assumptions'!$D$137+'01 Major Assumptions'!$D$138)*12),1,0)</f>
        <v>0</v>
      </c>
      <c r="AN28" s="90">
        <f>IF(AND('01 Major Assumptions'!AN$16&gt;'01 Major Assumptions'!$D$137*12,'01 Major Assumptions'!AN$16&lt;=('01 Major Assumptions'!$D$137+'01 Major Assumptions'!$D$138)*12),1,0)</f>
        <v>1</v>
      </c>
      <c r="AO28" s="90">
        <f>IF(AND('01 Major Assumptions'!AO$16&gt;'01 Major Assumptions'!$D$137*12,'01 Major Assumptions'!AO$16&lt;=('01 Major Assumptions'!$D$137+'01 Major Assumptions'!$D$138)*12),1,0)</f>
        <v>1</v>
      </c>
      <c r="AP28" s="90">
        <f>IF(AND('01 Major Assumptions'!AP$16&gt;'01 Major Assumptions'!$D$137*12,'01 Major Assumptions'!AP$16&lt;=('01 Major Assumptions'!$D$137+'01 Major Assumptions'!$D$138)*12),1,0)</f>
        <v>1</v>
      </c>
      <c r="AQ28" s="90">
        <f>IF(AND('01 Major Assumptions'!AQ$16&gt;'01 Major Assumptions'!$D$137*12,'01 Major Assumptions'!AQ$16&lt;=('01 Major Assumptions'!$D$137+'01 Major Assumptions'!$D$138)*12),1,0)</f>
        <v>1</v>
      </c>
      <c r="AR28" s="90">
        <f>IF(AND('01 Major Assumptions'!AR$16&gt;'01 Major Assumptions'!$D$137*12,'01 Major Assumptions'!AR$16&lt;=('01 Major Assumptions'!$D$137+'01 Major Assumptions'!$D$138)*12),1,0)</f>
        <v>1</v>
      </c>
      <c r="AS28" s="90">
        <f>IF(AND('01 Major Assumptions'!AS$16&gt;'01 Major Assumptions'!$D$137*12,'01 Major Assumptions'!AS$16&lt;=('01 Major Assumptions'!$D$137+'01 Major Assumptions'!$D$138)*12),1,0)</f>
        <v>1</v>
      </c>
      <c r="AT28" s="90">
        <f>IF(AND('01 Major Assumptions'!AT$16&gt;'01 Major Assumptions'!$D$137*12,'01 Major Assumptions'!AT$16&lt;=('01 Major Assumptions'!$D$137+'01 Major Assumptions'!$D$138)*12),1,0)</f>
        <v>1</v>
      </c>
      <c r="AU28" s="90">
        <f>IF(AND('01 Major Assumptions'!AU$16&gt;'01 Major Assumptions'!$D$137*12,'01 Major Assumptions'!AU$16&lt;=('01 Major Assumptions'!$D$137+'01 Major Assumptions'!$D$138)*12),1,0)</f>
        <v>1</v>
      </c>
      <c r="AV28" s="90">
        <f>IF(AND('01 Major Assumptions'!AV$16&gt;'01 Major Assumptions'!$D$137*12,'01 Major Assumptions'!AV$16&lt;=('01 Major Assumptions'!$D$137+'01 Major Assumptions'!$D$138)*12),1,0)</f>
        <v>1</v>
      </c>
      <c r="AW28" s="90">
        <f>IF(AND('01 Major Assumptions'!AW$16&gt;'01 Major Assumptions'!$D$137*12,'01 Major Assumptions'!AW$16&lt;=('01 Major Assumptions'!$D$137+'01 Major Assumptions'!$D$138)*12),1,0)</f>
        <v>1</v>
      </c>
      <c r="AX28" s="90">
        <f>IF(AND('01 Major Assumptions'!AX$16&gt;'01 Major Assumptions'!$D$137*12,'01 Major Assumptions'!AX$16&lt;=('01 Major Assumptions'!$D$137+'01 Major Assumptions'!$D$138)*12),1,0)</f>
        <v>1</v>
      </c>
      <c r="AY28" s="90">
        <f>IF(AND('01 Major Assumptions'!AY$16&gt;'01 Major Assumptions'!$D$137*12,'01 Major Assumptions'!AY$16&lt;=('01 Major Assumptions'!$D$137+'01 Major Assumptions'!$D$138)*12),1,0)</f>
        <v>1</v>
      </c>
      <c r="AZ28" s="90">
        <f>IF(AND('01 Major Assumptions'!AZ$16&gt;'01 Major Assumptions'!$D$137*12,'01 Major Assumptions'!AZ$16&lt;=('01 Major Assumptions'!$D$137+'01 Major Assumptions'!$D$138)*12),1,0)</f>
        <v>1</v>
      </c>
      <c r="BA28" s="90">
        <f>IF(AND('01 Major Assumptions'!BA$16&gt;'01 Major Assumptions'!$D$137*12,'01 Major Assumptions'!BA$16&lt;=('01 Major Assumptions'!$D$137+'01 Major Assumptions'!$D$138)*12),1,0)</f>
        <v>1</v>
      </c>
      <c r="BB28" s="90">
        <f>IF(AND('01 Major Assumptions'!BB$16&gt;'01 Major Assumptions'!$D$137*12,'01 Major Assumptions'!BB$16&lt;=('01 Major Assumptions'!$D$137+'01 Major Assumptions'!$D$138)*12),1,0)</f>
        <v>1</v>
      </c>
      <c r="BC28" s="90">
        <f>IF(AND('01 Major Assumptions'!BC$16&gt;'01 Major Assumptions'!$D$137*12,'01 Major Assumptions'!BC$16&lt;=('01 Major Assumptions'!$D$137+'01 Major Assumptions'!$D$138)*12),1,0)</f>
        <v>1</v>
      </c>
      <c r="BD28" s="90">
        <f>IF(AND('01 Major Assumptions'!BD$16&gt;'01 Major Assumptions'!$D$137*12,'01 Major Assumptions'!BD$16&lt;=('01 Major Assumptions'!$D$137+'01 Major Assumptions'!$D$138)*12),1,0)</f>
        <v>1</v>
      </c>
      <c r="BE28" s="90">
        <f>IF(AND('01 Major Assumptions'!BE$16&gt;'01 Major Assumptions'!$D$137*12,'01 Major Assumptions'!BE$16&lt;=('01 Major Assumptions'!$D$137+'01 Major Assumptions'!$D$138)*12),1,0)</f>
        <v>1</v>
      </c>
      <c r="BF28" s="90">
        <f>IF(AND('01 Major Assumptions'!BF$16&gt;'01 Major Assumptions'!$D$137*12,'01 Major Assumptions'!BF$16&lt;=('01 Major Assumptions'!$D$137+'01 Major Assumptions'!$D$138)*12),1,0)</f>
        <v>1</v>
      </c>
      <c r="BG28" s="90">
        <f>IF(AND('01 Major Assumptions'!BG$16&gt;'01 Major Assumptions'!$D$137*12,'01 Major Assumptions'!BG$16&lt;=('01 Major Assumptions'!$D$137+'01 Major Assumptions'!$D$138)*12),1,0)</f>
        <v>1</v>
      </c>
      <c r="BH28" s="90">
        <f>IF(AND('01 Major Assumptions'!BH$16&gt;'01 Major Assumptions'!$D$137*12,'01 Major Assumptions'!BH$16&lt;=('01 Major Assumptions'!$D$137+'01 Major Assumptions'!$D$138)*12),1,0)</f>
        <v>1</v>
      </c>
      <c r="BI28" s="90">
        <f>IF(AND('01 Major Assumptions'!BI$16&gt;'01 Major Assumptions'!$D$137*12,'01 Major Assumptions'!BI$16&lt;=('01 Major Assumptions'!$D$137+'01 Major Assumptions'!$D$138)*12),1,0)</f>
        <v>1</v>
      </c>
      <c r="BJ28" s="90">
        <f>IF(AND('01 Major Assumptions'!BJ$16&gt;'01 Major Assumptions'!$D$137*12,'01 Major Assumptions'!BJ$16&lt;=('01 Major Assumptions'!$D$137+'01 Major Assumptions'!$D$138)*12),1,0)</f>
        <v>1</v>
      </c>
      <c r="BK28" s="90">
        <f>IF(AND('01 Major Assumptions'!BK$16&gt;'01 Major Assumptions'!$D$137*12,'01 Major Assumptions'!BK$16&lt;=('01 Major Assumptions'!$D$137+'01 Major Assumptions'!$D$138)*12),1,0)</f>
        <v>1</v>
      </c>
      <c r="BL28" s="90">
        <f>IF(AND('01 Major Assumptions'!BL$16&gt;'01 Major Assumptions'!$D$137*12,'01 Major Assumptions'!BL$16&lt;=('01 Major Assumptions'!$D$137+'01 Major Assumptions'!$D$138)*12),1,0)</f>
        <v>1</v>
      </c>
      <c r="BM28" s="90">
        <f>IF(AND('01 Major Assumptions'!BM$16&gt;'01 Major Assumptions'!$D$137*12,'01 Major Assumptions'!BM$16&lt;=('01 Major Assumptions'!$D$137+'01 Major Assumptions'!$D$138)*12),1,0)</f>
        <v>1</v>
      </c>
      <c r="BN28" s="90">
        <f>IF(AND('01 Major Assumptions'!BN$16&gt;'01 Major Assumptions'!$D$137*12,'01 Major Assumptions'!BN$16&lt;=('01 Major Assumptions'!$D$137+'01 Major Assumptions'!$D$138)*12),1,0)</f>
        <v>0</v>
      </c>
      <c r="BO28" s="90">
        <f>IF(AND('01 Major Assumptions'!BO$16&gt;'01 Major Assumptions'!$D$137*12,'01 Major Assumptions'!BO$16&lt;=('01 Major Assumptions'!$D$137+'01 Major Assumptions'!$D$138)*12),1,0)</f>
        <v>0</v>
      </c>
    </row>
    <row r="29" spans="1:67">
      <c r="A29" s="11"/>
      <c r="B29" s="11"/>
      <c r="C29" s="11" t="s">
        <v>461</v>
      </c>
      <c r="D29" s="33"/>
      <c r="E29" s="10" t="s">
        <v>13</v>
      </c>
      <c r="F29" s="10"/>
      <c r="G29" s="90">
        <f>IF(G28=0,0,MIN(G18,$D$27/('01 Major Assumptions'!$D$138*12)*'01 Major Assumptions'!G$14))</f>
        <v>0</v>
      </c>
      <c r="H29" s="90">
        <f>IF(H28=0,0,MIN(H18,$D$27/('01 Major Assumptions'!$D$138*12)*'01 Major Assumptions'!H$14))</f>
        <v>0</v>
      </c>
      <c r="I29" s="90">
        <f>IF(I28=0,0,MIN(I18,$D$27/('01 Major Assumptions'!$D$138*12)*'01 Major Assumptions'!I$14))</f>
        <v>0</v>
      </c>
      <c r="J29" s="90">
        <f>IF(J28=0,0,MIN(J18,$D$27/('01 Major Assumptions'!$D$138*12)*'01 Major Assumptions'!J$14))</f>
        <v>0</v>
      </c>
      <c r="K29" s="90">
        <f>IF(K28=0,0,MIN(K18,$D$27/('01 Major Assumptions'!$D$138*12)*'01 Major Assumptions'!K$14))</f>
        <v>0</v>
      </c>
      <c r="L29" s="90">
        <f>IF(L28=0,0,MIN(L18,$D$27/('01 Major Assumptions'!$D$138*12)*'01 Major Assumptions'!L$14))</f>
        <v>0</v>
      </c>
      <c r="M29" s="90">
        <f>IF(M28=0,0,MIN(M18,$D$27/('01 Major Assumptions'!$D$138*12)*'01 Major Assumptions'!M$14))</f>
        <v>0</v>
      </c>
      <c r="N29" s="90">
        <f>IF(N28=0,0,MIN(N18,$D$27/('01 Major Assumptions'!$D$138*12)*'01 Major Assumptions'!N$14))</f>
        <v>0</v>
      </c>
      <c r="O29" s="90">
        <f>IF(O28=0,0,MIN(O18,$D$27/('01 Major Assumptions'!$D$138*12)*'01 Major Assumptions'!O$14))</f>
        <v>0</v>
      </c>
      <c r="P29" s="90">
        <f>IF(P28=0,0,MIN(P18,$D$27/('01 Major Assumptions'!$D$138*12)*'01 Major Assumptions'!P$14))</f>
        <v>0</v>
      </c>
      <c r="Q29" s="90">
        <f>IF(Q28=0,0,MIN(Q18,$D$27/('01 Major Assumptions'!$D$138*12)*'01 Major Assumptions'!Q$14))</f>
        <v>0</v>
      </c>
      <c r="R29" s="90">
        <f>IF(R28=0,0,MIN(R18,$D$27/('01 Major Assumptions'!$D$138*12)*'01 Major Assumptions'!R$14))</f>
        <v>0</v>
      </c>
      <c r="S29" s="90">
        <f>IF(S28=0,0,MIN(S18,$D$27/('01 Major Assumptions'!$D$138*12)*'01 Major Assumptions'!S$14))</f>
        <v>0</v>
      </c>
      <c r="T29" s="90">
        <f>IF(T28=0,0,MIN(T18,$D$27/('01 Major Assumptions'!$D$138*12)*'01 Major Assumptions'!T$14))</f>
        <v>0</v>
      </c>
      <c r="U29" s="90">
        <f>IF(U28=0,0,MIN(U18,$D$27/('01 Major Assumptions'!$D$138*12)*'01 Major Assumptions'!U$14))</f>
        <v>0</v>
      </c>
      <c r="V29" s="90">
        <f>IF(V28=0,0,MIN(V18,$D$27/('01 Major Assumptions'!$D$138*12)*'01 Major Assumptions'!V$14))</f>
        <v>0</v>
      </c>
      <c r="W29" s="90">
        <f>IF(W28=0,0,MIN(W18,$D$27/('01 Major Assumptions'!$D$138*12)*'01 Major Assumptions'!W$14))</f>
        <v>0</v>
      </c>
      <c r="X29" s="90">
        <f>IF(X28=0,0,MIN(X18,$D$27/('01 Major Assumptions'!$D$138*12)*'01 Major Assumptions'!X$14))</f>
        <v>0</v>
      </c>
      <c r="Y29" s="90">
        <f>IF(Y28=0,0,MIN(Y18,$D$27/('01 Major Assumptions'!$D$138*12)*'01 Major Assumptions'!Y$14))</f>
        <v>0</v>
      </c>
      <c r="Z29" s="90">
        <f>IF(Z28=0,0,MIN(Z18,$D$27/('01 Major Assumptions'!$D$138*12)*'01 Major Assumptions'!Z$14))</f>
        <v>0</v>
      </c>
      <c r="AA29" s="90">
        <f>IF(AA28=0,0,MIN(AA18,$D$27/('01 Major Assumptions'!$D$138*12)*'01 Major Assumptions'!AA$14))</f>
        <v>0</v>
      </c>
      <c r="AB29" s="90">
        <f>IF(AB28=0,0,MIN(AB18,$D$27/('01 Major Assumptions'!$D$138*12)*'01 Major Assumptions'!AB$14))</f>
        <v>0</v>
      </c>
      <c r="AC29" s="90">
        <f>IF(AC28=0,0,MIN(AC18,$D$27/('01 Major Assumptions'!$D$138*12)*'01 Major Assumptions'!AC$14))</f>
        <v>0</v>
      </c>
      <c r="AD29" s="90">
        <f>IF(AD28=0,0,MIN(AD18,$D$27/('01 Major Assumptions'!$D$138*12)*'01 Major Assumptions'!AD$14))</f>
        <v>0</v>
      </c>
      <c r="AE29" s="90">
        <f>IF(AE28=0,0,MIN(AE18,$D$27/('01 Major Assumptions'!$D$138*12)*'01 Major Assumptions'!AE$14))</f>
        <v>0</v>
      </c>
      <c r="AF29" s="90">
        <f>IF(AF28=0,0,MIN(AF18,$D$27/('01 Major Assumptions'!$D$138*12)*'01 Major Assumptions'!AF$14))</f>
        <v>0</v>
      </c>
      <c r="AG29" s="90">
        <f>IF(AG28=0,0,MIN(AG18,$D$27/('01 Major Assumptions'!$D$138*12)*'01 Major Assumptions'!AG$14))</f>
        <v>0</v>
      </c>
      <c r="AH29" s="90">
        <f>IF(AH28=0,0,MIN(AH18,$D$27/('01 Major Assumptions'!$D$138*12)*'01 Major Assumptions'!AH$14))</f>
        <v>0</v>
      </c>
      <c r="AI29" s="90">
        <f>IF(AI28=0,0,MIN(AI18,$D$27/('01 Major Assumptions'!$D$138*12)*'01 Major Assumptions'!AI$14))</f>
        <v>0</v>
      </c>
      <c r="AJ29" s="90">
        <f>IF(AJ28=0,0,MIN(AJ18,$D$27/('01 Major Assumptions'!$D$138*12)*'01 Major Assumptions'!AJ$14))</f>
        <v>0</v>
      </c>
      <c r="AK29" s="90">
        <f>IF(AK28=0,0,MIN(AK18,$D$27/('01 Major Assumptions'!$D$138*12)*'01 Major Assumptions'!AK$14))</f>
        <v>0</v>
      </c>
      <c r="AL29" s="90">
        <f>IF(AL28=0,0,MIN(AL18,$D$27/('01 Major Assumptions'!$D$138*12)*'01 Major Assumptions'!AL$14))</f>
        <v>0</v>
      </c>
      <c r="AM29" s="90">
        <f>IF(AM28=0,0,MIN(AM18,$D$27/('01 Major Assumptions'!$D$138*12)*'01 Major Assumptions'!AM$14))</f>
        <v>0</v>
      </c>
      <c r="AN29" s="90">
        <f>IF(AN28=0,0,MIN(AN18,$D$27/('01 Major Assumptions'!$D$138*12)*'01 Major Assumptions'!AN$14))</f>
        <v>8893408.5714363717</v>
      </c>
      <c r="AO29" s="90">
        <f>IF(AO28=0,0,MIN(AO18,$D$27/('01 Major Assumptions'!$D$138*12)*'01 Major Assumptions'!AO$14))</f>
        <v>8893408.5714363717</v>
      </c>
      <c r="AP29" s="90">
        <f>IF(AP28=0,0,MIN(AP18,$D$27/('01 Major Assumptions'!$D$138*12)*'01 Major Assumptions'!AP$14))</f>
        <v>8893408.5714363717</v>
      </c>
      <c r="AQ29" s="90">
        <f>IF(AQ28=0,0,MIN(AQ18,$D$27/('01 Major Assumptions'!$D$138*12)*'01 Major Assumptions'!AQ$14))</f>
        <v>8893408.5714363717</v>
      </c>
      <c r="AR29" s="90">
        <f>IF(AR28=0,0,MIN(AR18,$D$27/('01 Major Assumptions'!$D$138*12)*'01 Major Assumptions'!AR$14))</f>
        <v>8893408.5714363717</v>
      </c>
      <c r="AS29" s="90">
        <f>IF(AS28=0,0,MIN(AS18,$D$27/('01 Major Assumptions'!$D$138*12)*'01 Major Assumptions'!AS$14))</f>
        <v>8893408.5714363717</v>
      </c>
      <c r="AT29" s="90">
        <f>IF(AT28=0,0,MIN(AT18,$D$27/('01 Major Assumptions'!$D$138*12)*'01 Major Assumptions'!AT$14))</f>
        <v>8893408.5714363717</v>
      </c>
      <c r="AU29" s="90">
        <f>IF(AU28=0,0,MIN(AU18,$D$27/('01 Major Assumptions'!$D$138*12)*'01 Major Assumptions'!AU$14))</f>
        <v>8893408.5714363717</v>
      </c>
      <c r="AV29" s="90">
        <f>IF(AV28=0,0,MIN(AV18,$D$27/('01 Major Assumptions'!$D$138*12)*'01 Major Assumptions'!AV$14))</f>
        <v>8893408.5714363717</v>
      </c>
      <c r="AW29" s="90">
        <f>IF(AW28=0,0,MIN(AW18,$D$27/('01 Major Assumptions'!$D$138*12)*'01 Major Assumptions'!AW$14))</f>
        <v>8893408.5714363717</v>
      </c>
      <c r="AX29" s="90">
        <f>IF(AX28=0,0,MIN(AX18,$D$27/('01 Major Assumptions'!$D$138*12)*'01 Major Assumptions'!AX$14))</f>
        <v>8893408.5714363717</v>
      </c>
      <c r="AY29" s="90">
        <f>IF(AY28=0,0,MIN(AY18,$D$27/('01 Major Assumptions'!$D$138*12)*'01 Major Assumptions'!AY$14))</f>
        <v>8893408.5714363717</v>
      </c>
      <c r="AZ29" s="90">
        <f>IF(AZ28=0,0,MIN(AZ18,$D$27/('01 Major Assumptions'!$D$138*12)*'01 Major Assumptions'!AZ$14))</f>
        <v>8893408.5714363717</v>
      </c>
      <c r="BA29" s="90">
        <f>IF(BA28=0,0,MIN(BA18,$D$27/('01 Major Assumptions'!$D$138*12)*'01 Major Assumptions'!BA$14))</f>
        <v>8893408.5714363717</v>
      </c>
      <c r="BB29" s="90">
        <f>IF(BB28=0,0,MIN(BB18,$D$27/('01 Major Assumptions'!$D$138*12)*'01 Major Assumptions'!BB$14))</f>
        <v>8893408.5714363717</v>
      </c>
      <c r="BC29" s="90">
        <f>IF(BC28=0,0,MIN(BC18,$D$27/('01 Major Assumptions'!$D$138*12)*'01 Major Assumptions'!BC$14))</f>
        <v>8893408.5714363717</v>
      </c>
      <c r="BD29" s="90">
        <f>IF(BD28=0,0,MIN(BD18,$D$27/('01 Major Assumptions'!$D$138*12)*'01 Major Assumptions'!BD$14))</f>
        <v>8893408.5714363717</v>
      </c>
      <c r="BE29" s="90">
        <f>IF(BE28=0,0,MIN(BE18,$D$27/('01 Major Assumptions'!$D$138*12)*'01 Major Assumptions'!BE$14))</f>
        <v>8893408.5714363717</v>
      </c>
      <c r="BF29" s="90">
        <f>IF(BF28=0,0,MIN(BF18,$D$27/('01 Major Assumptions'!$D$138*12)*'01 Major Assumptions'!BF$14))</f>
        <v>8893408.5714363717</v>
      </c>
      <c r="BG29" s="90">
        <f>IF(BG28=0,0,MIN(BG18,$D$27/('01 Major Assumptions'!$D$138*12)*'01 Major Assumptions'!BG$14))</f>
        <v>8893408.5714363717</v>
      </c>
      <c r="BH29" s="90">
        <f>IF(BH28=0,0,MIN(BH18,$D$27/('01 Major Assumptions'!$D$138*12)*'01 Major Assumptions'!BH$14))</f>
        <v>8893408.5714363717</v>
      </c>
      <c r="BI29" s="90">
        <f>IF(BI28=0,0,MIN(BI18,$D$27/('01 Major Assumptions'!$D$138*12)*'01 Major Assumptions'!BI$14))</f>
        <v>106720902.85723646</v>
      </c>
      <c r="BJ29" s="90">
        <f>IF(BJ28=0,0,MIN(BJ18,$D$27/('01 Major Assumptions'!$D$138*12)*'01 Major Assumptions'!BJ$14))</f>
        <v>106720902.85723646</v>
      </c>
      <c r="BK29" s="90">
        <f>IF(BK28=0,0,MIN(BK18,$D$27/('01 Major Assumptions'!$D$138*12)*'01 Major Assumptions'!BK$14))</f>
        <v>106720902.85723646</v>
      </c>
      <c r="BL29" s="90">
        <f>IF(BL28=0,0,MIN(BL18,$D$27/('01 Major Assumptions'!$D$138*12)*'01 Major Assumptions'!BL$14))</f>
        <v>106720902.85723646</v>
      </c>
      <c r="BM29" s="90">
        <f>IF(BM28=0,0,MIN(BM18,$D$27/('01 Major Assumptions'!$D$138*12)*'01 Major Assumptions'!BM$14))</f>
        <v>106720902.85723646</v>
      </c>
      <c r="BN29" s="90">
        <f>IF(BN28=0,0,MIN(BN18,$D$27/('01 Major Assumptions'!$D$138*12)*'01 Major Assumptions'!BN$14))</f>
        <v>0</v>
      </c>
      <c r="BO29" s="90">
        <f>IF(BO28=0,0,MIN(BO18,$D$27/('01 Major Assumptions'!$D$138*12)*'01 Major Assumptions'!BO$14))</f>
        <v>0</v>
      </c>
    </row>
    <row r="30" spans="1:67">
      <c r="A30" s="11"/>
      <c r="B30" s="11"/>
      <c r="C30" s="11" t="s">
        <v>18</v>
      </c>
      <c r="D30" s="33"/>
      <c r="E30" s="10" t="s">
        <v>13</v>
      </c>
      <c r="F30" s="10"/>
      <c r="G30" s="90">
        <f>G18+G19+G20-G29</f>
        <v>0</v>
      </c>
      <c r="H30" s="90">
        <f t="shared" ref="H30:BI30" si="15">H18+H19+H20-H29</f>
        <v>0</v>
      </c>
      <c r="I30" s="90">
        <f t="shared" si="15"/>
        <v>0</v>
      </c>
      <c r="J30" s="90">
        <f t="shared" si="15"/>
        <v>0</v>
      </c>
      <c r="K30" s="90">
        <f t="shared" si="15"/>
        <v>0</v>
      </c>
      <c r="L30" s="90">
        <f t="shared" si="15"/>
        <v>0</v>
      </c>
      <c r="M30" s="90">
        <f t="shared" si="15"/>
        <v>0</v>
      </c>
      <c r="N30" s="90">
        <f t="shared" si="15"/>
        <v>0</v>
      </c>
      <c r="O30" s="90">
        <f t="shared" si="15"/>
        <v>0</v>
      </c>
      <c r="P30" s="90">
        <f t="shared" si="15"/>
        <v>0</v>
      </c>
      <c r="Q30" s="90">
        <f t="shared" si="15"/>
        <v>62863981.617646933</v>
      </c>
      <c r="R30" s="90">
        <f t="shared" si="15"/>
        <v>128987486.27297781</v>
      </c>
      <c r="S30" s="90">
        <f t="shared" si="15"/>
        <v>196135826.5785251</v>
      </c>
      <c r="T30" s="90">
        <f t="shared" si="15"/>
        <v>263647887.06072742</v>
      </c>
      <c r="U30" s="90">
        <f t="shared" si="15"/>
        <v>331525637.87054163</v>
      </c>
      <c r="V30" s="90">
        <f t="shared" si="15"/>
        <v>399771059.8305757</v>
      </c>
      <c r="W30" s="90">
        <f t="shared" si="15"/>
        <v>468386144.49289328</v>
      </c>
      <c r="X30" s="90">
        <f t="shared" si="15"/>
        <v>537372894.19713175</v>
      </c>
      <c r="Y30" s="90">
        <f t="shared" si="15"/>
        <v>606733322.12893486</v>
      </c>
      <c r="Z30" s="90">
        <f t="shared" si="15"/>
        <v>676469452.37870193</v>
      </c>
      <c r="AA30" s="90">
        <f t="shared" si="15"/>
        <v>747046320.00065517</v>
      </c>
      <c r="AB30" s="90">
        <f t="shared" si="15"/>
        <v>747046320.00065517</v>
      </c>
      <c r="AC30" s="90">
        <f t="shared" si="15"/>
        <v>747046320.00065517</v>
      </c>
      <c r="AD30" s="90">
        <f t="shared" si="15"/>
        <v>747046320.00065517</v>
      </c>
      <c r="AE30" s="90">
        <f t="shared" si="15"/>
        <v>747046320.00065517</v>
      </c>
      <c r="AF30" s="90">
        <f t="shared" si="15"/>
        <v>747046320.00065517</v>
      </c>
      <c r="AG30" s="90">
        <f t="shared" si="15"/>
        <v>747046320.00065517</v>
      </c>
      <c r="AH30" s="90">
        <f t="shared" si="15"/>
        <v>747046320.00065517</v>
      </c>
      <c r="AI30" s="90">
        <f t="shared" si="15"/>
        <v>747046320.00065517</v>
      </c>
      <c r="AJ30" s="90">
        <f t="shared" si="15"/>
        <v>747046320.00065517</v>
      </c>
      <c r="AK30" s="90">
        <f t="shared" si="15"/>
        <v>747046320.00065517</v>
      </c>
      <c r="AL30" s="90">
        <f t="shared" si="15"/>
        <v>747046320.00065517</v>
      </c>
      <c r="AM30" s="90">
        <f t="shared" si="15"/>
        <v>747046320.00065517</v>
      </c>
      <c r="AN30" s="90">
        <f t="shared" si="15"/>
        <v>738152911.42921877</v>
      </c>
      <c r="AO30" s="90">
        <f t="shared" si="15"/>
        <v>729259502.85778236</v>
      </c>
      <c r="AP30" s="90">
        <f t="shared" si="15"/>
        <v>720366094.28634596</v>
      </c>
      <c r="AQ30" s="90">
        <f t="shared" si="15"/>
        <v>711472685.71490955</v>
      </c>
      <c r="AR30" s="90">
        <f t="shared" si="15"/>
        <v>702579277.14347315</v>
      </c>
      <c r="AS30" s="90">
        <f t="shared" si="15"/>
        <v>693685868.57203674</v>
      </c>
      <c r="AT30" s="90">
        <f t="shared" si="15"/>
        <v>684792460.00060034</v>
      </c>
      <c r="AU30" s="90">
        <f t="shared" si="15"/>
        <v>675899051.42916393</v>
      </c>
      <c r="AV30" s="90">
        <f t="shared" si="15"/>
        <v>667005642.85772753</v>
      </c>
      <c r="AW30" s="90">
        <f t="shared" si="15"/>
        <v>658112234.28629112</v>
      </c>
      <c r="AX30" s="90">
        <f t="shared" si="15"/>
        <v>649218825.71485472</v>
      </c>
      <c r="AY30" s="90">
        <f t="shared" si="15"/>
        <v>640325417.14341831</v>
      </c>
      <c r="AZ30" s="90">
        <f t="shared" si="15"/>
        <v>631432008.57198191</v>
      </c>
      <c r="BA30" s="90">
        <f t="shared" si="15"/>
        <v>622538600.0005455</v>
      </c>
      <c r="BB30" s="90">
        <f t="shared" si="15"/>
        <v>613645191.4291091</v>
      </c>
      <c r="BC30" s="90">
        <f t="shared" si="15"/>
        <v>604751782.85767269</v>
      </c>
      <c r="BD30" s="90">
        <f t="shared" si="15"/>
        <v>595858374.28623629</v>
      </c>
      <c r="BE30" s="90">
        <f t="shared" si="15"/>
        <v>586964965.71479988</v>
      </c>
      <c r="BF30" s="90">
        <f t="shared" si="15"/>
        <v>578071557.14336348</v>
      </c>
      <c r="BG30" s="90">
        <f t="shared" si="15"/>
        <v>569178148.57192707</v>
      </c>
      <c r="BH30" s="90">
        <f t="shared" si="15"/>
        <v>560284740.00049067</v>
      </c>
      <c r="BI30" s="90">
        <f t="shared" si="15"/>
        <v>453563837.14325422</v>
      </c>
      <c r="BJ30" s="90">
        <f t="shared" ref="BJ30" si="16">BJ18+BJ19+BJ20-BJ29</f>
        <v>346842934.28601778</v>
      </c>
      <c r="BK30" s="90">
        <f t="shared" ref="BK30" si="17">BK18+BK19+BK20-BK29</f>
        <v>240122031.42878133</v>
      </c>
      <c r="BL30" s="90">
        <f t="shared" ref="BL30" si="18">BL18+BL19+BL20-BL29</f>
        <v>133401128.57154487</v>
      </c>
      <c r="BM30" s="63">
        <f t="shared" ref="BM30" si="19">BM18+BM19+BM20-BM29</f>
        <v>26680225.714308411</v>
      </c>
      <c r="BN30" s="63">
        <f t="shared" ref="BN30" si="20">BN18+BN19+BN20-BN29</f>
        <v>26680225.714308411</v>
      </c>
      <c r="BO30" s="63">
        <f t="shared" ref="BO30" si="21">BO18+BO19+BO20-BO29</f>
        <v>26680225.714308411</v>
      </c>
    </row>
    <row r="31" spans="1:67">
      <c r="A31" s="11"/>
      <c r="B31" s="11"/>
      <c r="C31" s="11" t="s">
        <v>462</v>
      </c>
      <c r="D31" s="33"/>
      <c r="E31" s="10" t="s">
        <v>13</v>
      </c>
      <c r="F31" s="10"/>
      <c r="G31" s="90">
        <f>IF('01 Major Assumptions'!G$15=0,0,MIN(G30,$D$27/'01 Major Assumptions'!$D$138))</f>
        <v>0</v>
      </c>
      <c r="H31" s="90">
        <f>IF('01 Major Assumptions'!H$15=0,0,MIN(H30,$D$27/'01 Major Assumptions'!$D$138))</f>
        <v>0</v>
      </c>
      <c r="I31" s="90">
        <f>IF('01 Major Assumptions'!I$15=0,0,MIN(I30,$D$27/'01 Major Assumptions'!$D$138))</f>
        <v>0</v>
      </c>
      <c r="J31" s="90">
        <f>IF('01 Major Assumptions'!J$15=0,0,MIN(J30,$D$27/'01 Major Assumptions'!$D$138))</f>
        <v>0</v>
      </c>
      <c r="K31" s="90">
        <f>IF('01 Major Assumptions'!K$15=0,0,MIN(K30,$D$27/'01 Major Assumptions'!$D$138))</f>
        <v>0</v>
      </c>
      <c r="L31" s="90">
        <f>IF('01 Major Assumptions'!L$15=0,0,MIN(L30,$D$27/'01 Major Assumptions'!$D$138))</f>
        <v>0</v>
      </c>
      <c r="M31" s="90">
        <f>IF('01 Major Assumptions'!M$15=0,0,MIN(M30,$D$27/'01 Major Assumptions'!$D$138))</f>
        <v>0</v>
      </c>
      <c r="N31" s="90">
        <f>IF('01 Major Assumptions'!N$15=0,0,MIN(N30,$D$27/'01 Major Assumptions'!$D$138))</f>
        <v>0</v>
      </c>
      <c r="O31" s="90">
        <f>IF('01 Major Assumptions'!O$15=0,0,MIN(O30,$D$27/'01 Major Assumptions'!$D$138))</f>
        <v>0</v>
      </c>
      <c r="P31" s="90">
        <f>IF('01 Major Assumptions'!P$15=0,0,MIN(P30,$D$27/'01 Major Assumptions'!$D$138))</f>
        <v>0</v>
      </c>
      <c r="Q31" s="90">
        <f>IF('01 Major Assumptions'!Q$15=0,0,MIN(Q30,$D$27/'01 Major Assumptions'!$D$138))</f>
        <v>0</v>
      </c>
      <c r="R31" s="90">
        <f>IF('01 Major Assumptions'!R$15=0,0,MIN(R30,$D$27/'01 Major Assumptions'!$D$138))</f>
        <v>0</v>
      </c>
      <c r="S31" s="90">
        <f>IF('01 Major Assumptions'!S$15=0,0,MIN(S30,$D$27/'01 Major Assumptions'!$D$138))</f>
        <v>0</v>
      </c>
      <c r="T31" s="90">
        <f>IF('01 Major Assumptions'!T$15=0,0,MIN(T30,$D$27/'01 Major Assumptions'!$D$138))</f>
        <v>0</v>
      </c>
      <c r="U31" s="90">
        <f>IF('01 Major Assumptions'!U$15=0,0,MIN(U30,$D$27/'01 Major Assumptions'!$D$138))</f>
        <v>0</v>
      </c>
      <c r="V31" s="90">
        <f>IF('01 Major Assumptions'!V$15=0,0,MIN(V30,$D$27/'01 Major Assumptions'!$D$138))</f>
        <v>0</v>
      </c>
      <c r="W31" s="90">
        <f>IF('01 Major Assumptions'!W$15=0,0,MIN(W30,$D$27/'01 Major Assumptions'!$D$138))</f>
        <v>0</v>
      </c>
      <c r="X31" s="90">
        <f>IF('01 Major Assumptions'!X$15=0,0,MIN(X30,$D$27/'01 Major Assumptions'!$D$138))</f>
        <v>0</v>
      </c>
      <c r="Y31" s="90">
        <f>IF('01 Major Assumptions'!Y$15=0,0,MIN(Y30,$D$27/'01 Major Assumptions'!$D$138))</f>
        <v>0</v>
      </c>
      <c r="Z31" s="90">
        <f>IF('01 Major Assumptions'!Z$15=0,0,MIN(Z30,$D$27/'01 Major Assumptions'!$D$138))</f>
        <v>0</v>
      </c>
      <c r="AA31" s="90">
        <f>IF('01 Major Assumptions'!AA$15=0,0,MIN(AA30,$D$27/'01 Major Assumptions'!$D$138))</f>
        <v>0</v>
      </c>
      <c r="AB31" s="90">
        <f>IF('01 Major Assumptions'!AB$15=0,0,MIN(AB30,$D$27/'01 Major Assumptions'!$D$138))</f>
        <v>106720902.85723646</v>
      </c>
      <c r="AC31" s="90">
        <f>IF('01 Major Assumptions'!AC$15=0,0,MIN(AC30,$D$27/'01 Major Assumptions'!$D$138))</f>
        <v>106720902.85723646</v>
      </c>
      <c r="AD31" s="90">
        <f>IF('01 Major Assumptions'!AD$15=0,0,MIN(AD30,$D$27/'01 Major Assumptions'!$D$138))</f>
        <v>106720902.85723646</v>
      </c>
      <c r="AE31" s="90">
        <f>IF('01 Major Assumptions'!AE$15=0,0,MIN(AE30,$D$27/'01 Major Assumptions'!$D$138))</f>
        <v>106720902.85723646</v>
      </c>
      <c r="AF31" s="90">
        <f>IF('01 Major Assumptions'!AF$15=0,0,MIN(AF30,$D$27/'01 Major Assumptions'!$D$138))</f>
        <v>106720902.85723646</v>
      </c>
      <c r="AG31" s="90">
        <f>IF('01 Major Assumptions'!AG$15=0,0,MIN(AG30,$D$27/'01 Major Assumptions'!$D$138))</f>
        <v>106720902.85723646</v>
      </c>
      <c r="AH31" s="90">
        <f>IF('01 Major Assumptions'!AH$15=0,0,MIN(AH30,$D$27/'01 Major Assumptions'!$D$138))</f>
        <v>106720902.85723646</v>
      </c>
      <c r="AI31" s="90">
        <f>IF('01 Major Assumptions'!AI$15=0,0,MIN(AI30,$D$27/'01 Major Assumptions'!$D$138))</f>
        <v>106720902.85723646</v>
      </c>
      <c r="AJ31" s="90">
        <f>IF('01 Major Assumptions'!AJ$15=0,0,MIN(AJ30,$D$27/'01 Major Assumptions'!$D$138))</f>
        <v>106720902.85723646</v>
      </c>
      <c r="AK31" s="90">
        <f>IF('01 Major Assumptions'!AK$15=0,0,MIN(AK30,$D$27/'01 Major Assumptions'!$D$138))</f>
        <v>106720902.85723646</v>
      </c>
      <c r="AL31" s="90">
        <f>IF('01 Major Assumptions'!AL$15=0,0,MIN(AL30,$D$27/'01 Major Assumptions'!$D$138))</f>
        <v>106720902.85723646</v>
      </c>
      <c r="AM31" s="90">
        <f>IF('01 Major Assumptions'!AM$15=0,0,MIN(AM30,$D$27/'01 Major Assumptions'!$D$138))</f>
        <v>106720902.85723646</v>
      </c>
      <c r="AN31" s="90">
        <f>IF('01 Major Assumptions'!AN$15=0,0,MIN(AN30,$D$27/'01 Major Assumptions'!$D$138))</f>
        <v>106720902.85723646</v>
      </c>
      <c r="AO31" s="90">
        <f>IF('01 Major Assumptions'!AO$15=0,0,MIN(AO30,$D$27/'01 Major Assumptions'!$D$138))</f>
        <v>106720902.85723646</v>
      </c>
      <c r="AP31" s="90">
        <f>IF('01 Major Assumptions'!AP$15=0,0,MIN(AP30,$D$27/'01 Major Assumptions'!$D$138))</f>
        <v>106720902.85723646</v>
      </c>
      <c r="AQ31" s="90">
        <f>IF('01 Major Assumptions'!AQ$15=0,0,MIN(AQ30,$D$27/'01 Major Assumptions'!$D$138))</f>
        <v>106720902.85723646</v>
      </c>
      <c r="AR31" s="90">
        <f>IF('01 Major Assumptions'!AR$15=0,0,MIN(AR30,$D$27/'01 Major Assumptions'!$D$138))</f>
        <v>106720902.85723646</v>
      </c>
      <c r="AS31" s="90">
        <f>IF('01 Major Assumptions'!AS$15=0,0,MIN(AS30,$D$27/'01 Major Assumptions'!$D$138))</f>
        <v>106720902.85723646</v>
      </c>
      <c r="AT31" s="90">
        <f>IF('01 Major Assumptions'!AT$15=0,0,MIN(AT30,$D$27/'01 Major Assumptions'!$D$138))</f>
        <v>106720902.85723646</v>
      </c>
      <c r="AU31" s="90">
        <f>IF('01 Major Assumptions'!AU$15=0,0,MIN(AU30,$D$27/'01 Major Assumptions'!$D$138))</f>
        <v>106720902.85723646</v>
      </c>
      <c r="AV31" s="90">
        <f>IF('01 Major Assumptions'!AV$15=0,0,MIN(AV30,$D$27/'01 Major Assumptions'!$D$138))</f>
        <v>106720902.85723646</v>
      </c>
      <c r="AW31" s="90">
        <f>IF('01 Major Assumptions'!AW$15=0,0,MIN(AW30,$D$27/'01 Major Assumptions'!$D$138))</f>
        <v>106720902.85723646</v>
      </c>
      <c r="AX31" s="90">
        <f>IF('01 Major Assumptions'!AX$15=0,0,MIN(AX30,$D$27/'01 Major Assumptions'!$D$138))</f>
        <v>106720902.85723646</v>
      </c>
      <c r="AY31" s="90">
        <f>IF('01 Major Assumptions'!AY$15=0,0,MIN(AY30,$D$27/'01 Major Assumptions'!$D$138))</f>
        <v>106720902.85723646</v>
      </c>
      <c r="AZ31" s="90">
        <f>IF('01 Major Assumptions'!AZ$15=0,0,MIN(AZ30,$D$27/'01 Major Assumptions'!$D$138))</f>
        <v>106720902.85723646</v>
      </c>
      <c r="BA31" s="90">
        <f>IF('01 Major Assumptions'!BA$15=0,0,MIN(BA30,$D$27/'01 Major Assumptions'!$D$138))</f>
        <v>106720902.85723646</v>
      </c>
      <c r="BB31" s="90">
        <f>IF('01 Major Assumptions'!BB$15=0,0,MIN(BB30,$D$27/'01 Major Assumptions'!$D$138))</f>
        <v>106720902.85723646</v>
      </c>
      <c r="BC31" s="90">
        <f>IF('01 Major Assumptions'!BC$15=0,0,MIN(BC30,$D$27/'01 Major Assumptions'!$D$138))</f>
        <v>106720902.85723646</v>
      </c>
      <c r="BD31" s="90">
        <f>IF('01 Major Assumptions'!BD$15=0,0,MIN(BD30,$D$27/'01 Major Assumptions'!$D$138))</f>
        <v>106720902.85723646</v>
      </c>
      <c r="BE31" s="90">
        <f>IF('01 Major Assumptions'!BE$15=0,0,MIN(BE30,$D$27/'01 Major Assumptions'!$D$138))</f>
        <v>106720902.85723646</v>
      </c>
      <c r="BF31" s="90">
        <f>IF('01 Major Assumptions'!BF$15=0,0,MIN(BF30,$D$27/'01 Major Assumptions'!$D$138))</f>
        <v>106720902.85723646</v>
      </c>
      <c r="BG31" s="90">
        <f>IF('01 Major Assumptions'!BG$15=0,0,MIN(BG30,$D$27/'01 Major Assumptions'!$D$138))</f>
        <v>106720902.85723646</v>
      </c>
      <c r="BH31" s="90">
        <f>IF('01 Major Assumptions'!BH$15=0,0,MIN(BH30,$D$27/'01 Major Assumptions'!$D$138))</f>
        <v>106720902.85723646</v>
      </c>
      <c r="BI31" s="90">
        <f>IF('01 Major Assumptions'!BI$15=0,0,MIN(BI30,$D$27/'01 Major Assumptions'!$D$138))</f>
        <v>106720902.85723646</v>
      </c>
      <c r="BJ31" s="90">
        <f>IF('01 Major Assumptions'!BJ$15=0,0,MIN(BJ30,$D$27/'01 Major Assumptions'!$D$138))</f>
        <v>106720902.85723646</v>
      </c>
      <c r="BK31" s="90">
        <f>IF('01 Major Assumptions'!BK$15=0,0,MIN(BK30,$D$27/'01 Major Assumptions'!$D$138))</f>
        <v>106720902.85723646</v>
      </c>
      <c r="BL31" s="90">
        <f>IF('01 Major Assumptions'!BL$15=0,0,MIN(BL30,$D$27/'01 Major Assumptions'!$D$138))</f>
        <v>106720902.85723646</v>
      </c>
      <c r="BM31" s="63">
        <f>IF('01 Major Assumptions'!BM$15=0,0,MIN(BM30,$D$27/'01 Major Assumptions'!$D$138))</f>
        <v>26680225.714308411</v>
      </c>
      <c r="BN31" s="63">
        <f>IF('01 Major Assumptions'!BN$15=0,0,MIN(BN30,$D$27/'01 Major Assumptions'!$D$138))</f>
        <v>26680225.714308411</v>
      </c>
      <c r="BO31" s="63">
        <f>IF('01 Major Assumptions'!BO$15=0,0,MIN(BO30,$D$27/'01 Major Assumptions'!$D$138))</f>
        <v>26680225.714308411</v>
      </c>
    </row>
    <row r="32" spans="1:67">
      <c r="A32" s="11"/>
      <c r="B32" s="11"/>
      <c r="C32" s="11" t="s">
        <v>463</v>
      </c>
      <c r="D32" s="33"/>
      <c r="E32" s="10" t="s">
        <v>13</v>
      </c>
      <c r="F32" s="10"/>
      <c r="G32" s="90">
        <f>G30-G31</f>
        <v>0</v>
      </c>
      <c r="H32" s="90">
        <f t="shared" ref="H32:BI32" si="22">H30-H31</f>
        <v>0</v>
      </c>
      <c r="I32" s="90">
        <f t="shared" si="22"/>
        <v>0</v>
      </c>
      <c r="J32" s="90">
        <f t="shared" si="22"/>
        <v>0</v>
      </c>
      <c r="K32" s="90">
        <f t="shared" si="22"/>
        <v>0</v>
      </c>
      <c r="L32" s="90">
        <f t="shared" si="22"/>
        <v>0</v>
      </c>
      <c r="M32" s="90">
        <f t="shared" si="22"/>
        <v>0</v>
      </c>
      <c r="N32" s="90">
        <f t="shared" si="22"/>
        <v>0</v>
      </c>
      <c r="O32" s="90">
        <f t="shared" si="22"/>
        <v>0</v>
      </c>
      <c r="P32" s="90">
        <f t="shared" si="22"/>
        <v>0</v>
      </c>
      <c r="Q32" s="90">
        <f t="shared" si="22"/>
        <v>62863981.617646933</v>
      </c>
      <c r="R32" s="90">
        <f t="shared" si="22"/>
        <v>128987486.27297781</v>
      </c>
      <c r="S32" s="90">
        <f t="shared" si="22"/>
        <v>196135826.5785251</v>
      </c>
      <c r="T32" s="90">
        <f t="shared" si="22"/>
        <v>263647887.06072742</v>
      </c>
      <c r="U32" s="90">
        <f t="shared" si="22"/>
        <v>331525637.87054163</v>
      </c>
      <c r="V32" s="90">
        <f t="shared" si="22"/>
        <v>399771059.8305757</v>
      </c>
      <c r="W32" s="90">
        <f t="shared" si="22"/>
        <v>468386144.49289328</v>
      </c>
      <c r="X32" s="90">
        <f t="shared" si="22"/>
        <v>537372894.19713175</v>
      </c>
      <c r="Y32" s="90">
        <f t="shared" si="22"/>
        <v>606733322.12893486</v>
      </c>
      <c r="Z32" s="90">
        <f t="shared" si="22"/>
        <v>676469452.37870193</v>
      </c>
      <c r="AA32" s="90">
        <f t="shared" si="22"/>
        <v>747046320.00065517</v>
      </c>
      <c r="AB32" s="90">
        <f t="shared" si="22"/>
        <v>640325417.14341867</v>
      </c>
      <c r="AC32" s="90">
        <f t="shared" si="22"/>
        <v>640325417.14341867</v>
      </c>
      <c r="AD32" s="90">
        <f t="shared" si="22"/>
        <v>640325417.14341867</v>
      </c>
      <c r="AE32" s="90">
        <f t="shared" si="22"/>
        <v>640325417.14341867</v>
      </c>
      <c r="AF32" s="90">
        <f t="shared" si="22"/>
        <v>640325417.14341867</v>
      </c>
      <c r="AG32" s="90">
        <f t="shared" si="22"/>
        <v>640325417.14341867</v>
      </c>
      <c r="AH32" s="90">
        <f t="shared" si="22"/>
        <v>640325417.14341867</v>
      </c>
      <c r="AI32" s="90">
        <f t="shared" si="22"/>
        <v>640325417.14341867</v>
      </c>
      <c r="AJ32" s="90">
        <f t="shared" si="22"/>
        <v>640325417.14341867</v>
      </c>
      <c r="AK32" s="90">
        <f t="shared" si="22"/>
        <v>640325417.14341867</v>
      </c>
      <c r="AL32" s="90">
        <f t="shared" si="22"/>
        <v>640325417.14341867</v>
      </c>
      <c r="AM32" s="90">
        <f t="shared" si="22"/>
        <v>640325417.14341867</v>
      </c>
      <c r="AN32" s="90">
        <f t="shared" si="22"/>
        <v>631432008.57198226</v>
      </c>
      <c r="AO32" s="90">
        <f t="shared" si="22"/>
        <v>622538600.00054586</v>
      </c>
      <c r="AP32" s="90">
        <f t="shared" si="22"/>
        <v>613645191.42910945</v>
      </c>
      <c r="AQ32" s="90">
        <f t="shared" si="22"/>
        <v>604751782.85767305</v>
      </c>
      <c r="AR32" s="90">
        <f t="shared" si="22"/>
        <v>595858374.28623664</v>
      </c>
      <c r="AS32" s="90">
        <f t="shared" si="22"/>
        <v>586964965.71480024</v>
      </c>
      <c r="AT32" s="90">
        <f t="shared" si="22"/>
        <v>578071557.14336383</v>
      </c>
      <c r="AU32" s="90">
        <f t="shared" si="22"/>
        <v>569178148.57192743</v>
      </c>
      <c r="AV32" s="90">
        <f t="shared" si="22"/>
        <v>560284740.00049102</v>
      </c>
      <c r="AW32" s="90">
        <f t="shared" si="22"/>
        <v>551391331.42905462</v>
      </c>
      <c r="AX32" s="90">
        <f t="shared" si="22"/>
        <v>542497922.85761821</v>
      </c>
      <c r="AY32" s="90">
        <f t="shared" si="22"/>
        <v>533604514.28618187</v>
      </c>
      <c r="AZ32" s="90">
        <f t="shared" si="22"/>
        <v>524711105.71474546</v>
      </c>
      <c r="BA32" s="90">
        <f t="shared" si="22"/>
        <v>515817697.14330906</v>
      </c>
      <c r="BB32" s="90">
        <f t="shared" si="22"/>
        <v>506924288.57187265</v>
      </c>
      <c r="BC32" s="90">
        <f t="shared" si="22"/>
        <v>498030880.00043625</v>
      </c>
      <c r="BD32" s="90">
        <f t="shared" si="22"/>
        <v>489137471.42899984</v>
      </c>
      <c r="BE32" s="90">
        <f t="shared" si="22"/>
        <v>480244062.85756344</v>
      </c>
      <c r="BF32" s="90">
        <f t="shared" si="22"/>
        <v>471350654.28612703</v>
      </c>
      <c r="BG32" s="90">
        <f t="shared" si="22"/>
        <v>462457245.71469063</v>
      </c>
      <c r="BH32" s="90">
        <f t="shared" si="22"/>
        <v>453563837.14325422</v>
      </c>
      <c r="BI32" s="90">
        <f t="shared" si="22"/>
        <v>346842934.28601778</v>
      </c>
      <c r="BJ32" s="90">
        <f t="shared" ref="BJ32" si="23">BJ30-BJ31</f>
        <v>240122031.42878133</v>
      </c>
      <c r="BK32" s="90">
        <f t="shared" ref="BK32" si="24">BK30-BK31</f>
        <v>133401128.57154487</v>
      </c>
      <c r="BL32" s="63">
        <f t="shared" ref="BL32" si="25">BL30-BL31</f>
        <v>26680225.714308411</v>
      </c>
      <c r="BM32" s="90">
        <f t="shared" ref="BM32" si="26">BM30-BM31</f>
        <v>0</v>
      </c>
      <c r="BN32" s="90">
        <f t="shared" ref="BN32" si="27">BN30-BN31</f>
        <v>0</v>
      </c>
      <c r="BO32" s="90">
        <f t="shared" ref="BO32" si="28">BO30-BO31</f>
        <v>0</v>
      </c>
    </row>
    <row r="33" spans="1:67">
      <c r="A33" s="11"/>
      <c r="B33" s="11"/>
      <c r="C33" s="11"/>
      <c r="D33" s="33"/>
      <c r="E33" s="43"/>
      <c r="F33" s="4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row>
    <row r="34" spans="1:67">
      <c r="A34" s="18" t="s">
        <v>606</v>
      </c>
      <c r="B34" s="18"/>
      <c r="C34" s="18"/>
      <c r="D34" s="39"/>
      <c r="E34" s="39"/>
      <c r="F34" s="39"/>
      <c r="G34" s="40"/>
      <c r="H34" s="40"/>
      <c r="I34" s="40"/>
      <c r="J34" s="40"/>
      <c r="K34" s="40"/>
      <c r="L34" s="40"/>
      <c r="M34" s="40"/>
      <c r="N34" s="40"/>
      <c r="O34" s="40"/>
      <c r="P34" s="40"/>
      <c r="Q34" s="40"/>
      <c r="R34" s="40"/>
      <c r="S34" s="40"/>
      <c r="T34" s="40"/>
      <c r="U34" s="40"/>
      <c r="V34" s="40"/>
      <c r="W34" s="40"/>
      <c r="X34" s="40"/>
      <c r="Y34" s="40"/>
      <c r="Z34" s="40"/>
      <c r="AA34" s="40"/>
      <c r="AB34" s="40"/>
      <c r="AC34" s="40"/>
      <c r="AD34" s="40"/>
      <c r="AE34" s="40"/>
      <c r="AF34" s="40"/>
      <c r="AG34" s="40"/>
      <c r="AH34" s="40"/>
      <c r="AI34" s="40"/>
      <c r="AJ34" s="40"/>
      <c r="AK34" s="40"/>
      <c r="AL34" s="40"/>
      <c r="AM34" s="40"/>
      <c r="AN34" s="40"/>
      <c r="AO34" s="40"/>
      <c r="AP34" s="40"/>
      <c r="AQ34" s="40"/>
      <c r="AR34" s="40"/>
      <c r="AS34" s="40"/>
      <c r="AT34" s="40"/>
      <c r="AU34" s="40"/>
      <c r="AV34" s="40"/>
      <c r="AW34" s="40"/>
      <c r="AX34" s="40"/>
      <c r="AY34" s="40"/>
      <c r="AZ34" s="40"/>
      <c r="BA34" s="40"/>
      <c r="BB34" s="40"/>
      <c r="BC34" s="40"/>
      <c r="BD34" s="40"/>
      <c r="BE34" s="40"/>
      <c r="BF34" s="40"/>
      <c r="BG34" s="40"/>
      <c r="BH34" s="40"/>
      <c r="BI34" s="40"/>
      <c r="BJ34" s="40"/>
      <c r="BK34" s="40"/>
      <c r="BL34" s="40"/>
      <c r="BM34" s="40"/>
      <c r="BN34" s="40"/>
      <c r="BO34" s="40"/>
    </row>
    <row r="35" spans="1:67">
      <c r="A35" s="11"/>
      <c r="B35" s="11"/>
      <c r="C35" s="11" t="s">
        <v>9</v>
      </c>
      <c r="D35" s="33"/>
      <c r="E35" s="10" t="s">
        <v>13</v>
      </c>
      <c r="F35" s="10"/>
      <c r="G35" s="90">
        <f>'00 Summary'!G$24</f>
        <v>-354800</v>
      </c>
      <c r="H35" s="90">
        <f>'00 Summary'!H$24</f>
        <v>-354800</v>
      </c>
      <c r="I35" s="90">
        <f>'00 Summary'!I$24</f>
        <v>-354800</v>
      </c>
      <c r="J35" s="90">
        <f>'00 Summary'!J$24</f>
        <v>-354800</v>
      </c>
      <c r="K35" s="90">
        <f>'00 Summary'!K$24</f>
        <v>-354800</v>
      </c>
      <c r="L35" s="90">
        <f>'00 Summary'!L$24</f>
        <v>-354800</v>
      </c>
      <c r="M35" s="90">
        <f>'00 Summary'!M$24</f>
        <v>-354800</v>
      </c>
      <c r="N35" s="90">
        <f>'00 Summary'!N$24</f>
        <v>-354800</v>
      </c>
      <c r="O35" s="90">
        <f>'00 Summary'!O$24</f>
        <v>-354800</v>
      </c>
      <c r="P35" s="90">
        <f>'00 Summary'!P$24</f>
        <v>-448550</v>
      </c>
      <c r="Q35" s="90">
        <f>'00 Summary'!Q$24</f>
        <v>-448550</v>
      </c>
      <c r="R35" s="90">
        <f>'00 Summary'!R$24</f>
        <v>-704383.33333333337</v>
      </c>
      <c r="S35" s="90">
        <f>'00 Summary'!S$24</f>
        <v>-601246</v>
      </c>
      <c r="T35" s="90">
        <f>'00 Summary'!T$24</f>
        <v>-1184579.3333333333</v>
      </c>
      <c r="U35" s="90">
        <f>'00 Summary'!U$24</f>
        <v>-1184579.3333333333</v>
      </c>
      <c r="V35" s="90">
        <f>'00 Summary'!V$24</f>
        <v>-1290204.3333333335</v>
      </c>
      <c r="W35" s="90">
        <f>'00 Summary'!W$24</f>
        <v>-1290204.3333333335</v>
      </c>
      <c r="X35" s="90">
        <f>'00 Summary'!X$24</f>
        <v>-1279787.6666666667</v>
      </c>
      <c r="Y35" s="90">
        <f>'00 Summary'!Y$24</f>
        <v>-1279787.6666666667</v>
      </c>
      <c r="Z35" s="90">
        <f>'00 Summary'!Z$24</f>
        <v>-1355412.6666666667</v>
      </c>
      <c r="AA35" s="90">
        <f>'00 Summary'!AA$24</f>
        <v>-1355412.6666666667</v>
      </c>
      <c r="AB35" s="90">
        <f>'00 Summary'!AB$24</f>
        <v>-19261133.847994663</v>
      </c>
      <c r="AC35" s="90">
        <f>'00 Summary'!AC$24</f>
        <v>-9218.4874435067177</v>
      </c>
      <c r="AD35" s="90">
        <f>'00 Summary'!AD$24</f>
        <v>2463725.4692527279</v>
      </c>
      <c r="AE35" s="90">
        <f>'00 Summary'!AE$24</f>
        <v>4937183.648982279</v>
      </c>
      <c r="AF35" s="90">
        <f>'00 Summary'!AF$24</f>
        <v>8063232.369761534</v>
      </c>
      <c r="AG35" s="90">
        <f>'00 Summary'!AG$24</f>
        <v>10514281.090540783</v>
      </c>
      <c r="AH35" s="90">
        <f>'00 Summary'!AH$24</f>
        <v>12999913.144653372</v>
      </c>
      <c r="AI35" s="90">
        <f>'00 Summary'!AI$24</f>
        <v>15450961.865432631</v>
      </c>
      <c r="AJ35" s="90">
        <f>'00 Summary'!AJ$24</f>
        <v>17902010.586211883</v>
      </c>
      <c r="AK35" s="90">
        <f>'00 Summary'!AK$24</f>
        <v>20353059.306991149</v>
      </c>
      <c r="AL35" s="90">
        <f>'00 Summary'!AL$24</f>
        <v>22804108.027770385</v>
      </c>
      <c r="AM35" s="90">
        <f>'00 Summary'!AM$24</f>
        <v>25255156.748549648</v>
      </c>
      <c r="AN35" s="90">
        <f>'00 Summary'!AN$24</f>
        <v>27706205.469328914</v>
      </c>
      <c r="AO35" s="90">
        <f>'00 Summary'!AO$24</f>
        <v>27701054.495370578</v>
      </c>
      <c r="AP35" s="90">
        <f>'00 Summary'!AP$24</f>
        <v>27766736.854745574</v>
      </c>
      <c r="AQ35" s="90">
        <f>'00 Summary'!AQ$24</f>
        <v>28322265.08719261</v>
      </c>
      <c r="AR35" s="90">
        <f>'00 Summary'!AR$24</f>
        <v>28317067.889953025</v>
      </c>
      <c r="AS35" s="90">
        <f>'00 Summary'!AS$24</f>
        <v>28311870.692713439</v>
      </c>
      <c r="AT35" s="90">
        <f>'00 Summary'!AT$24</f>
        <v>28306673.495473862</v>
      </c>
      <c r="AU35" s="90">
        <f>'00 Summary'!AU$24</f>
        <v>28301476.298234276</v>
      </c>
      <c r="AV35" s="90">
        <f>'00 Summary'!AV$24</f>
        <v>28296279.100994691</v>
      </c>
      <c r="AW35" s="90">
        <f>'00 Summary'!AW$24</f>
        <v>28291081.903755106</v>
      </c>
      <c r="AX35" s="90">
        <f>'00 Summary'!AX$24</f>
        <v>28285884.706515528</v>
      </c>
      <c r="AY35" s="90">
        <f>'00 Summary'!AY$24</f>
        <v>28280687.509275939</v>
      </c>
      <c r="AZ35" s="90">
        <f>'00 Summary'!AZ$24</f>
        <v>28275490.312036365</v>
      </c>
      <c r="BA35" s="90">
        <f>'00 Summary'!BA$24</f>
        <v>28270293.11479678</v>
      </c>
      <c r="BB35" s="90">
        <f>'00 Summary'!BB$24</f>
        <v>28265095.917557187</v>
      </c>
      <c r="BC35" s="90">
        <f>'00 Summary'!BC$24</f>
        <v>28827284.540129095</v>
      </c>
      <c r="BD35" s="90">
        <f>'00 Summary'!BD$24</f>
        <v>28822040.65737544</v>
      </c>
      <c r="BE35" s="90">
        <f>'00 Summary'!BE$24</f>
        <v>28816796.774621796</v>
      </c>
      <c r="BF35" s="90">
        <f>'00 Summary'!BF$24</f>
        <v>28811552.891868155</v>
      </c>
      <c r="BG35" s="90">
        <f>'00 Summary'!BG$24</f>
        <v>28806309.009114504</v>
      </c>
      <c r="BH35" s="90">
        <f>'00 Summary'!BH$24</f>
        <v>28801065.126360863</v>
      </c>
      <c r="BI35" s="90">
        <f>'00 Summary'!BI$24</f>
        <v>351367038.04465085</v>
      </c>
      <c r="BJ35" s="90">
        <f>'00 Summary'!BJ$24</f>
        <v>357567393.95550406</v>
      </c>
      <c r="BK35" s="90">
        <f>'00 Summary'!BK$24</f>
        <v>363836478.42031312</v>
      </c>
      <c r="BL35" s="90">
        <f>'00 Summary'!BL$24</f>
        <v>370172181.5457055</v>
      </c>
      <c r="BM35" s="90">
        <f>'00 Summary'!BM$24</f>
        <v>376572160.57909513</v>
      </c>
      <c r="BN35" s="90">
        <f>'00 Summary'!BN$24</f>
        <v>382632061.76020479</v>
      </c>
      <c r="BO35" s="90">
        <f>'00 Summary'!BO$24</f>
        <v>383464755.22205222</v>
      </c>
    </row>
    <row r="36" spans="1:67">
      <c r="A36" s="11"/>
      <c r="B36" s="11"/>
      <c r="C36" s="11" t="s">
        <v>2</v>
      </c>
      <c r="D36" s="33"/>
      <c r="E36" s="10" t="s">
        <v>13</v>
      </c>
      <c r="F36" s="10"/>
      <c r="G36" s="90">
        <f>-'00 Summary'!G$33</f>
        <v>0</v>
      </c>
      <c r="H36" s="90">
        <f>-'00 Summary'!H$33</f>
        <v>0</v>
      </c>
      <c r="I36" s="90">
        <f>-'00 Summary'!I$33</f>
        <v>0</v>
      </c>
      <c r="J36" s="90">
        <f>-'00 Summary'!J$33</f>
        <v>0</v>
      </c>
      <c r="K36" s="90">
        <f>-'00 Summary'!K$33</f>
        <v>0</v>
      </c>
      <c r="L36" s="90">
        <f>-'00 Summary'!L$33</f>
        <v>0</v>
      </c>
      <c r="M36" s="90">
        <f>-'00 Summary'!M$33</f>
        <v>0</v>
      </c>
      <c r="N36" s="90">
        <f>-'00 Summary'!N$33</f>
        <v>0</v>
      </c>
      <c r="O36" s="90">
        <f>-'00 Summary'!O$33</f>
        <v>0</v>
      </c>
      <c r="P36" s="90">
        <f>-'00 Summary'!P$33</f>
        <v>0</v>
      </c>
      <c r="Q36" s="90">
        <f>-'00 Summary'!Q$33</f>
        <v>0</v>
      </c>
      <c r="R36" s="90">
        <f>-'00 Summary'!R$33</f>
        <v>0</v>
      </c>
      <c r="S36" s="90">
        <f>-'00 Summary'!S$33</f>
        <v>0</v>
      </c>
      <c r="T36" s="90">
        <f>-'00 Summary'!T$33</f>
        <v>0</v>
      </c>
      <c r="U36" s="90">
        <f>-'00 Summary'!U$33</f>
        <v>0</v>
      </c>
      <c r="V36" s="90">
        <f>-'00 Summary'!V$33</f>
        <v>0</v>
      </c>
      <c r="W36" s="90">
        <f>-'00 Summary'!W$33</f>
        <v>0</v>
      </c>
      <c r="X36" s="90">
        <f>-'00 Summary'!X$33</f>
        <v>0</v>
      </c>
      <c r="Y36" s="90">
        <f>-'00 Summary'!Y$33</f>
        <v>0</v>
      </c>
      <c r="Z36" s="90">
        <f>-'00 Summary'!Z$33</f>
        <v>0</v>
      </c>
      <c r="AA36" s="90">
        <f>-'00 Summary'!AA$33</f>
        <v>0</v>
      </c>
      <c r="AB36" s="90">
        <f>-'00 Summary'!AB$33</f>
        <v>0</v>
      </c>
      <c r="AC36" s="90">
        <f>-'00 Summary'!AC$33</f>
        <v>0</v>
      </c>
      <c r="AD36" s="90">
        <f>-'00 Summary'!AD$33</f>
        <v>0</v>
      </c>
      <c r="AE36" s="90">
        <f>-'00 Summary'!AE$33</f>
        <v>0</v>
      </c>
      <c r="AF36" s="90">
        <f>-'00 Summary'!AF$33</f>
        <v>0</v>
      </c>
      <c r="AG36" s="90">
        <f>-'00 Summary'!AG$33</f>
        <v>0</v>
      </c>
      <c r="AH36" s="90">
        <f>-'00 Summary'!AH$33</f>
        <v>0</v>
      </c>
      <c r="AI36" s="90">
        <f>-'00 Summary'!AI$33</f>
        <v>0</v>
      </c>
      <c r="AJ36" s="90">
        <f>-'00 Summary'!AJ$33</f>
        <v>0</v>
      </c>
      <c r="AK36" s="90">
        <f>-'00 Summary'!AK$33</f>
        <v>0</v>
      </c>
      <c r="AL36" s="90">
        <f>-'00 Summary'!AL$33</f>
        <v>0</v>
      </c>
      <c r="AM36" s="90">
        <f>-'00 Summary'!AM$33</f>
        <v>0</v>
      </c>
      <c r="AN36" s="90">
        <f>-'00 Summary'!AN$33</f>
        <v>0</v>
      </c>
      <c r="AO36" s="90">
        <f>-'00 Summary'!AO$33</f>
        <v>0</v>
      </c>
      <c r="AP36" s="90">
        <f>-'00 Summary'!AP$33</f>
        <v>0</v>
      </c>
      <c r="AQ36" s="90">
        <f>-'00 Summary'!AQ$33</f>
        <v>0</v>
      </c>
      <c r="AR36" s="90">
        <f>-'00 Summary'!AR$33</f>
        <v>0</v>
      </c>
      <c r="AS36" s="90">
        <f>-'00 Summary'!AS$33</f>
        <v>0</v>
      </c>
      <c r="AT36" s="90">
        <f>-'00 Summary'!AT$33</f>
        <v>0</v>
      </c>
      <c r="AU36" s="90">
        <f>-'00 Summary'!AU$33</f>
        <v>0</v>
      </c>
      <c r="AV36" s="90">
        <f>-'00 Summary'!AV$33</f>
        <v>0</v>
      </c>
      <c r="AW36" s="90">
        <f>-'00 Summary'!AW$33</f>
        <v>0</v>
      </c>
      <c r="AX36" s="90">
        <f>-'00 Summary'!AX$33</f>
        <v>0</v>
      </c>
      <c r="AY36" s="90">
        <f>-'00 Summary'!AY$33</f>
        <v>0</v>
      </c>
      <c r="AZ36" s="90">
        <f>-'00 Summary'!AZ$33</f>
        <v>0</v>
      </c>
      <c r="BA36" s="90">
        <f>-'00 Summary'!BA$33</f>
        <v>0</v>
      </c>
      <c r="BB36" s="90">
        <f>-'00 Summary'!BB$33</f>
        <v>0</v>
      </c>
      <c r="BC36" s="90">
        <f>-'00 Summary'!BC$33</f>
        <v>0</v>
      </c>
      <c r="BD36" s="90">
        <f>-'00 Summary'!BD$33</f>
        <v>0</v>
      </c>
      <c r="BE36" s="90">
        <f>-'00 Summary'!BE$33</f>
        <v>0</v>
      </c>
      <c r="BF36" s="90">
        <f>-'00 Summary'!BF$33</f>
        <v>0</v>
      </c>
      <c r="BG36" s="90">
        <f>-'00 Summary'!BG$33</f>
        <v>0</v>
      </c>
      <c r="BH36" s="90">
        <f>-'00 Summary'!BH$33</f>
        <v>0</v>
      </c>
      <c r="BI36" s="90">
        <f>-'00 Summary'!BI$33</f>
        <v>0</v>
      </c>
      <c r="BJ36" s="90">
        <f>-'00 Summary'!BJ$33</f>
        <v>0</v>
      </c>
      <c r="BK36" s="90">
        <f>-'00 Summary'!BK$33</f>
        <v>0</v>
      </c>
      <c r="BL36" s="90">
        <f>-'00 Summary'!BL$33</f>
        <v>0</v>
      </c>
      <c r="BM36" s="90">
        <f>-'00 Summary'!BM$33</f>
        <v>0</v>
      </c>
      <c r="BN36" s="90">
        <f ca="1">-'00 Summary'!BN$33</f>
        <v>-34703342.63666489</v>
      </c>
      <c r="BO36" s="90">
        <f ca="1">-'00 Summary'!BO$33</f>
        <v>-53841594.551076807</v>
      </c>
    </row>
    <row r="37" spans="1:67">
      <c r="A37" s="11"/>
      <c r="B37" s="11"/>
      <c r="C37" s="11" t="s">
        <v>535</v>
      </c>
      <c r="D37" s="33"/>
      <c r="E37" s="10" t="s">
        <v>13</v>
      </c>
      <c r="F37" s="10"/>
      <c r="G37" s="90">
        <f>-G54</f>
        <v>339579.4838709677</v>
      </c>
      <c r="H37" s="90">
        <f t="shared" ref="H37:BI37" si="29">-H54</f>
        <v>35243.087557603722</v>
      </c>
      <c r="I37" s="90">
        <f t="shared" si="29"/>
        <v>-35243.087557603722</v>
      </c>
      <c r="J37" s="90">
        <f t="shared" si="29"/>
        <v>10964.516129032301</v>
      </c>
      <c r="K37" s="90">
        <f t="shared" si="29"/>
        <v>-10964.516129032301</v>
      </c>
      <c r="L37" s="90">
        <f t="shared" si="29"/>
        <v>10964.516129032301</v>
      </c>
      <c r="M37" s="90">
        <f t="shared" si="29"/>
        <v>-10964.516129032301</v>
      </c>
      <c r="N37" s="90">
        <f t="shared" si="29"/>
        <v>0</v>
      </c>
      <c r="O37" s="90">
        <f t="shared" si="29"/>
        <v>10964.516129032301</v>
      </c>
      <c r="P37" s="90">
        <f t="shared" si="29"/>
        <v>82573.790322580608</v>
      </c>
      <c r="Q37" s="90">
        <f t="shared" si="29"/>
        <v>13988.709677419392</v>
      </c>
      <c r="R37" s="90">
        <f t="shared" si="29"/>
        <v>241266.93548387091</v>
      </c>
      <c r="S37" s="90">
        <f t="shared" si="29"/>
        <v>-103192.82967741927</v>
      </c>
      <c r="T37" s="90">
        <f t="shared" si="29"/>
        <v>660061.60177975509</v>
      </c>
      <c r="U37" s="90">
        <f t="shared" si="29"/>
        <v>-78045.472747497261</v>
      </c>
      <c r="V37" s="90">
        <f t="shared" si="29"/>
        <v>146515.72849462391</v>
      </c>
      <c r="W37" s="90">
        <f t="shared" si="29"/>
        <v>-41129.236559139565</v>
      </c>
      <c r="X37" s="90">
        <f t="shared" si="29"/>
        <v>30400.06989247282</v>
      </c>
      <c r="Y37" s="90">
        <f t="shared" si="29"/>
        <v>-40793.215053763473</v>
      </c>
      <c r="Z37" s="90">
        <f t="shared" si="29"/>
        <v>75454.233870967757</v>
      </c>
      <c r="AA37" s="90">
        <f t="shared" si="29"/>
        <v>43232.731182795716</v>
      </c>
      <c r="AB37" s="90">
        <f t="shared" si="29"/>
        <v>-23027100.037171833</v>
      </c>
      <c r="AC37" s="90">
        <f t="shared" si="29"/>
        <v>-14491186.720806874</v>
      </c>
      <c r="AD37" s="90">
        <f t="shared" si="29"/>
        <v>-4650049.2291548699</v>
      </c>
      <c r="AE37" s="90">
        <f t="shared" si="29"/>
        <v>-6175890.7446393594</v>
      </c>
      <c r="AF37" s="90">
        <f t="shared" si="29"/>
        <v>-9824262.2611647397</v>
      </c>
      <c r="AG37" s="90">
        <f t="shared" si="29"/>
        <v>-1483951.3605119362</v>
      </c>
      <c r="AH37" s="90">
        <f t="shared" si="29"/>
        <v>-6898070.6549516544</v>
      </c>
      <c r="AI37" s="90">
        <f t="shared" si="29"/>
        <v>-3771172.4022088721</v>
      </c>
      <c r="AJ37" s="90">
        <f t="shared" si="29"/>
        <v>-7216027.5345907211</v>
      </c>
      <c r="AK37" s="90">
        <f t="shared" si="29"/>
        <v>-3418710.2806343734</v>
      </c>
      <c r="AL37" s="90">
        <f t="shared" si="29"/>
        <v>-5317368.9076125026</v>
      </c>
      <c r="AM37" s="90">
        <f t="shared" si="29"/>
        <v>-7744720.7169524431</v>
      </c>
      <c r="AN37" s="90">
        <f t="shared" si="29"/>
        <v>-2890017.0982726365</v>
      </c>
      <c r="AO37" s="90">
        <f t="shared" si="29"/>
        <v>-2607522.0232000649</v>
      </c>
      <c r="AP37" s="90">
        <f t="shared" si="29"/>
        <v>2529234.4384924024</v>
      </c>
      <c r="AQ37" s="90">
        <f t="shared" si="29"/>
        <v>-2049212.9157963693</v>
      </c>
      <c r="AR37" s="90">
        <f t="shared" si="29"/>
        <v>-8558273.6443495899</v>
      </c>
      <c r="AS37" s="90">
        <f t="shared" si="29"/>
        <v>8550572.755720228</v>
      </c>
      <c r="AT37" s="90">
        <f t="shared" si="29"/>
        <v>-2665493.64167431</v>
      </c>
      <c r="AU37" s="90">
        <f t="shared" si="29"/>
        <v>2657792.7530450076</v>
      </c>
      <c r="AV37" s="90">
        <f t="shared" si="29"/>
        <v>-2665760.7323564589</v>
      </c>
      <c r="AW37" s="90">
        <f t="shared" si="29"/>
        <v>2658059.8437270969</v>
      </c>
      <c r="AX37" s="90">
        <f t="shared" si="29"/>
        <v>-3850.4443146586418</v>
      </c>
      <c r="AY37" s="90">
        <f t="shared" si="29"/>
        <v>-2666161.3683796227</v>
      </c>
      <c r="AZ37" s="90">
        <f t="shared" si="29"/>
        <v>2658460.4797502756</v>
      </c>
      <c r="BA37" s="90">
        <f t="shared" si="29"/>
        <v>-2666428.4590617269</v>
      </c>
      <c r="BB37" s="90">
        <f t="shared" si="29"/>
        <v>2658727.5704324096</v>
      </c>
      <c r="BC37" s="90">
        <f t="shared" si="29"/>
        <v>-2091809.4387821704</v>
      </c>
      <c r="BD37" s="90">
        <f t="shared" si="29"/>
        <v>-8743798.3240689486</v>
      </c>
      <c r="BE37" s="90">
        <f t="shared" si="29"/>
        <v>8736009.8775109649</v>
      </c>
      <c r="BF37" s="90">
        <f t="shared" si="29"/>
        <v>-2723245.601731047</v>
      </c>
      <c r="BG37" s="90">
        <f t="shared" si="29"/>
        <v>2715457.1551730633</v>
      </c>
      <c r="BH37" s="90">
        <f t="shared" si="29"/>
        <v>-2723515.7043818384</v>
      </c>
      <c r="BI37" s="90">
        <f t="shared" si="29"/>
        <v>-2841899.9065119028</v>
      </c>
      <c r="BJ37" s="90">
        <f t="shared" ref="BJ37:BO37" si="30">-BJ54</f>
        <v>-2492084.554700911</v>
      </c>
      <c r="BK37" s="90">
        <f t="shared" si="30"/>
        <v>-2304366.8512658477</v>
      </c>
      <c r="BL37" s="90">
        <f t="shared" si="30"/>
        <v>-2349413.8159185201</v>
      </c>
      <c r="BM37" s="90">
        <f t="shared" si="30"/>
        <v>-2142409.0206710696</v>
      </c>
      <c r="BN37" s="90">
        <f t="shared" si="30"/>
        <v>-2665775.4153720289</v>
      </c>
      <c r="BO37" s="90">
        <f t="shared" si="30"/>
        <v>-1628813.548480019</v>
      </c>
    </row>
    <row r="38" spans="1:67">
      <c r="A38" s="32"/>
      <c r="B38" s="32" t="s">
        <v>1671</v>
      </c>
      <c r="C38" s="32"/>
      <c r="D38" s="14"/>
      <c r="E38" s="14"/>
      <c r="F38" s="14"/>
      <c r="G38" s="92">
        <f>-'03 CAPEX &amp; Depreciation'!G$314</f>
        <v>0</v>
      </c>
      <c r="H38" s="92">
        <f>-'03 CAPEX &amp; Depreciation'!H$314</f>
        <v>0</v>
      </c>
      <c r="I38" s="92">
        <f>-'03 CAPEX &amp; Depreciation'!I$314</f>
        <v>0</v>
      </c>
      <c r="J38" s="92">
        <f>-'03 CAPEX &amp; Depreciation'!J$314</f>
        <v>0</v>
      </c>
      <c r="K38" s="92">
        <f>-'03 CAPEX &amp; Depreciation'!K$314</f>
        <v>0</v>
      </c>
      <c r="L38" s="92">
        <f>-'03 CAPEX &amp; Depreciation'!L$314</f>
        <v>0</v>
      </c>
      <c r="M38" s="92">
        <f>-'03 CAPEX &amp; Depreciation'!M$314</f>
        <v>0</v>
      </c>
      <c r="N38" s="92">
        <f>-'03 CAPEX &amp; Depreciation'!N$314</f>
        <v>0</v>
      </c>
      <c r="O38" s="92">
        <f>-'03 CAPEX &amp; Depreciation'!O$314</f>
        <v>0</v>
      </c>
      <c r="P38" s="92">
        <f>-'03 CAPEX &amp; Depreciation'!P$314</f>
        <v>0</v>
      </c>
      <c r="Q38" s="92">
        <f>-'03 CAPEX &amp; Depreciation'!Q$314</f>
        <v>0</v>
      </c>
      <c r="R38" s="92">
        <f>-'03 CAPEX &amp; Depreciation'!R$314</f>
        <v>0</v>
      </c>
      <c r="S38" s="92">
        <f>-'03 CAPEX &amp; Depreciation'!S$314</f>
        <v>0</v>
      </c>
      <c r="T38" s="92">
        <f>-'03 CAPEX &amp; Depreciation'!T$314</f>
        <v>0</v>
      </c>
      <c r="U38" s="92">
        <f>-'03 CAPEX &amp; Depreciation'!U$314</f>
        <v>0</v>
      </c>
      <c r="V38" s="92">
        <f>-'03 CAPEX &amp; Depreciation'!V$314</f>
        <v>0</v>
      </c>
      <c r="W38" s="92">
        <f>-'03 CAPEX &amp; Depreciation'!W$314</f>
        <v>0</v>
      </c>
      <c r="X38" s="92">
        <f>-'03 CAPEX &amp; Depreciation'!X$314</f>
        <v>0</v>
      </c>
      <c r="Y38" s="92">
        <f>-'03 CAPEX &amp; Depreciation'!Y$314</f>
        <v>0</v>
      </c>
      <c r="Z38" s="92">
        <f>-'03 CAPEX &amp; Depreciation'!Z$314</f>
        <v>0</v>
      </c>
      <c r="AA38" s="92">
        <f>-'03 CAPEX &amp; Depreciation'!AA$314</f>
        <v>0</v>
      </c>
      <c r="AB38" s="92">
        <f>-'03 CAPEX &amp; Depreciation'!AB$314</f>
        <v>-1812500</v>
      </c>
      <c r="AC38" s="92">
        <f>-'03 CAPEX &amp; Depreciation'!AC$314</f>
        <v>-1812500</v>
      </c>
      <c r="AD38" s="92">
        <f>-'03 CAPEX &amp; Depreciation'!AD$314</f>
        <v>-1812500</v>
      </c>
      <c r="AE38" s="92">
        <f>-'03 CAPEX &amp; Depreciation'!AE$314</f>
        <v>-1812500</v>
      </c>
      <c r="AF38" s="92">
        <f>-'03 CAPEX &amp; Depreciation'!AF$314</f>
        <v>-1812500</v>
      </c>
      <c r="AG38" s="92">
        <f>-'03 CAPEX &amp; Depreciation'!AG$314</f>
        <v>-1812500</v>
      </c>
      <c r="AH38" s="92">
        <f>-'03 CAPEX &amp; Depreciation'!AH$314</f>
        <v>-1812500</v>
      </c>
      <c r="AI38" s="92">
        <f>-'03 CAPEX &amp; Depreciation'!AI$314</f>
        <v>-1812500</v>
      </c>
      <c r="AJ38" s="92">
        <f>-'03 CAPEX &amp; Depreciation'!AJ$314</f>
        <v>-1812500</v>
      </c>
      <c r="AK38" s="92">
        <f>-'03 CAPEX &amp; Depreciation'!AK$314</f>
        <v>-1812500</v>
      </c>
      <c r="AL38" s="92">
        <f>-'03 CAPEX &amp; Depreciation'!AL$314</f>
        <v>-1812500</v>
      </c>
      <c r="AM38" s="92">
        <f>-'03 CAPEX &amp; Depreciation'!AM$314</f>
        <v>-1812500</v>
      </c>
      <c r="AN38" s="92">
        <f>-'03 CAPEX &amp; Depreciation'!AN$314</f>
        <v>-1812500</v>
      </c>
      <c r="AO38" s="92">
        <f>-'03 CAPEX &amp; Depreciation'!AO$314</f>
        <v>-1812500</v>
      </c>
      <c r="AP38" s="92">
        <f>-'03 CAPEX &amp; Depreciation'!AP$314</f>
        <v>-1812500</v>
      </c>
      <c r="AQ38" s="92">
        <f>-'03 CAPEX &amp; Depreciation'!AQ$314</f>
        <v>-1812500</v>
      </c>
      <c r="AR38" s="92">
        <f>-'03 CAPEX &amp; Depreciation'!AR$314</f>
        <v>-1812500</v>
      </c>
      <c r="AS38" s="92">
        <f>-'03 CAPEX &amp; Depreciation'!AS$314</f>
        <v>-1812500</v>
      </c>
      <c r="AT38" s="92">
        <f>-'03 CAPEX &amp; Depreciation'!AT$314</f>
        <v>-1812500</v>
      </c>
      <c r="AU38" s="92">
        <f>-'03 CAPEX &amp; Depreciation'!AU$314</f>
        <v>-1812500</v>
      </c>
      <c r="AV38" s="92">
        <f>-'03 CAPEX &amp; Depreciation'!AV$314</f>
        <v>-1812500</v>
      </c>
      <c r="AW38" s="92">
        <f>-'03 CAPEX &amp; Depreciation'!AW$314</f>
        <v>-1812500</v>
      </c>
      <c r="AX38" s="92">
        <f>-'03 CAPEX &amp; Depreciation'!AX$314</f>
        <v>-1812500</v>
      </c>
      <c r="AY38" s="92">
        <f>-'03 CAPEX &amp; Depreciation'!AY$314</f>
        <v>-1812500</v>
      </c>
      <c r="AZ38" s="92">
        <f>-'03 CAPEX &amp; Depreciation'!AZ$314</f>
        <v>-1812500</v>
      </c>
      <c r="BA38" s="92">
        <f>-'03 CAPEX &amp; Depreciation'!BA$314</f>
        <v>-1812500</v>
      </c>
      <c r="BB38" s="92">
        <f>-'03 CAPEX &amp; Depreciation'!BB$314</f>
        <v>-1812500</v>
      </c>
      <c r="BC38" s="92">
        <f>-'03 CAPEX &amp; Depreciation'!BC$314</f>
        <v>-1812500</v>
      </c>
      <c r="BD38" s="92">
        <f>-'03 CAPEX &amp; Depreciation'!BD$314</f>
        <v>-1812500</v>
      </c>
      <c r="BE38" s="92">
        <f>-'03 CAPEX &amp; Depreciation'!BE$314</f>
        <v>-1812500</v>
      </c>
      <c r="BF38" s="92">
        <f>-'03 CAPEX &amp; Depreciation'!BF$314</f>
        <v>-1812500</v>
      </c>
      <c r="BG38" s="92">
        <f>-'03 CAPEX &amp; Depreciation'!BG$314</f>
        <v>-1812500</v>
      </c>
      <c r="BH38" s="92">
        <f>-'03 CAPEX &amp; Depreciation'!BH$314</f>
        <v>-1812500</v>
      </c>
      <c r="BI38" s="92">
        <f>-'03 CAPEX &amp; Depreciation'!BI$314</f>
        <v>-21750000</v>
      </c>
      <c r="BJ38" s="92">
        <f>-'03 CAPEX &amp; Depreciation'!BJ$314</f>
        <v>-21750000</v>
      </c>
      <c r="BK38" s="92">
        <f>-'03 CAPEX &amp; Depreciation'!BK$314</f>
        <v>-21750000</v>
      </c>
      <c r="BL38" s="92">
        <f>-'03 CAPEX &amp; Depreciation'!BL$314</f>
        <v>-21750000</v>
      </c>
      <c r="BM38" s="92">
        <f>-'03 CAPEX &amp; Depreciation'!BM$314</f>
        <v>-21750000</v>
      </c>
      <c r="BN38" s="92">
        <f>-'03 CAPEX &amp; Depreciation'!BN$314</f>
        <v>-21750000</v>
      </c>
      <c r="BO38" s="92">
        <f>-'03 CAPEX &amp; Depreciation'!BO$314</f>
        <v>-21750000</v>
      </c>
    </row>
    <row r="39" spans="1:67">
      <c r="A39" s="11"/>
      <c r="B39" s="11"/>
      <c r="C39" s="22" t="s">
        <v>607</v>
      </c>
      <c r="D39" s="33"/>
      <c r="E39" s="10" t="s">
        <v>13</v>
      </c>
      <c r="F39" s="10"/>
      <c r="G39" s="89">
        <f>SUM(G35:G38)</f>
        <v>-15220.516129032301</v>
      </c>
      <c r="H39" s="89">
        <f t="shared" ref="H39:BO39" si="31">SUM(H35:H38)</f>
        <v>-319556.91244239628</v>
      </c>
      <c r="I39" s="89">
        <f t="shared" si="31"/>
        <v>-390043.08755760372</v>
      </c>
      <c r="J39" s="89">
        <f t="shared" si="31"/>
        <v>-343835.4838709677</v>
      </c>
      <c r="K39" s="89">
        <f t="shared" si="31"/>
        <v>-365764.5161290323</v>
      </c>
      <c r="L39" s="89">
        <f t="shared" si="31"/>
        <v>-343835.4838709677</v>
      </c>
      <c r="M39" s="89">
        <f t="shared" si="31"/>
        <v>-365764.5161290323</v>
      </c>
      <c r="N39" s="89">
        <f t="shared" si="31"/>
        <v>-354800</v>
      </c>
      <c r="O39" s="89">
        <f t="shared" si="31"/>
        <v>-343835.4838709677</v>
      </c>
      <c r="P39" s="89">
        <f t="shared" si="31"/>
        <v>-365976.20967741939</v>
      </c>
      <c r="Q39" s="89">
        <f t="shared" si="31"/>
        <v>-434561.29032258061</v>
      </c>
      <c r="R39" s="89">
        <f t="shared" si="31"/>
        <v>-463116.39784946246</v>
      </c>
      <c r="S39" s="89">
        <f t="shared" si="31"/>
        <v>-704438.82967741927</v>
      </c>
      <c r="T39" s="89">
        <f t="shared" si="31"/>
        <v>-524517.73155357817</v>
      </c>
      <c r="U39" s="89">
        <f t="shared" si="31"/>
        <v>-1262624.8060808305</v>
      </c>
      <c r="V39" s="89">
        <f t="shared" si="31"/>
        <v>-1143688.6048387096</v>
      </c>
      <c r="W39" s="89">
        <f t="shared" si="31"/>
        <v>-1331333.5698924731</v>
      </c>
      <c r="X39" s="89">
        <f t="shared" si="31"/>
        <v>-1249387.5967741939</v>
      </c>
      <c r="Y39" s="89">
        <f t="shared" si="31"/>
        <v>-1320580.8817204302</v>
      </c>
      <c r="Z39" s="89">
        <f t="shared" si="31"/>
        <v>-1279958.432795699</v>
      </c>
      <c r="AA39" s="89">
        <f t="shared" si="31"/>
        <v>-1312179.935483871</v>
      </c>
      <c r="AB39" s="89">
        <f t="shared" si="31"/>
        <v>-44100733.885166496</v>
      </c>
      <c r="AC39" s="89">
        <f t="shared" si="31"/>
        <v>-16312905.208250381</v>
      </c>
      <c r="AD39" s="89">
        <f t="shared" si="31"/>
        <v>-3998823.759902142</v>
      </c>
      <c r="AE39" s="89">
        <f t="shared" si="31"/>
        <v>-3051207.0956570804</v>
      </c>
      <c r="AF39" s="89">
        <f t="shared" si="31"/>
        <v>-3573529.8914032057</v>
      </c>
      <c r="AG39" s="89">
        <f t="shared" si="31"/>
        <v>7217829.7300288472</v>
      </c>
      <c r="AH39" s="89">
        <f t="shared" si="31"/>
        <v>4289342.4897017181</v>
      </c>
      <c r="AI39" s="89">
        <f t="shared" si="31"/>
        <v>9867289.4632237591</v>
      </c>
      <c r="AJ39" s="89">
        <f t="shared" si="31"/>
        <v>8873483.0516211614</v>
      </c>
      <c r="AK39" s="89">
        <f t="shared" si="31"/>
        <v>15121849.026356775</v>
      </c>
      <c r="AL39" s="89">
        <f t="shared" si="31"/>
        <v>15674239.120157883</v>
      </c>
      <c r="AM39" s="89">
        <f t="shared" si="31"/>
        <v>15697936.031597205</v>
      </c>
      <c r="AN39" s="89">
        <f t="shared" si="31"/>
        <v>23003688.371056277</v>
      </c>
      <c r="AO39" s="89">
        <f t="shared" si="31"/>
        <v>23281032.472170513</v>
      </c>
      <c r="AP39" s="89">
        <f t="shared" si="31"/>
        <v>28483471.293237977</v>
      </c>
      <c r="AQ39" s="89">
        <f t="shared" si="31"/>
        <v>24460552.171396241</v>
      </c>
      <c r="AR39" s="89">
        <f t="shared" si="31"/>
        <v>17946294.245603435</v>
      </c>
      <c r="AS39" s="89">
        <f t="shared" si="31"/>
        <v>35049943.448433667</v>
      </c>
      <c r="AT39" s="89">
        <f t="shared" si="31"/>
        <v>23828679.853799552</v>
      </c>
      <c r="AU39" s="89">
        <f t="shared" si="31"/>
        <v>29146769.051279284</v>
      </c>
      <c r="AV39" s="89">
        <f t="shared" si="31"/>
        <v>23818018.368638232</v>
      </c>
      <c r="AW39" s="89">
        <f t="shared" si="31"/>
        <v>29136641.747482203</v>
      </c>
      <c r="AX39" s="89">
        <f t="shared" si="31"/>
        <v>26469534.26220087</v>
      </c>
      <c r="AY39" s="89">
        <f t="shared" si="31"/>
        <v>23802026.140896317</v>
      </c>
      <c r="AZ39" s="89">
        <f t="shared" si="31"/>
        <v>29121450.791786641</v>
      </c>
      <c r="BA39" s="89">
        <f t="shared" si="31"/>
        <v>23791364.655735053</v>
      </c>
      <c r="BB39" s="89">
        <f t="shared" si="31"/>
        <v>29111323.487989597</v>
      </c>
      <c r="BC39" s="89">
        <f t="shared" si="31"/>
        <v>24922975.101346925</v>
      </c>
      <c r="BD39" s="89">
        <f t="shared" si="31"/>
        <v>18265742.333306491</v>
      </c>
      <c r="BE39" s="89">
        <f t="shared" si="31"/>
        <v>35740306.652132764</v>
      </c>
      <c r="BF39" s="89">
        <f t="shared" si="31"/>
        <v>24275807.290137108</v>
      </c>
      <c r="BG39" s="89">
        <f t="shared" si="31"/>
        <v>29709266.164287567</v>
      </c>
      <c r="BH39" s="89">
        <f t="shared" si="31"/>
        <v>24265049.421979025</v>
      </c>
      <c r="BI39" s="89">
        <f t="shared" si="31"/>
        <v>326775138.13813895</v>
      </c>
      <c r="BJ39" s="89">
        <f t="shared" si="31"/>
        <v>333325309.40080315</v>
      </c>
      <c r="BK39" s="89">
        <f t="shared" si="31"/>
        <v>339782111.56904727</v>
      </c>
      <c r="BL39" s="89">
        <f t="shared" si="31"/>
        <v>346072767.72978699</v>
      </c>
      <c r="BM39" s="89">
        <f t="shared" si="31"/>
        <v>352679751.55842406</v>
      </c>
      <c r="BN39" s="89">
        <f t="shared" ca="1" si="31"/>
        <v>323512943.70816791</v>
      </c>
      <c r="BO39" s="89">
        <f t="shared" ca="1" si="31"/>
        <v>306244347.12249535</v>
      </c>
    </row>
    <row r="40" spans="1:67">
      <c r="A40" s="11"/>
      <c r="B40" s="11"/>
      <c r="C40" s="11" t="s">
        <v>608</v>
      </c>
      <c r="D40" s="33"/>
      <c r="E40" s="10" t="s">
        <v>13</v>
      </c>
      <c r="F40" s="10"/>
      <c r="G40" s="90">
        <f>G24+G29</f>
        <v>0</v>
      </c>
      <c r="H40" s="90">
        <f t="shared" ref="H40:BI40" si="32">H24+H29</f>
        <v>0</v>
      </c>
      <c r="I40" s="90">
        <f t="shared" si="32"/>
        <v>0</v>
      </c>
      <c r="J40" s="90">
        <f t="shared" si="32"/>
        <v>0</v>
      </c>
      <c r="K40" s="90">
        <f t="shared" si="32"/>
        <v>0</v>
      </c>
      <c r="L40" s="90">
        <f t="shared" si="32"/>
        <v>0</v>
      </c>
      <c r="M40" s="90">
        <f t="shared" si="32"/>
        <v>0</v>
      </c>
      <c r="N40" s="90">
        <f t="shared" si="32"/>
        <v>0</v>
      </c>
      <c r="O40" s="90">
        <f t="shared" si="32"/>
        <v>0</v>
      </c>
      <c r="P40" s="90">
        <f t="shared" si="32"/>
        <v>0</v>
      </c>
      <c r="Q40" s="90">
        <f t="shared" si="32"/>
        <v>0</v>
      </c>
      <c r="R40" s="90">
        <f t="shared" si="32"/>
        <v>0</v>
      </c>
      <c r="S40" s="90">
        <f t="shared" si="32"/>
        <v>0</v>
      </c>
      <c r="T40" s="90">
        <f t="shared" si="32"/>
        <v>0</v>
      </c>
      <c r="U40" s="90">
        <f t="shared" si="32"/>
        <v>0</v>
      </c>
      <c r="V40" s="90">
        <f t="shared" si="32"/>
        <v>0</v>
      </c>
      <c r="W40" s="90">
        <f t="shared" si="32"/>
        <v>0</v>
      </c>
      <c r="X40" s="90">
        <f t="shared" si="32"/>
        <v>0</v>
      </c>
      <c r="Y40" s="90">
        <f t="shared" si="32"/>
        <v>0</v>
      </c>
      <c r="Z40" s="90">
        <f t="shared" si="32"/>
        <v>0</v>
      </c>
      <c r="AA40" s="90">
        <f t="shared" si="32"/>
        <v>0</v>
      </c>
      <c r="AB40" s="90">
        <f t="shared" si="32"/>
        <v>4357770.2000038223</v>
      </c>
      <c r="AC40" s="90">
        <f t="shared" si="32"/>
        <v>4357770.2000038223</v>
      </c>
      <c r="AD40" s="90">
        <f t="shared" si="32"/>
        <v>4357770.2000038223</v>
      </c>
      <c r="AE40" s="90">
        <f t="shared" si="32"/>
        <v>4357770.2000038223</v>
      </c>
      <c r="AF40" s="90">
        <f t="shared" si="32"/>
        <v>4357770.2000038223</v>
      </c>
      <c r="AG40" s="90">
        <f t="shared" si="32"/>
        <v>4357770.2000038223</v>
      </c>
      <c r="AH40" s="90">
        <f t="shared" si="32"/>
        <v>4357770.2000038223</v>
      </c>
      <c r="AI40" s="90">
        <f t="shared" si="32"/>
        <v>4357770.2000038223</v>
      </c>
      <c r="AJ40" s="90">
        <f t="shared" si="32"/>
        <v>4357770.2000038223</v>
      </c>
      <c r="AK40" s="90">
        <f t="shared" si="32"/>
        <v>4357770.2000038223</v>
      </c>
      <c r="AL40" s="90">
        <f t="shared" si="32"/>
        <v>4357770.2000038223</v>
      </c>
      <c r="AM40" s="90">
        <f t="shared" si="32"/>
        <v>4357770.2000038223</v>
      </c>
      <c r="AN40" s="90">
        <f t="shared" si="32"/>
        <v>13251178.771440193</v>
      </c>
      <c r="AO40" s="90">
        <f t="shared" si="32"/>
        <v>13199300.554773482</v>
      </c>
      <c r="AP40" s="90">
        <f t="shared" si="32"/>
        <v>13147422.33810677</v>
      </c>
      <c r="AQ40" s="90">
        <f t="shared" si="32"/>
        <v>13095544.121440057</v>
      </c>
      <c r="AR40" s="90">
        <f t="shared" si="32"/>
        <v>13043665.904773345</v>
      </c>
      <c r="AS40" s="90">
        <f t="shared" si="32"/>
        <v>12991787.688106632</v>
      </c>
      <c r="AT40" s="90">
        <f t="shared" si="32"/>
        <v>12939909.47143992</v>
      </c>
      <c r="AU40" s="90">
        <f t="shared" si="32"/>
        <v>12888031.254773207</v>
      </c>
      <c r="AV40" s="90">
        <f t="shared" si="32"/>
        <v>12836153.038106496</v>
      </c>
      <c r="AW40" s="90">
        <f t="shared" si="32"/>
        <v>12784274.821439782</v>
      </c>
      <c r="AX40" s="90">
        <f t="shared" si="32"/>
        <v>12732396.604773071</v>
      </c>
      <c r="AY40" s="90">
        <f t="shared" si="32"/>
        <v>12680518.388106357</v>
      </c>
      <c r="AZ40" s="90">
        <f t="shared" si="32"/>
        <v>12628640.171439646</v>
      </c>
      <c r="BA40" s="90">
        <f t="shared" si="32"/>
        <v>12576761.954772932</v>
      </c>
      <c r="BB40" s="90">
        <f t="shared" si="32"/>
        <v>12524883.738106221</v>
      </c>
      <c r="BC40" s="90">
        <f t="shared" si="32"/>
        <v>12473005.521439508</v>
      </c>
      <c r="BD40" s="90">
        <f t="shared" si="32"/>
        <v>12421127.304772796</v>
      </c>
      <c r="BE40" s="90">
        <f t="shared" si="32"/>
        <v>12369249.088106083</v>
      </c>
      <c r="BF40" s="90">
        <f t="shared" si="32"/>
        <v>12317370.871439371</v>
      </c>
      <c r="BG40" s="90">
        <f t="shared" si="32"/>
        <v>12265492.65477266</v>
      </c>
      <c r="BH40" s="90">
        <f t="shared" si="32"/>
        <v>12213614.438105946</v>
      </c>
      <c r="BI40" s="90">
        <f t="shared" si="32"/>
        <v>145940834.65727082</v>
      </c>
      <c r="BJ40" s="90">
        <f t="shared" ref="BJ40:BO40" si="33">BJ24+BJ29</f>
        <v>138470371.45726424</v>
      </c>
      <c r="BK40" s="90">
        <f t="shared" si="33"/>
        <v>130999908.2572577</v>
      </c>
      <c r="BL40" s="90">
        <f t="shared" si="33"/>
        <v>123529445.05725116</v>
      </c>
      <c r="BM40" s="90">
        <f t="shared" si="33"/>
        <v>116058981.8572446</v>
      </c>
      <c r="BN40" s="90">
        <f t="shared" si="33"/>
        <v>1867615.8000015889</v>
      </c>
      <c r="BO40" s="90">
        <f t="shared" si="33"/>
        <v>1867615.8000015889</v>
      </c>
    </row>
    <row r="41" spans="1:67">
      <c r="A41" s="35"/>
      <c r="B41" s="35"/>
      <c r="C41" s="49" t="s">
        <v>602</v>
      </c>
      <c r="D41" s="50"/>
      <c r="E41" s="86" t="s">
        <v>175</v>
      </c>
      <c r="F41" s="86"/>
      <c r="G41" s="100">
        <f>IFERROR(IF(G40=0,0,G39/G40),0)</f>
        <v>0</v>
      </c>
      <c r="H41" s="100">
        <f t="shared" ref="H41:BI41" si="34">IFERROR(IF(H40=0,0,H39/H40),0)</f>
        <v>0</v>
      </c>
      <c r="I41" s="100">
        <f t="shared" si="34"/>
        <v>0</v>
      </c>
      <c r="J41" s="100">
        <f t="shared" si="34"/>
        <v>0</v>
      </c>
      <c r="K41" s="100">
        <f t="shared" si="34"/>
        <v>0</v>
      </c>
      <c r="L41" s="100">
        <f t="shared" si="34"/>
        <v>0</v>
      </c>
      <c r="M41" s="100">
        <f t="shared" si="34"/>
        <v>0</v>
      </c>
      <c r="N41" s="100">
        <f t="shared" si="34"/>
        <v>0</v>
      </c>
      <c r="O41" s="100">
        <f t="shared" si="34"/>
        <v>0</v>
      </c>
      <c r="P41" s="100">
        <f t="shared" si="34"/>
        <v>0</v>
      </c>
      <c r="Q41" s="100">
        <f t="shared" si="34"/>
        <v>0</v>
      </c>
      <c r="R41" s="100">
        <f t="shared" si="34"/>
        <v>0</v>
      </c>
      <c r="S41" s="100">
        <f t="shared" si="34"/>
        <v>0</v>
      </c>
      <c r="T41" s="100">
        <f t="shared" si="34"/>
        <v>0</v>
      </c>
      <c r="U41" s="100">
        <f t="shared" si="34"/>
        <v>0</v>
      </c>
      <c r="V41" s="100">
        <f t="shared" si="34"/>
        <v>0</v>
      </c>
      <c r="W41" s="100">
        <f t="shared" si="34"/>
        <v>0</v>
      </c>
      <c r="X41" s="100">
        <f t="shared" si="34"/>
        <v>0</v>
      </c>
      <c r="Y41" s="75">
        <f t="shared" si="34"/>
        <v>0</v>
      </c>
      <c r="Z41" s="75">
        <f t="shared" si="34"/>
        <v>0</v>
      </c>
      <c r="AA41" s="75">
        <f t="shared" si="34"/>
        <v>0</v>
      </c>
      <c r="AB41" s="75">
        <f t="shared" si="34"/>
        <v>-10.120022823857902</v>
      </c>
      <c r="AC41" s="75">
        <f t="shared" si="34"/>
        <v>-3.7434064807355085</v>
      </c>
      <c r="AD41" s="75">
        <f t="shared" si="34"/>
        <v>-0.91763070937027258</v>
      </c>
      <c r="AE41" s="75">
        <f t="shared" si="34"/>
        <v>-0.70017622674421975</v>
      </c>
      <c r="AF41" s="75">
        <f t="shared" si="34"/>
        <v>-0.8200363322049592</v>
      </c>
      <c r="AG41" s="75">
        <f t="shared" si="34"/>
        <v>1.65631260914642</v>
      </c>
      <c r="AH41" s="75">
        <f t="shared" si="34"/>
        <v>0.98429754044808415</v>
      </c>
      <c r="AI41" s="75">
        <f t="shared" si="34"/>
        <v>2.2642977968905069</v>
      </c>
      <c r="AJ41" s="75">
        <f t="shared" si="34"/>
        <v>2.0362439147464402</v>
      </c>
      <c r="AK41" s="75">
        <f t="shared" si="34"/>
        <v>3.4700886766226251</v>
      </c>
      <c r="AL41" s="75">
        <f t="shared" si="34"/>
        <v>3.5968484800194682</v>
      </c>
      <c r="AM41" s="75">
        <f t="shared" si="34"/>
        <v>3.6022863324879855</v>
      </c>
      <c r="AN41" s="75">
        <f t="shared" si="34"/>
        <v>1.7359729853343562</v>
      </c>
      <c r="AO41" s="75">
        <f t="shared" si="34"/>
        <v>1.7638080423701701</v>
      </c>
      <c r="AP41" s="75">
        <f t="shared" si="34"/>
        <v>2.1664681152503085</v>
      </c>
      <c r="AQ41" s="75">
        <f t="shared" si="34"/>
        <v>1.8678530609010255</v>
      </c>
      <c r="AR41" s="75">
        <f t="shared" si="34"/>
        <v>1.3758627656229654</v>
      </c>
      <c r="AS41" s="75">
        <f t="shared" si="34"/>
        <v>2.6978537742361843</v>
      </c>
      <c r="AT41" s="75">
        <f t="shared" si="34"/>
        <v>1.8414873694744602</v>
      </c>
      <c r="AU41" s="75">
        <f t="shared" si="34"/>
        <v>2.261537738006687</v>
      </c>
      <c r="AV41" s="75">
        <f t="shared" si="34"/>
        <v>1.85554178872206</v>
      </c>
      <c r="AW41" s="75">
        <f t="shared" si="34"/>
        <v>2.2791000783727515</v>
      </c>
      <c r="AX41" s="75">
        <f t="shared" si="34"/>
        <v>2.0789121705710985</v>
      </c>
      <c r="AY41" s="75">
        <f t="shared" si="34"/>
        <v>1.8770546607322722</v>
      </c>
      <c r="AZ41" s="75">
        <f t="shared" si="34"/>
        <v>2.3059846821549623</v>
      </c>
      <c r="BA41" s="75">
        <f t="shared" si="34"/>
        <v>1.8916923721138041</v>
      </c>
      <c r="BB41" s="75">
        <f t="shared" si="34"/>
        <v>2.3242789391665259</v>
      </c>
      <c r="BC41" s="75">
        <f t="shared" si="34"/>
        <v>1.9981531362675584</v>
      </c>
      <c r="BD41" s="75">
        <f t="shared" si="34"/>
        <v>1.470538211639447</v>
      </c>
      <c r="BE41" s="75">
        <f t="shared" si="34"/>
        <v>2.8894483729412181</v>
      </c>
      <c r="BF41" s="75">
        <f t="shared" si="34"/>
        <v>1.9708594913242481</v>
      </c>
      <c r="BG41" s="75">
        <f t="shared" si="34"/>
        <v>2.4221828670475225</v>
      </c>
      <c r="BH41" s="75">
        <f t="shared" si="34"/>
        <v>1.9867214201778898</v>
      </c>
      <c r="BI41" s="75">
        <f t="shared" si="34"/>
        <v>2.2390932524508411</v>
      </c>
      <c r="BJ41" s="75">
        <f t="shared" ref="BJ41" si="35">IFERROR(IF(BJ40=0,0,BJ39/BJ40),0)</f>
        <v>2.4071958924705887</v>
      </c>
      <c r="BK41" s="75">
        <f t="shared" ref="BK41" si="36">IFERROR(IF(BK40=0,0,BK39/BK40),0)</f>
        <v>2.5937583933401154</v>
      </c>
      <c r="BL41" s="75">
        <f t="shared" ref="BL41" si="37">IFERROR(IF(BL40=0,0,BL39/BL40),0)</f>
        <v>2.8015406980043953</v>
      </c>
      <c r="BM41" s="75">
        <f t="shared" ref="BM41" si="38">IFERROR(IF(BM40=0,0,BM39/BM40),0)</f>
        <v>3.0387975658120872</v>
      </c>
      <c r="BN41" s="100">
        <f t="shared" ref="BN41" ca="1" si="39">IFERROR(IF(BN40=0,0,BN39/BN40),0)</f>
        <v>173.22242813960594</v>
      </c>
      <c r="BO41" s="100">
        <f t="shared" ref="BO41" ca="1" si="40">IFERROR(IF(BO40=0,0,BO39/BO40),0)</f>
        <v>163.97609568425949</v>
      </c>
    </row>
    <row r="42" spans="1:67">
      <c r="A42" s="35"/>
      <c r="B42" s="35"/>
      <c r="C42" s="35" t="s">
        <v>645</v>
      </c>
      <c r="D42" s="50"/>
      <c r="E42" s="86" t="s">
        <v>460</v>
      </c>
      <c r="F42" s="86"/>
      <c r="G42" s="93">
        <f>IF(G28=0,1,IF(G41&gt;='01 Major Assumptions'!$D$142,1,0))</f>
        <v>1</v>
      </c>
      <c r="H42" s="93">
        <f>IF(H28=0,1,IF(H41&gt;='01 Major Assumptions'!$D$142,1,0))</f>
        <v>1</v>
      </c>
      <c r="I42" s="93">
        <f>IF(I28=0,1,IF(I41&gt;='01 Major Assumptions'!$D$142,1,0))</f>
        <v>1</v>
      </c>
      <c r="J42" s="93">
        <f>IF(J28=0,1,IF(J41&gt;='01 Major Assumptions'!$D$142,1,0))</f>
        <v>1</v>
      </c>
      <c r="K42" s="93">
        <f>IF(K28=0,1,IF(K41&gt;='01 Major Assumptions'!$D$142,1,0))</f>
        <v>1</v>
      </c>
      <c r="L42" s="93">
        <f>IF(L28=0,1,IF(L41&gt;='01 Major Assumptions'!$D$142,1,0))</f>
        <v>1</v>
      </c>
      <c r="M42" s="93">
        <f>IF(M28=0,1,IF(M41&gt;='01 Major Assumptions'!$D$142,1,0))</f>
        <v>1</v>
      </c>
      <c r="N42" s="93">
        <f>IF(N28=0,1,IF(N41&gt;='01 Major Assumptions'!$D$142,1,0))</f>
        <v>1</v>
      </c>
      <c r="O42" s="93">
        <f>IF(O28=0,1,IF(O41&gt;='01 Major Assumptions'!$D$142,1,0))</f>
        <v>1</v>
      </c>
      <c r="P42" s="93">
        <f>IF(P28=0,1,IF(P41&gt;='01 Major Assumptions'!$D$142,1,0))</f>
        <v>1</v>
      </c>
      <c r="Q42" s="93">
        <f>IF(Q28=0,1,IF(Q41&gt;='01 Major Assumptions'!$D$142,1,0))</f>
        <v>1</v>
      </c>
      <c r="R42" s="93">
        <f>IF(R28=0,1,IF(R41&gt;='01 Major Assumptions'!$D$142,1,0))</f>
        <v>1</v>
      </c>
      <c r="S42" s="93">
        <f>IF(S28=0,1,IF(S41&gt;='01 Major Assumptions'!$D$142,1,0))</f>
        <v>1</v>
      </c>
      <c r="T42" s="93">
        <f>IF(T28=0,1,IF(T41&gt;='01 Major Assumptions'!$D$142,1,0))</f>
        <v>1</v>
      </c>
      <c r="U42" s="93">
        <f>IF(U28=0,1,IF(U41&gt;='01 Major Assumptions'!$D$142,1,0))</f>
        <v>1</v>
      </c>
      <c r="V42" s="93">
        <f>IF(V28=0,1,IF(V41&gt;='01 Major Assumptions'!$D$142,1,0))</f>
        <v>1</v>
      </c>
      <c r="W42" s="93">
        <f>IF(W28=0,1,IF(W41&gt;='01 Major Assumptions'!$D$142,1,0))</f>
        <v>1</v>
      </c>
      <c r="X42" s="93">
        <f>IF(X28=0,1,IF(X41&gt;='01 Major Assumptions'!$D$142,1,0))</f>
        <v>1</v>
      </c>
      <c r="Y42" s="93">
        <f>IF(Y28=0,1,IF(Y41&gt;='01 Major Assumptions'!$D$142,1,0))</f>
        <v>1</v>
      </c>
      <c r="Z42" s="93">
        <f>IF(Z28=0,1,IF(Z41&gt;='01 Major Assumptions'!$D$142,1,0))</f>
        <v>1</v>
      </c>
      <c r="AA42" s="93">
        <f>IF(AA28=0,1,IF(AA41&gt;='01 Major Assumptions'!$D$142,1,0))</f>
        <v>1</v>
      </c>
      <c r="AB42" s="93">
        <f>IF(AB28=0,1,IF(AB41&gt;='01 Major Assumptions'!$D$142,1,0))</f>
        <v>1</v>
      </c>
      <c r="AC42" s="93">
        <f>IF(AC28=0,1,IF(AC41&gt;='01 Major Assumptions'!$D$142,1,0))</f>
        <v>1</v>
      </c>
      <c r="AD42" s="93">
        <f>IF(AD28=0,1,IF(AD41&gt;='01 Major Assumptions'!$D$142,1,0))</f>
        <v>1</v>
      </c>
      <c r="AE42" s="93">
        <f>IF(AE28=0,1,IF(AE41&gt;='01 Major Assumptions'!$D$142,1,0))</f>
        <v>1</v>
      </c>
      <c r="AF42" s="93">
        <f>IF(AF28=0,1,IF(AF41&gt;='01 Major Assumptions'!$D$142,1,0))</f>
        <v>1</v>
      </c>
      <c r="AG42" s="93">
        <f>IF(AG28=0,1,IF(AG41&gt;='01 Major Assumptions'!$D$142,1,0))</f>
        <v>1</v>
      </c>
      <c r="AH42" s="93">
        <f>IF(AH28=0,1,IF(AH41&gt;='01 Major Assumptions'!$D$142,1,0))</f>
        <v>1</v>
      </c>
      <c r="AI42" s="93">
        <f>IF(AI28=0,1,IF(AI41&gt;='01 Major Assumptions'!$D$142,1,0))</f>
        <v>1</v>
      </c>
      <c r="AJ42" s="93">
        <f>IF(AJ28=0,1,IF(AJ41&gt;='01 Major Assumptions'!$D$142,1,0))</f>
        <v>1</v>
      </c>
      <c r="AK42" s="93">
        <f>IF(AK28=0,1,IF(AK41&gt;='01 Major Assumptions'!$D$142,1,0))</f>
        <v>1</v>
      </c>
      <c r="AL42" s="93">
        <f>IF(AL28=0,1,IF(AL41&gt;='01 Major Assumptions'!$D$142,1,0))</f>
        <v>1</v>
      </c>
      <c r="AM42" s="93">
        <f>IF(AM28=0,1,IF(AM41&gt;='01 Major Assumptions'!$D$142,1,0))</f>
        <v>1</v>
      </c>
      <c r="AN42" s="93">
        <f>IF(AN28=0,1,IF(AN41&gt;='01 Major Assumptions'!$D$142,1,0))</f>
        <v>1</v>
      </c>
      <c r="AO42" s="93">
        <f>IF(AO28=0,1,IF(AO41&gt;='01 Major Assumptions'!$D$142,1,0))</f>
        <v>1</v>
      </c>
      <c r="AP42" s="93">
        <f>IF(AP28=0,1,IF(AP41&gt;='01 Major Assumptions'!$D$142,1,0))</f>
        <v>1</v>
      </c>
      <c r="AQ42" s="93">
        <f>IF(AQ28=0,1,IF(AQ41&gt;='01 Major Assumptions'!$D$142,1,0))</f>
        <v>1</v>
      </c>
      <c r="AR42" s="93">
        <f>IF(AR28=0,1,IF(AR41&gt;='01 Major Assumptions'!$D$142,1,0))</f>
        <v>1</v>
      </c>
      <c r="AS42" s="93">
        <f>IF(AS28=0,1,IF(AS41&gt;='01 Major Assumptions'!$D$142,1,0))</f>
        <v>1</v>
      </c>
      <c r="AT42" s="93">
        <f>IF(AT28=0,1,IF(AT41&gt;='01 Major Assumptions'!$D$142,1,0))</f>
        <v>1</v>
      </c>
      <c r="AU42" s="93">
        <f>IF(AU28=0,1,IF(AU41&gt;='01 Major Assumptions'!$D$142,1,0))</f>
        <v>1</v>
      </c>
      <c r="AV42" s="93">
        <f>IF(AV28=0,1,IF(AV41&gt;='01 Major Assumptions'!$D$142,1,0))</f>
        <v>1</v>
      </c>
      <c r="AW42" s="93">
        <f>IF(AW28=0,1,IF(AW41&gt;='01 Major Assumptions'!$D$142,1,0))</f>
        <v>1</v>
      </c>
      <c r="AX42" s="93">
        <f>IF(AX28=0,1,IF(AX41&gt;='01 Major Assumptions'!$D$142,1,0))</f>
        <v>1</v>
      </c>
      <c r="AY42" s="93">
        <f>IF(AY28=0,1,IF(AY41&gt;='01 Major Assumptions'!$D$142,1,0))</f>
        <v>1</v>
      </c>
      <c r="AZ42" s="93">
        <f>IF(AZ28=0,1,IF(AZ41&gt;='01 Major Assumptions'!$D$142,1,0))</f>
        <v>1</v>
      </c>
      <c r="BA42" s="93">
        <f>IF(BA28=0,1,IF(BA41&gt;='01 Major Assumptions'!$D$142,1,0))</f>
        <v>1</v>
      </c>
      <c r="BB42" s="93">
        <f>IF(BB28=0,1,IF(BB41&gt;='01 Major Assumptions'!$D$142,1,0))</f>
        <v>1</v>
      </c>
      <c r="BC42" s="93">
        <f>IF(BC28=0,1,IF(BC41&gt;='01 Major Assumptions'!$D$142,1,0))</f>
        <v>1</v>
      </c>
      <c r="BD42" s="93">
        <f>IF(BD28=0,1,IF(BD41&gt;='01 Major Assumptions'!$D$142,1,0))</f>
        <v>1</v>
      </c>
      <c r="BE42" s="93">
        <f>IF(BE28=0,1,IF(BE41&gt;='01 Major Assumptions'!$D$142,1,0))</f>
        <v>1</v>
      </c>
      <c r="BF42" s="93">
        <f>IF(BF28=0,1,IF(BF41&gt;='01 Major Assumptions'!$D$142,1,0))</f>
        <v>1</v>
      </c>
      <c r="BG42" s="93">
        <f>IF(BG28=0,1,IF(BG41&gt;='01 Major Assumptions'!$D$142,1,0))</f>
        <v>1</v>
      </c>
      <c r="BH42" s="93">
        <f>IF(BH28=0,1,IF(BH41&gt;='01 Major Assumptions'!$D$142,1,0))</f>
        <v>1</v>
      </c>
      <c r="BI42" s="93">
        <f>IF(BI28=0,1,IF(BI41&gt;='01 Major Assumptions'!$D$142,1,0))</f>
        <v>1</v>
      </c>
      <c r="BJ42" s="93">
        <f>IF(BJ28=0,1,IF(BJ41&gt;='01 Major Assumptions'!$D$142,1,0))</f>
        <v>1</v>
      </c>
      <c r="BK42" s="93">
        <f>IF(BK28=0,1,IF(BK41&gt;='01 Major Assumptions'!$D$142,1,0))</f>
        <v>1</v>
      </c>
      <c r="BL42" s="93">
        <f>IF(BL28=0,1,IF(BL41&gt;='01 Major Assumptions'!$D$142,1,0))</f>
        <v>1</v>
      </c>
      <c r="BM42" s="93">
        <f>IF(BM28=0,1,IF(BM41&gt;='01 Major Assumptions'!$D$142,1,0))</f>
        <v>1</v>
      </c>
      <c r="BN42" s="93">
        <f>IF(BN28=0,1,IF(BN41&gt;='01 Major Assumptions'!$D$142,1,0))</f>
        <v>1</v>
      </c>
      <c r="BO42" s="93">
        <f>IF(BO28=0,1,IF(BO41&gt;='01 Major Assumptions'!$D$142,1,0))</f>
        <v>1</v>
      </c>
    </row>
    <row r="43" spans="1:67">
      <c r="A43" s="35"/>
      <c r="B43" s="35"/>
      <c r="C43" s="35"/>
      <c r="D43" s="50"/>
      <c r="E43" s="50"/>
      <c r="F43" s="50"/>
      <c r="G43" s="15"/>
      <c r="H43" s="15"/>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15"/>
      <c r="AO43" s="15"/>
      <c r="AP43" s="15"/>
      <c r="AQ43" s="15"/>
      <c r="AR43" s="15"/>
      <c r="AS43" s="15"/>
      <c r="AT43" s="15"/>
      <c r="AU43" s="15"/>
      <c r="AV43" s="15"/>
      <c r="AW43" s="15"/>
      <c r="AX43" s="15"/>
      <c r="AY43" s="15"/>
      <c r="AZ43" s="15"/>
      <c r="BA43" s="15"/>
      <c r="BB43" s="15"/>
      <c r="BC43" s="15"/>
      <c r="BD43" s="15"/>
      <c r="BE43" s="15"/>
      <c r="BF43" s="15"/>
      <c r="BG43" s="15"/>
      <c r="BH43" s="15"/>
      <c r="BI43" s="15"/>
      <c r="BJ43" s="15"/>
      <c r="BK43" s="15"/>
      <c r="BL43" s="15"/>
      <c r="BM43" s="15"/>
      <c r="BN43" s="15"/>
      <c r="BO43" s="15"/>
    </row>
    <row r="44" spans="1:67">
      <c r="A44" s="18" t="s">
        <v>464</v>
      </c>
      <c r="B44" s="18"/>
      <c r="C44" s="18"/>
      <c r="D44" s="39"/>
      <c r="E44" s="39"/>
      <c r="F44" s="39"/>
      <c r="G44" s="40"/>
      <c r="H44" s="40"/>
      <c r="I44" s="40"/>
      <c r="J44" s="40"/>
      <c r="K44" s="40"/>
      <c r="L44" s="40"/>
      <c r="M44" s="40"/>
      <c r="N44" s="40"/>
      <c r="O44" s="40"/>
      <c r="P44" s="40"/>
      <c r="Q44" s="40"/>
      <c r="R44" s="40"/>
      <c r="S44" s="40"/>
      <c r="T44" s="40"/>
      <c r="U44" s="40"/>
      <c r="V44" s="40"/>
      <c r="W44" s="40"/>
      <c r="X44" s="40"/>
      <c r="Y44" s="40"/>
      <c r="Z44" s="40"/>
      <c r="AA44" s="40"/>
      <c r="AB44" s="40"/>
      <c r="AC44" s="40"/>
      <c r="AD44" s="40"/>
      <c r="AE44" s="40"/>
      <c r="AF44" s="40"/>
      <c r="AG44" s="40"/>
      <c r="AH44" s="40"/>
      <c r="AI44" s="40"/>
      <c r="AJ44" s="40"/>
      <c r="AK44" s="40"/>
      <c r="AL44" s="40"/>
      <c r="AM44" s="40"/>
      <c r="AN44" s="40"/>
      <c r="AO44" s="40"/>
      <c r="AP44" s="40"/>
      <c r="AQ44" s="40"/>
      <c r="AR44" s="40"/>
      <c r="AS44" s="40"/>
      <c r="AT44" s="40"/>
      <c r="AU44" s="40"/>
      <c r="AV44" s="40"/>
      <c r="AW44" s="40"/>
      <c r="AX44" s="40"/>
      <c r="AY44" s="40"/>
      <c r="AZ44" s="40"/>
      <c r="BA44" s="40"/>
      <c r="BB44" s="40"/>
      <c r="BC44" s="40"/>
      <c r="BD44" s="40"/>
      <c r="BE44" s="40"/>
      <c r="BF44" s="40"/>
      <c r="BG44" s="40"/>
      <c r="BH44" s="40"/>
      <c r="BI44" s="40"/>
      <c r="BJ44" s="40"/>
      <c r="BK44" s="40"/>
      <c r="BL44" s="40"/>
      <c r="BM44" s="40"/>
      <c r="BN44" s="40"/>
      <c r="BO44" s="40"/>
    </row>
    <row r="45" spans="1:67">
      <c r="A45" s="11"/>
      <c r="B45" s="11"/>
      <c r="C45" s="11" t="s">
        <v>0</v>
      </c>
      <c r="D45" s="33"/>
      <c r="E45" s="10" t="s">
        <v>13</v>
      </c>
      <c r="F45" s="10"/>
      <c r="G45" s="90">
        <f>'04 Operating Model'!G$101*'01 Major Assumptions'!$D$124/'01 Major Assumptions'!G$13</f>
        <v>0</v>
      </c>
      <c r="H45" s="90">
        <f>'04 Operating Model'!H$101*'01 Major Assumptions'!$D$124/'01 Major Assumptions'!H$13</f>
        <v>0</v>
      </c>
      <c r="I45" s="90">
        <f>'04 Operating Model'!I$101*'01 Major Assumptions'!$D$124/'01 Major Assumptions'!I$13</f>
        <v>0</v>
      </c>
      <c r="J45" s="90">
        <f>'04 Operating Model'!J$101*'01 Major Assumptions'!$D$124/'01 Major Assumptions'!J$13</f>
        <v>0</v>
      </c>
      <c r="K45" s="90">
        <f>'04 Operating Model'!K$101*'01 Major Assumptions'!$D$124/'01 Major Assumptions'!K$13</f>
        <v>0</v>
      </c>
      <c r="L45" s="90">
        <f>'04 Operating Model'!L$101*'01 Major Assumptions'!$D$124/'01 Major Assumptions'!L$13</f>
        <v>0</v>
      </c>
      <c r="M45" s="90">
        <f>'04 Operating Model'!M$101*'01 Major Assumptions'!$D$124/'01 Major Assumptions'!M$13</f>
        <v>0</v>
      </c>
      <c r="N45" s="90">
        <f>'04 Operating Model'!N$101*'01 Major Assumptions'!$D$124/'01 Major Assumptions'!N$13</f>
        <v>0</v>
      </c>
      <c r="O45" s="90">
        <f>'04 Operating Model'!O$101*'01 Major Assumptions'!$D$124/'01 Major Assumptions'!O$13</f>
        <v>0</v>
      </c>
      <c r="P45" s="90">
        <f>'04 Operating Model'!P$101*'01 Major Assumptions'!$D$124/'01 Major Assumptions'!P$13</f>
        <v>0</v>
      </c>
      <c r="Q45" s="90">
        <f>'04 Operating Model'!Q$101*'01 Major Assumptions'!$D$124/'01 Major Assumptions'!Q$13</f>
        <v>0</v>
      </c>
      <c r="R45" s="90">
        <f>'04 Operating Model'!R$101*'01 Major Assumptions'!$D$124/'01 Major Assumptions'!R$13</f>
        <v>0</v>
      </c>
      <c r="S45" s="90">
        <f>'04 Operating Model'!S$101*'01 Major Assumptions'!$D$124/'01 Major Assumptions'!S$13</f>
        <v>0</v>
      </c>
      <c r="T45" s="90">
        <f>'04 Operating Model'!T$101*'01 Major Assumptions'!$D$124/'01 Major Assumptions'!T$13</f>
        <v>0</v>
      </c>
      <c r="U45" s="90">
        <f>'04 Operating Model'!U$101*'01 Major Assumptions'!$D$124/'01 Major Assumptions'!U$13</f>
        <v>0</v>
      </c>
      <c r="V45" s="90">
        <f>'04 Operating Model'!V$101*'01 Major Assumptions'!$D$124/'01 Major Assumptions'!V$13</f>
        <v>0</v>
      </c>
      <c r="W45" s="90">
        <f>'04 Operating Model'!W$101*'01 Major Assumptions'!$D$124/'01 Major Assumptions'!W$13</f>
        <v>0</v>
      </c>
      <c r="X45" s="90">
        <f>'04 Operating Model'!X$101*'01 Major Assumptions'!$D$124/'01 Major Assumptions'!X$13</f>
        <v>0</v>
      </c>
      <c r="Y45" s="90">
        <f>'04 Operating Model'!Y$101*'01 Major Assumptions'!$D$124/'01 Major Assumptions'!Y$13</f>
        <v>0</v>
      </c>
      <c r="Z45" s="90">
        <f>'04 Operating Model'!Z$101*'01 Major Assumptions'!$D$124/'01 Major Assumptions'!Z$13</f>
        <v>0</v>
      </c>
      <c r="AA45" s="90">
        <f>'04 Operating Model'!AA$101*'01 Major Assumptions'!$D$124/'01 Major Assumptions'!AA$13</f>
        <v>0</v>
      </c>
      <c r="AB45" s="90">
        <f>'04 Operating Model'!AB$101*'01 Major Assumptions'!$D$124/'01 Major Assumptions'!AB$13</f>
        <v>18833612.189803142</v>
      </c>
      <c r="AC45" s="90">
        <f>'04 Operating Model'!AC$101*'01 Major Assumptions'!$D$124/'01 Major Assumptions'!AC$13</f>
        <v>25786354.023205463</v>
      </c>
      <c r="AD45" s="90">
        <f>'04 Operating Model'!AD$101*'01 Major Assumptions'!$D$124/'01 Major Assumptions'!AD$13</f>
        <v>31075460.113175184</v>
      </c>
      <c r="AE45" s="90">
        <f>'04 Operating Model'!AE$101*'01 Major Assumptions'!$D$124/'01 Major Assumptions'!AE$13</f>
        <v>38015015.500874251</v>
      </c>
      <c r="AF45" s="90">
        <f>'04 Operating Model'!AF$101*'01 Major Assumptions'!$D$124/'01 Major Assumptions'!AF$13</f>
        <v>49013934.994798064</v>
      </c>
      <c r="AG45" s="90">
        <f>'04 Operating Model'!AG$101*'01 Major Assumptions'!$D$124/'01 Major Assumptions'!AG$13</f>
        <v>50526286.425212592</v>
      </c>
      <c r="AH45" s="90">
        <f>'04 Operating Model'!AH$101*'01 Major Assumptions'!$D$124/'01 Major Assumptions'!AH$13</f>
        <v>58674652.616961151</v>
      </c>
      <c r="AI45" s="90">
        <f>'04 Operating Model'!AI$101*'01 Major Assumptions'!$D$124/'01 Major Assumptions'!AI$13</f>
        <v>63037557.34955094</v>
      </c>
      <c r="AJ45" s="90">
        <f>'04 Operating Model'!AJ$101*'01 Major Assumptions'!$D$124/'01 Major Assumptions'!AJ$13</f>
        <v>71602965.905444145</v>
      </c>
      <c r="AK45" s="90">
        <f>'04 Operating Model'!AK$101*'01 Major Assumptions'!$D$124/'01 Major Assumptions'!AK$13</f>
        <v>75548828.273889288</v>
      </c>
      <c r="AL45" s="90">
        <f>'04 Operating Model'!AL$101*'01 Major Assumptions'!$D$124/'01 Major Assumptions'!AL$13</f>
        <v>81804463.736058459</v>
      </c>
      <c r="AM45" s="90">
        <f>'04 Operating Model'!AM$101*'01 Major Assumptions'!$D$124/'01 Major Assumptions'!AM$13</f>
        <v>90995435.838168591</v>
      </c>
      <c r="AN45" s="90">
        <f>'04 Operating Model'!AN$101*'01 Major Assumptions'!$D$124/'01 Major Assumptions'!AN$13</f>
        <v>94315734.660396844</v>
      </c>
      <c r="AO45" s="90">
        <f>'04 Operating Model'!AO$101*'01 Major Assumptions'!$D$124/'01 Major Assumptions'!AO$13</f>
        <v>97459592.482410058</v>
      </c>
      <c r="AP45" s="90">
        <f>'04 Operating Model'!AP$101*'01 Major Assumptions'!$D$124/'01 Major Assumptions'!AP$13</f>
        <v>94315734.660396844</v>
      </c>
      <c r="AQ45" s="90">
        <f>'04 Operating Model'!AQ$101*'01 Major Assumptions'!$D$124/'01 Major Assumptions'!AQ$13</f>
        <v>96391653.130888</v>
      </c>
      <c r="AR45" s="90">
        <f>'04 Operating Model'!AR$101*'01 Major Assumptions'!$D$124/'01 Major Assumptions'!AR$13</f>
        <v>106719330.25205457</v>
      </c>
      <c r="AS45" s="90">
        <f>'04 Operating Model'!AS$101*'01 Major Assumptions'!$D$124/'01 Major Assumptions'!AS$13</f>
        <v>96391653.130888</v>
      </c>
      <c r="AT45" s="90">
        <f>'04 Operating Model'!AT$101*'01 Major Assumptions'!$D$124/'01 Major Assumptions'!AT$13</f>
        <v>99604708.235250935</v>
      </c>
      <c r="AU45" s="90">
        <f>'04 Operating Model'!AU$101*'01 Major Assumptions'!$D$124/'01 Major Assumptions'!AU$13</f>
        <v>96391653.130888</v>
      </c>
      <c r="AV45" s="90">
        <f>'04 Operating Model'!AV$101*'01 Major Assumptions'!$D$124/'01 Major Assumptions'!AV$13</f>
        <v>99604708.235250935</v>
      </c>
      <c r="AW45" s="90">
        <f>'04 Operating Model'!AW$101*'01 Major Assumptions'!$D$124/'01 Major Assumptions'!AW$13</f>
        <v>96391653.130888</v>
      </c>
      <c r="AX45" s="90">
        <f>'04 Operating Model'!AX$101*'01 Major Assumptions'!$D$124/'01 Major Assumptions'!AX$13</f>
        <v>96391653.130888</v>
      </c>
      <c r="AY45" s="90">
        <f>'04 Operating Model'!AY$101*'01 Major Assumptions'!$D$124/'01 Major Assumptions'!AY$13</f>
        <v>99604708.235250935</v>
      </c>
      <c r="AZ45" s="90">
        <f>'04 Operating Model'!AZ$101*'01 Major Assumptions'!$D$124/'01 Major Assumptions'!AZ$13</f>
        <v>96391653.130888</v>
      </c>
      <c r="BA45" s="90">
        <f>'04 Operating Model'!BA$101*'01 Major Assumptions'!$D$124/'01 Major Assumptions'!BA$13</f>
        <v>99604708.235250935</v>
      </c>
      <c r="BB45" s="90">
        <f>'04 Operating Model'!BB$101*'01 Major Assumptions'!$D$124/'01 Major Assumptions'!BB$13</f>
        <v>96391653.130888</v>
      </c>
      <c r="BC45" s="90">
        <f>'04 Operating Model'!BC$101*'01 Major Assumptions'!$D$124/'01 Major Assumptions'!BC$13</f>
        <v>98513450.857666522</v>
      </c>
      <c r="BD45" s="90">
        <f>'04 Operating Model'!BD$101*'01 Major Assumptions'!$D$124/'01 Major Assumptions'!BD$13</f>
        <v>109068463.44955936</v>
      </c>
      <c r="BE45" s="90">
        <f>'04 Operating Model'!BE$101*'01 Major Assumptions'!$D$124/'01 Major Assumptions'!BE$13</f>
        <v>98513450.857666522</v>
      </c>
      <c r="BF45" s="90">
        <f>'04 Operating Model'!BF$101*'01 Major Assumptions'!$D$124/'01 Major Assumptions'!BF$13</f>
        <v>101797232.55292207</v>
      </c>
      <c r="BG45" s="90">
        <f>'04 Operating Model'!BG$101*'01 Major Assumptions'!$D$124/'01 Major Assumptions'!BG$13</f>
        <v>98513450.857666522</v>
      </c>
      <c r="BH45" s="90">
        <f>'04 Operating Model'!BH$101*'01 Major Assumptions'!$D$124/'01 Major Assumptions'!BH$13</f>
        <v>101797232.55292207</v>
      </c>
      <c r="BI45" s="90">
        <f>'04 Operating Model'!BI$101*'01 Major Assumptions'!$D$124/'01 Major Assumptions'!BI$13</f>
        <v>102332672.70537525</v>
      </c>
      <c r="BJ45" s="90">
        <f>'04 Operating Model'!BJ$101*'01 Major Assumptions'!$D$124/'01 Major Assumptions'!BJ$13</f>
        <v>104872179.51421906</v>
      </c>
      <c r="BK45" s="90">
        <f>'04 Operating Model'!BK$101*'01 Major Assumptions'!$D$124/'01 Major Assumptions'!BK$13</f>
        <v>107181264.00239544</v>
      </c>
      <c r="BL45" s="90">
        <f>'04 Operating Model'!BL$101*'01 Major Assumptions'!$D$124/'01 Major Assumptions'!BL$13</f>
        <v>109541397.92098689</v>
      </c>
      <c r="BM45" s="90">
        <f>'04 Operating Model'!BM$101*'01 Major Assumptions'!$D$124/'01 Major Assumptions'!BM$13</f>
        <v>111647829.75156392</v>
      </c>
      <c r="BN45" s="90">
        <f>'04 Operating Model'!BN$101*'01 Major Assumptions'!$D$124/'01 Major Assumptions'!BN$13</f>
        <v>114419371.06995578</v>
      </c>
      <c r="BO45" s="90">
        <f>'04 Operating Model'!BO$101*'01 Major Assumptions'!$D$124/'01 Major Assumptions'!BO$13</f>
        <v>116196458.15851577</v>
      </c>
    </row>
    <row r="46" spans="1:67">
      <c r="A46" s="11"/>
      <c r="B46" s="11"/>
      <c r="C46" s="11" t="s">
        <v>157</v>
      </c>
      <c r="D46" s="33"/>
      <c r="E46" s="10" t="s">
        <v>13</v>
      </c>
      <c r="F46" s="10"/>
      <c r="G46" s="90">
        <f>'05 Opex'!G$8*'01 Major Assumptions'!$D$125/'01 Major Assumptions'!G$13</f>
        <v>0</v>
      </c>
      <c r="H46" s="90">
        <f>'05 Opex'!H$8*'01 Major Assumptions'!$D$125/'01 Major Assumptions'!H$13</f>
        <v>0</v>
      </c>
      <c r="I46" s="90">
        <f>'05 Opex'!I$8*'01 Major Assumptions'!$D$125/'01 Major Assumptions'!I$13</f>
        <v>0</v>
      </c>
      <c r="J46" s="90">
        <f>'05 Opex'!J$8*'01 Major Assumptions'!$D$125/'01 Major Assumptions'!J$13</f>
        <v>0</v>
      </c>
      <c r="K46" s="90">
        <f>'05 Opex'!K$8*'01 Major Assumptions'!$D$125/'01 Major Assumptions'!K$13</f>
        <v>0</v>
      </c>
      <c r="L46" s="90">
        <f>'05 Opex'!L$8*'01 Major Assumptions'!$D$125/'01 Major Assumptions'!L$13</f>
        <v>0</v>
      </c>
      <c r="M46" s="90">
        <f>'05 Opex'!M$8*'01 Major Assumptions'!$D$125/'01 Major Assumptions'!M$13</f>
        <v>0</v>
      </c>
      <c r="N46" s="90">
        <f>'05 Opex'!N$8*'01 Major Assumptions'!$D$125/'01 Major Assumptions'!N$13</f>
        <v>0</v>
      </c>
      <c r="O46" s="90">
        <f>'05 Opex'!O$8*'01 Major Assumptions'!$D$125/'01 Major Assumptions'!O$13</f>
        <v>0</v>
      </c>
      <c r="P46" s="90">
        <f>'05 Opex'!P$8*'01 Major Assumptions'!$D$125/'01 Major Assumptions'!P$13</f>
        <v>0</v>
      </c>
      <c r="Q46" s="90">
        <f>'05 Opex'!Q$8*'01 Major Assumptions'!$D$125/'01 Major Assumptions'!Q$13</f>
        <v>0</v>
      </c>
      <c r="R46" s="90">
        <f>'05 Opex'!R$8*'01 Major Assumptions'!$D$125/'01 Major Assumptions'!R$13</f>
        <v>0</v>
      </c>
      <c r="S46" s="90">
        <f>'05 Opex'!S$8*'01 Major Assumptions'!$D$125/'01 Major Assumptions'!S$13</f>
        <v>0</v>
      </c>
      <c r="T46" s="90">
        <f>'05 Opex'!T$8*'01 Major Assumptions'!$D$125/'01 Major Assumptions'!T$13</f>
        <v>0</v>
      </c>
      <c r="U46" s="90">
        <f>'05 Opex'!U$8*'01 Major Assumptions'!$D$125/'01 Major Assumptions'!U$13</f>
        <v>0</v>
      </c>
      <c r="V46" s="90">
        <f>'05 Opex'!V$8*'01 Major Assumptions'!$D$125/'01 Major Assumptions'!V$13</f>
        <v>0</v>
      </c>
      <c r="W46" s="90">
        <f>'05 Opex'!W$8*'01 Major Assumptions'!$D$125/'01 Major Assumptions'!W$13</f>
        <v>0</v>
      </c>
      <c r="X46" s="90">
        <f>'05 Opex'!X$8*'01 Major Assumptions'!$D$125/'01 Major Assumptions'!X$13</f>
        <v>0</v>
      </c>
      <c r="Y46" s="90">
        <f>'05 Opex'!Y$8*'01 Major Assumptions'!$D$125/'01 Major Assumptions'!Y$13</f>
        <v>0</v>
      </c>
      <c r="Z46" s="90">
        <f>'05 Opex'!Z$8*'01 Major Assumptions'!$D$125/'01 Major Assumptions'!Z$13</f>
        <v>0</v>
      </c>
      <c r="AA46" s="90">
        <f>'05 Opex'!AA$8*'01 Major Assumptions'!$D$125/'01 Major Assumptions'!AA$13</f>
        <v>0</v>
      </c>
      <c r="AB46" s="90">
        <f>'05 Opex'!AB$8*'01 Major Assumptions'!$D$125/'01 Major Assumptions'!AB$13</f>
        <v>19400189.664329764</v>
      </c>
      <c r="AC46" s="90">
        <f>'05 Opex'!AC$8*'01 Major Assumptions'!$D$125/'01 Major Assumptions'!AC$13</f>
        <v>4230580.9053037409</v>
      </c>
      <c r="AD46" s="90">
        <f>'05 Opex'!AD$8*'01 Major Assumptions'!$D$125/'01 Major Assumptions'!AD$13</f>
        <v>5098326.3496661158</v>
      </c>
      <c r="AE46" s="90">
        <f>'05 Opex'!AE$8*'01 Major Assumptions'!$D$125/'01 Major Assumptions'!AE$13</f>
        <v>6241849.3078437792</v>
      </c>
      <c r="AF46" s="90">
        <f>'05 Opex'!AF$8*'01 Major Assumptions'!$D$125/'01 Major Assumptions'!AF$13</f>
        <v>8047809.3245797614</v>
      </c>
      <c r="AG46" s="90">
        <f>'05 Opex'!AG$8*'01 Major Assumptions'!$D$125/'01 Major Assumptions'!AG$13</f>
        <v>8296128.8268809626</v>
      </c>
      <c r="AH46" s="90">
        <f>'05 Opex'!AH$8*'01 Major Assumptions'!$D$125/'01 Major Assumptions'!AH$13</f>
        <v>9634044.2059462089</v>
      </c>
      <c r="AI46" s="90">
        <f>'05 Opex'!AI$8*'01 Major Assumptions'!$D$125/'01 Major Assumptions'!AI$13</f>
        <v>10350408.345918152</v>
      </c>
      <c r="AJ46" s="90">
        <f>'05 Opex'!AJ$8*'01 Major Assumptions'!$D$125/'01 Major Assumptions'!AJ$13</f>
        <v>11756799.708951313</v>
      </c>
      <c r="AK46" s="90">
        <f>'05 Opex'!AK$8*'01 Major Assumptions'!$D$125/'01 Major Assumptions'!AK$13</f>
        <v>12404687.864955343</v>
      </c>
      <c r="AL46" s="90">
        <f>'05 Opex'!AL$8*'01 Major Assumptions'!$D$125/'01 Major Assumptions'!AL$13</f>
        <v>13431827.624473939</v>
      </c>
      <c r="AM46" s="90">
        <f>'05 Opex'!AM$8*'01 Major Assumptions'!$D$125/'01 Major Assumptions'!AM$13</f>
        <v>14940932.963458961</v>
      </c>
      <c r="AN46" s="90">
        <f>'05 Opex'!AN$8*'01 Major Assumptions'!$D$125/'01 Major Assumptions'!AN$13</f>
        <v>15486107.143511122</v>
      </c>
      <c r="AO46" s="90">
        <f>'05 Opex'!AO$8*'01 Major Assumptions'!$D$125/'01 Major Assumptions'!AO$13</f>
        <v>16002310.714961501</v>
      </c>
      <c r="AP46" s="90">
        <f>'05 Opex'!AP$8*'01 Major Assumptions'!$D$125/'01 Major Assumptions'!AP$13</f>
        <v>15486107.14351113</v>
      </c>
      <c r="AQ46" s="90">
        <f>'05 Opex'!AQ$8*'01 Major Assumptions'!$D$125/'01 Major Assumptions'!AQ$13</f>
        <v>15839627.134901881</v>
      </c>
      <c r="AR46" s="90">
        <f>'05 Opex'!AR$8*'01 Major Assumptions'!$D$125/'01 Major Assumptions'!AR$13</f>
        <v>17536730.042212795</v>
      </c>
      <c r="AS46" s="90">
        <f>'05 Opex'!AS$8*'01 Major Assumptions'!$D$125/'01 Major Assumptions'!AS$13</f>
        <v>15839627.134901881</v>
      </c>
      <c r="AT46" s="90">
        <f>'05 Opex'!AT$8*'01 Major Assumptions'!$D$125/'01 Major Assumptions'!AT$13</f>
        <v>16367614.706065277</v>
      </c>
      <c r="AU46" s="90">
        <f>'05 Opex'!AU$8*'01 Major Assumptions'!$D$125/'01 Major Assumptions'!AU$13</f>
        <v>15839627.134901881</v>
      </c>
      <c r="AV46" s="90">
        <f>'05 Opex'!AV$8*'01 Major Assumptions'!$D$125/'01 Major Assumptions'!AV$13</f>
        <v>16367614.706065277</v>
      </c>
      <c r="AW46" s="90">
        <f>'05 Opex'!AW$8*'01 Major Assumptions'!$D$125/'01 Major Assumptions'!AW$13</f>
        <v>15839627.134901881</v>
      </c>
      <c r="AX46" s="90">
        <f>'05 Opex'!AX$8*'01 Major Assumptions'!$D$125/'01 Major Assumptions'!AX$13</f>
        <v>15839627.134901881</v>
      </c>
      <c r="AY46" s="90">
        <f>'05 Opex'!AY$8*'01 Major Assumptions'!$D$125/'01 Major Assumptions'!AY$13</f>
        <v>16367614.706065277</v>
      </c>
      <c r="AZ46" s="90">
        <f>'05 Opex'!AZ$8*'01 Major Assumptions'!$D$125/'01 Major Assumptions'!AZ$13</f>
        <v>15839627.134901881</v>
      </c>
      <c r="BA46" s="90">
        <f>'05 Opex'!BA$8*'01 Major Assumptions'!$D$125/'01 Major Assumptions'!BA$13</f>
        <v>16367614.706065277</v>
      </c>
      <c r="BB46" s="90">
        <f>'05 Opex'!BB$8*'01 Major Assumptions'!$D$125/'01 Major Assumptions'!BB$13</f>
        <v>15839627.134901881</v>
      </c>
      <c r="BC46" s="90">
        <f>'05 Opex'!BC$8*'01 Major Assumptions'!$D$125/'01 Major Assumptions'!BC$13</f>
        <v>16201224.876636421</v>
      </c>
      <c r="BD46" s="90">
        <f>'05 Opex'!BD$8*'01 Major Assumptions'!$D$125/'01 Major Assumptions'!BD$13</f>
        <v>17937070.399133179</v>
      </c>
      <c r="BE46" s="90">
        <f>'05 Opex'!BE$8*'01 Major Assumptions'!$D$125/'01 Major Assumptions'!BE$13</f>
        <v>16201224.876636421</v>
      </c>
      <c r="BF46" s="90">
        <f>'05 Opex'!BF$8*'01 Major Assumptions'!$D$125/'01 Major Assumptions'!BF$13</f>
        <v>16741265.705857635</v>
      </c>
      <c r="BG46" s="90">
        <f>'05 Opex'!BG$8*'01 Major Assumptions'!$D$125/'01 Major Assumptions'!BG$13</f>
        <v>16201224.876636421</v>
      </c>
      <c r="BH46" s="90">
        <f>'05 Opex'!BH$8*'01 Major Assumptions'!$D$125/'01 Major Assumptions'!BH$13</f>
        <v>16741265.705857635</v>
      </c>
      <c r="BI46" s="90">
        <f>'05 Opex'!BI$8*'01 Major Assumptions'!$D$125/'01 Major Assumptions'!BI$13</f>
        <v>16842742.225452073</v>
      </c>
      <c r="BJ46" s="90">
        <f>'05 Opex'!BJ$8*'01 Major Assumptions'!$D$125/'01 Major Assumptions'!BJ$13</f>
        <v>17274453.658462375</v>
      </c>
      <c r="BK46" s="90">
        <f>'05 Opex'!BK$8*'01 Major Assumptions'!$D$125/'01 Major Assumptions'!BK$13</f>
        <v>17668831.082483288</v>
      </c>
      <c r="BL46" s="90">
        <f>'05 Opex'!BL$8*'01 Major Assumptions'!$D$125/'01 Major Assumptions'!BL$13</f>
        <v>18072220.487054206</v>
      </c>
      <c r="BM46" s="90">
        <f>'05 Opex'!BM$8*'01 Major Assumptions'!$D$125/'01 Major Assumptions'!BM$13</f>
        <v>18434322.979260009</v>
      </c>
      <c r="BN46" s="90">
        <f>'05 Opex'!BN$8*'01 Major Assumptions'!$D$125/'01 Major Assumptions'!BN$13</f>
        <v>18906864.36089601</v>
      </c>
      <c r="BO46" s="90">
        <f>'05 Opex'!BO$8*'01 Major Assumptions'!$D$125/'01 Major Assumptions'!BO$13</f>
        <v>19317365.629529845</v>
      </c>
    </row>
    <row r="47" spans="1:67">
      <c r="A47" s="11"/>
      <c r="B47" s="11"/>
      <c r="C47" s="11" t="s">
        <v>158</v>
      </c>
      <c r="D47" s="33"/>
      <c r="E47" s="10" t="s">
        <v>13</v>
      </c>
      <c r="F47" s="10"/>
      <c r="G47" s="90">
        <f>('05 Opex'!G$94-'05 Opex'!G$8)*'01 Major Assumptions'!$D$126/'01 Major Assumptions'!G$13</f>
        <v>343354.83870967739</v>
      </c>
      <c r="H47" s="90">
        <f>('05 Opex'!H$94-'05 Opex'!H$8)*'01 Major Assumptions'!$D$126/'01 Major Assumptions'!H$13</f>
        <v>380142.85714285716</v>
      </c>
      <c r="I47" s="90">
        <f>('05 Opex'!I$94-'05 Opex'!I$8)*'01 Major Assumptions'!$D$126/'01 Major Assumptions'!I$13</f>
        <v>343354.83870967739</v>
      </c>
      <c r="J47" s="90">
        <f>('05 Opex'!J$94-'05 Opex'!J$8)*'01 Major Assumptions'!$D$126/'01 Major Assumptions'!J$13</f>
        <v>354800</v>
      </c>
      <c r="K47" s="90">
        <f>('05 Opex'!K$94-'05 Opex'!K$8)*'01 Major Assumptions'!$D$126/'01 Major Assumptions'!K$13</f>
        <v>343354.83870967739</v>
      </c>
      <c r="L47" s="90">
        <f>('05 Opex'!L$94-'05 Opex'!L$8)*'01 Major Assumptions'!$D$126/'01 Major Assumptions'!L$13</f>
        <v>354800</v>
      </c>
      <c r="M47" s="90">
        <f>('05 Opex'!M$94-'05 Opex'!M$8)*'01 Major Assumptions'!$D$126/'01 Major Assumptions'!M$13</f>
        <v>343354.83870967739</v>
      </c>
      <c r="N47" s="90">
        <f>('05 Opex'!N$94-'05 Opex'!N$8)*'01 Major Assumptions'!$D$126/'01 Major Assumptions'!N$13</f>
        <v>343354.83870967739</v>
      </c>
      <c r="O47" s="90">
        <f>('05 Opex'!O$94-'05 Opex'!O$8)*'01 Major Assumptions'!$D$126/'01 Major Assumptions'!O$13</f>
        <v>354800</v>
      </c>
      <c r="P47" s="90">
        <f>('05 Opex'!P$94-'05 Opex'!P$8)*'01 Major Assumptions'!$D$126/'01 Major Assumptions'!P$13</f>
        <v>434080.6451612903</v>
      </c>
      <c r="Q47" s="90">
        <f>('05 Opex'!Q$94-'05 Opex'!Q$8)*'01 Major Assumptions'!$D$126/'01 Major Assumptions'!Q$13</f>
        <v>448550</v>
      </c>
      <c r="R47" s="90">
        <f>('05 Opex'!R$94-'05 Opex'!R$8)*'01 Major Assumptions'!$D$126/'01 Major Assumptions'!R$13</f>
        <v>681661.29032258061</v>
      </c>
      <c r="S47" s="90">
        <f>('05 Opex'!S$94-'05 Opex'!S$8)*'01 Major Assumptions'!$D$126/'01 Major Assumptions'!S$13</f>
        <v>581850.96774193551</v>
      </c>
      <c r="T47" s="90">
        <f>('05 Opex'!T$94-'05 Opex'!T$8)*'01 Major Assumptions'!$D$126/'01 Major Assumptions'!T$13</f>
        <v>1225426.8965517241</v>
      </c>
      <c r="U47" s="90">
        <f>('05 Opex'!U$94-'05 Opex'!U$8)*'01 Major Assumptions'!$D$126/'01 Major Assumptions'!U$13</f>
        <v>1146367.0967741935</v>
      </c>
      <c r="V47" s="90">
        <f>('05 Opex'!V$94-'05 Opex'!V$8)*'01 Major Assumptions'!$D$126/'01 Major Assumptions'!V$13</f>
        <v>1290204.3333333335</v>
      </c>
      <c r="W47" s="90">
        <f>('05 Opex'!W$94-'05 Opex'!W$8)*'01 Major Assumptions'!$D$126/'01 Major Assumptions'!W$13</f>
        <v>1248584.8387096776</v>
      </c>
      <c r="X47" s="90">
        <f>('05 Opex'!X$94-'05 Opex'!X$8)*'01 Major Assumptions'!$D$126/'01 Major Assumptions'!X$13</f>
        <v>1279787.6666666667</v>
      </c>
      <c r="Y47" s="90">
        <f>('05 Opex'!Y$94-'05 Opex'!Y$8)*'01 Major Assumptions'!$D$126/'01 Major Assumptions'!Y$13</f>
        <v>1238504.1935483871</v>
      </c>
      <c r="Z47" s="90">
        <f>('05 Opex'!Z$94-'05 Opex'!Z$8)*'01 Major Assumptions'!$D$126/'01 Major Assumptions'!Z$13</f>
        <v>1311689.6774193549</v>
      </c>
      <c r="AA47" s="90">
        <f>('05 Opex'!AA$94-'05 Opex'!AA$8)*'01 Major Assumptions'!$D$126/'01 Major Assumptions'!AA$13</f>
        <v>1355412.6666666667</v>
      </c>
      <c r="AB47" s="90">
        <f>('05 Opex'!AB$94-'05 Opex'!AB$8)*'01 Major Assumptions'!$D$126/'01 Major Assumptions'!AB$13</f>
        <v>11795358.745211244</v>
      </c>
      <c r="AC47" s="90">
        <f>('05 Opex'!AC$94-'05 Opex'!AC$8)*'01 Major Assumptions'!$D$126/'01 Major Assumptions'!AC$13</f>
        <v>12969540.264276737</v>
      </c>
      <c r="AD47" s="90">
        <f>('05 Opex'!AD$94-'05 Opex'!AD$8)*'01 Major Assumptions'!$D$126/'01 Major Assumptions'!AD$13</f>
        <v>13234396.605001792</v>
      </c>
      <c r="AE47" s="90">
        <f>('05 Opex'!AE$94-'05 Opex'!AE$8)*'01 Major Assumptions'!$D$126/'01 Major Assumptions'!AE$13</f>
        <v>14323574.699100291</v>
      </c>
      <c r="AF47" s="90">
        <f>('05 Opex'!AF$94-'05 Opex'!AF$8)*'01 Major Assumptions'!$D$126/'01 Major Assumptions'!AF$13</f>
        <v>15988969.799588731</v>
      </c>
      <c r="AG47" s="90">
        <f>('05 Opex'!AG$94-'05 Opex'!AG$8)*'01 Major Assumptions'!$D$126/'01 Major Assumptions'!AG$13</f>
        <v>15212951.390479362</v>
      </c>
      <c r="AH47" s="90">
        <f>('05 Opex'!AH$94-'05 Opex'!AH$8)*'01 Major Assumptions'!$D$126/'01 Major Assumptions'!AH$13</f>
        <v>16482477.727374518</v>
      </c>
      <c r="AI47" s="90">
        <f>('05 Opex'!AI$94-'05 Opex'!AI$8)*'01 Major Assumptions'!$D$126/'01 Major Assumptions'!AI$13</f>
        <v>16722086.146374548</v>
      </c>
      <c r="AJ47" s="90">
        <f>('05 Opex'!AJ$94-'05 Opex'!AJ$8)*'01 Major Assumptions'!$D$126/'01 Major Assumptions'!AJ$13</f>
        <v>18076500.30846623</v>
      </c>
      <c r="AK47" s="90">
        <f>('05 Opex'!AK$94-'05 Opex'!AK$8)*'01 Major Assumptions'!$D$126/'01 Major Assumptions'!AK$13</f>
        <v>18264688.644205227</v>
      </c>
      <c r="AL47" s="90">
        <f>('05 Opex'!AL$94-'05 Opex'!AL$8)*'01 Major Assumptions'!$D$126/'01 Major Assumptions'!AL$13</f>
        <v>19035989.893120572</v>
      </c>
      <c r="AM47" s="90">
        <f>('05 Opex'!AM$94-'05 Opex'!AM$8)*'01 Major Assumptions'!$D$126/'01 Major Assumptions'!AM$13</f>
        <v>20467534.180103779</v>
      </c>
      <c r="AN47" s="90">
        <f>('05 Opex'!AN$94-'05 Opex'!AN$8)*'01 Major Assumptions'!$D$126/'01 Major Assumptions'!AN$13</f>
        <v>20578592.390951261</v>
      </c>
      <c r="AO47" s="90">
        <f>('05 Opex'!AO$94-'05 Opex'!AO$8)*'01 Major Assumptions'!$D$126/'01 Major Assumptions'!AO$13</f>
        <v>21269696.444607958</v>
      </c>
      <c r="AP47" s="90">
        <f>('05 Opex'!AP$94-'05 Opex'!AP$8)*'01 Major Assumptions'!$D$126/'01 Major Assumptions'!AP$13</f>
        <v>20520013.63087061</v>
      </c>
      <c r="AQ47" s="90">
        <f>('05 Opex'!AQ$94-'05 Opex'!AQ$8)*'01 Major Assumptions'!$D$126/'01 Major Assumptions'!AQ$13</f>
        <v>21012831.319589749</v>
      </c>
      <c r="AR47" s="90">
        <f>('05 Opex'!AR$94-'05 Opex'!AR$8)*'01 Major Assumptions'!$D$126/'01 Major Assumptions'!AR$13</f>
        <v>23269774.529445358</v>
      </c>
      <c r="AS47" s="90">
        <f>('05 Opex'!AS$94-'05 Opex'!AS$8)*'01 Major Assumptions'!$D$126/'01 Major Assumptions'!AS$13</f>
        <v>21022890.411021207</v>
      </c>
      <c r="AT47" s="90">
        <f>('05 Opex'!AT$94-'05 Opex'!AT$8)*'01 Major Assumptions'!$D$126/'01 Major Assumptions'!AT$13</f>
        <v>21728850.621961489</v>
      </c>
      <c r="AU47" s="90">
        <f>('05 Opex'!AU$94-'05 Opex'!AU$8)*'01 Major Assumptions'!$D$126/'01 Major Assumptions'!AU$13</f>
        <v>21032949.502452653</v>
      </c>
      <c r="AV47" s="90">
        <f>('05 Opex'!AV$94-'05 Opex'!AV$8)*'01 Major Assumptions'!$D$126/'01 Major Assumptions'!AV$13</f>
        <v>21739245.016440663</v>
      </c>
      <c r="AW47" s="90">
        <f>('05 Opex'!AW$94-'05 Opex'!AW$8)*'01 Major Assumptions'!$D$126/'01 Major Assumptions'!AW$13</f>
        <v>21043008.593884107</v>
      </c>
      <c r="AX47" s="90">
        <f>('05 Opex'!AX$94-'05 Opex'!AX$8)*'01 Major Assumptions'!$D$126/'01 Major Assumptions'!AX$13</f>
        <v>21048038.139599826</v>
      </c>
      <c r="AY47" s="90">
        <f>('05 Opex'!AY$94-'05 Opex'!AY$8)*'01 Major Assumptions'!$D$126/'01 Major Assumptions'!AY$13</f>
        <v>21754836.608159415</v>
      </c>
      <c r="AZ47" s="90">
        <f>('05 Opex'!AZ$94-'05 Opex'!AZ$8)*'01 Major Assumptions'!$D$126/'01 Major Assumptions'!AZ$13</f>
        <v>21058097.231031276</v>
      </c>
      <c r="BA47" s="90">
        <f>('05 Opex'!BA$94-'05 Opex'!BA$8)*'01 Major Assumptions'!$D$126/'01 Major Assumptions'!BA$13</f>
        <v>21765231.002638578</v>
      </c>
      <c r="BB47" s="90">
        <f>('05 Opex'!BB$94-'05 Opex'!BB$8)*'01 Major Assumptions'!$D$126/'01 Major Assumptions'!BB$13</f>
        <v>21068156.322462741</v>
      </c>
      <c r="BC47" s="90">
        <f>('05 Opex'!BC$94-'05 Opex'!BC$8)*'01 Major Assumptions'!$D$126/'01 Major Assumptions'!BC$13</f>
        <v>21577036.892865796</v>
      </c>
      <c r="BD47" s="90">
        <f>('05 Opex'!BD$94-'05 Opex'!BD$8)*'01 Major Assumptions'!$D$126/'01 Major Assumptions'!BD$13</f>
        <v>23894480.720051758</v>
      </c>
      <c r="BE47" s="90">
        <f>('05 Opex'!BE$94-'05 Opex'!BE$8)*'01 Major Assumptions'!$D$126/'01 Major Assumptions'!BE$13</f>
        <v>21587186.343356729</v>
      </c>
      <c r="BF47" s="90">
        <f>('05 Opex'!BF$94-'05 Opex'!BF$8)*'01 Major Assumptions'!$D$126/'01 Major Assumptions'!BF$13</f>
        <v>22312003.10422226</v>
      </c>
      <c r="BG47" s="90">
        <f>('05 Opex'!BG$94-'05 Opex'!BG$8)*'01 Major Assumptions'!$D$126/'01 Major Assumptions'!BG$13</f>
        <v>21597335.793847654</v>
      </c>
      <c r="BH47" s="90">
        <f>('05 Opex'!BH$94-'05 Opex'!BH$8)*'01 Major Assumptions'!$D$126/'01 Major Assumptions'!BH$13</f>
        <v>22322490.869729556</v>
      </c>
      <c r="BI47" s="90">
        <f>('05 Opex'!BI$94-'05 Opex'!BI$8)*'01 Major Assumptions'!$D$126/'01 Major Assumptions'!BI$13</f>
        <v>22578462.689225629</v>
      </c>
      <c r="BJ47" s="90">
        <f>('05 Opex'!BJ$94-'05 Opex'!BJ$8)*'01 Major Assumptions'!$D$126/'01 Major Assumptions'!BJ$13</f>
        <v>23251231.8112952</v>
      </c>
      <c r="BK47" s="90">
        <f>('05 Opex'!BK$94-'05 Opex'!BK$8)*'01 Major Assumptions'!$D$126/'01 Major Assumptions'!BK$13</f>
        <v>23880976.829772871</v>
      </c>
      <c r="BL47" s="90">
        <f>('05 Opex'!BL$94-'05 Opex'!BL$8)*'01 Major Assumptions'!$D$126/'01 Major Assumptions'!BL$13</f>
        <v>24530267.314961262</v>
      </c>
      <c r="BM47" s="90">
        <f>('05 Opex'!BM$94-'05 Opex'!BM$8)*'01 Major Assumptions'!$D$126/'01 Major Assumptions'!BM$13</f>
        <v>25130992.982512504</v>
      </c>
      <c r="BN47" s="90">
        <f>('05 Opex'!BN$94-'05 Opex'!BN$8)*'01 Major Assumptions'!$D$126/'01 Major Assumptions'!BN$13</f>
        <v>25923505.79677457</v>
      </c>
      <c r="BO47" s="90">
        <f>('05 Opex'!BO$94-'05 Opex'!BO$8)*'01 Major Assumptions'!$D$126/'01 Major Assumptions'!BO$13</f>
        <v>26629288.695339385</v>
      </c>
    </row>
    <row r="48" spans="1:67">
      <c r="A48" s="11"/>
      <c r="B48" s="11"/>
      <c r="C48" s="11" t="s">
        <v>465</v>
      </c>
      <c r="D48" s="33"/>
      <c r="E48" s="10" t="s">
        <v>13</v>
      </c>
      <c r="F48" s="10"/>
      <c r="G48" s="90">
        <f>'04 Operating Model'!G$55*'04 Operating Model'!G$57</f>
        <v>0</v>
      </c>
      <c r="H48" s="90">
        <f>'04 Operating Model'!H$55*'04 Operating Model'!H$57</f>
        <v>0</v>
      </c>
      <c r="I48" s="90">
        <f>'04 Operating Model'!I$55*'04 Operating Model'!I$57</f>
        <v>0</v>
      </c>
      <c r="J48" s="90">
        <f>'04 Operating Model'!J$55*'04 Operating Model'!J$57</f>
        <v>0</v>
      </c>
      <c r="K48" s="90">
        <f>'04 Operating Model'!K$55*'04 Operating Model'!K$57</f>
        <v>0</v>
      </c>
      <c r="L48" s="90">
        <f>'04 Operating Model'!L$55*'04 Operating Model'!L$57</f>
        <v>0</v>
      </c>
      <c r="M48" s="90">
        <f>'04 Operating Model'!M$55*'04 Operating Model'!M$57</f>
        <v>0</v>
      </c>
      <c r="N48" s="90">
        <f>'04 Operating Model'!N$55*'04 Operating Model'!N$57</f>
        <v>0</v>
      </c>
      <c r="O48" s="90">
        <f>'04 Operating Model'!O$55*'04 Operating Model'!O$57</f>
        <v>0</v>
      </c>
      <c r="P48" s="90">
        <f>'04 Operating Model'!P$55*'04 Operating Model'!P$57</f>
        <v>0</v>
      </c>
      <c r="Q48" s="90">
        <f>'04 Operating Model'!Q$55*'04 Operating Model'!Q$57</f>
        <v>0</v>
      </c>
      <c r="R48" s="90">
        <f>'04 Operating Model'!R$55*'04 Operating Model'!R$57</f>
        <v>0</v>
      </c>
      <c r="S48" s="90">
        <f>'04 Operating Model'!S$55*'04 Operating Model'!S$57</f>
        <v>0</v>
      </c>
      <c r="T48" s="90">
        <f>'04 Operating Model'!T$55*'04 Operating Model'!T$57</f>
        <v>0</v>
      </c>
      <c r="U48" s="90">
        <f>'04 Operating Model'!U$55*'04 Operating Model'!U$57</f>
        <v>0</v>
      </c>
      <c r="V48" s="90">
        <f>'04 Operating Model'!V$55*'04 Operating Model'!V$57</f>
        <v>0</v>
      </c>
      <c r="W48" s="90">
        <f>'04 Operating Model'!W$55*'04 Operating Model'!W$57</f>
        <v>0</v>
      </c>
      <c r="X48" s="90">
        <f>'04 Operating Model'!X$55*'04 Operating Model'!X$57</f>
        <v>0</v>
      </c>
      <c r="Y48" s="90">
        <f>'04 Operating Model'!Y$55*'04 Operating Model'!Y$57</f>
        <v>0</v>
      </c>
      <c r="Z48" s="90">
        <f>'04 Operating Model'!Z$55*'04 Operating Model'!Z$57</f>
        <v>0</v>
      </c>
      <c r="AA48" s="90">
        <f>'04 Operating Model'!AA$55*'04 Operating Model'!AA$57</f>
        <v>0</v>
      </c>
      <c r="AB48" s="90">
        <f>'04 Operating Model'!AB$55*'04 Operating Model'!AB$57</f>
        <v>16853971.40385491</v>
      </c>
      <c r="AC48" s="90">
        <f>'04 Operating Model'!AC$55*'04 Operating Model'!AC$57</f>
        <v>16853971.403854907</v>
      </c>
      <c r="AD48" s="90">
        <f>'04 Operating Model'!AD$55*'04 Operating Model'!AD$57</f>
        <v>16853971.40385491</v>
      </c>
      <c r="AE48" s="90">
        <f>'04 Operating Model'!AE$55*'04 Operating Model'!AE$57</f>
        <v>17238709.250661746</v>
      </c>
      <c r="AF48" s="90">
        <f>'04 Operating Model'!AF$55*'04 Operating Model'!AF$57</f>
        <v>17238709.250661742</v>
      </c>
      <c r="AG48" s="90">
        <f>'04 Operating Model'!AG$55*'04 Operating Model'!AG$57</f>
        <v>17238709.250661742</v>
      </c>
      <c r="AH48" s="90">
        <f>'04 Operating Model'!AH$55*'04 Operating Model'!AH$57</f>
        <v>17238709.250661742</v>
      </c>
      <c r="AI48" s="90">
        <f>'04 Operating Model'!AI$55*'04 Operating Model'!AI$57</f>
        <v>17238709.250661738</v>
      </c>
      <c r="AJ48" s="90">
        <f>'04 Operating Model'!AJ$55*'04 Operating Model'!AJ$57</f>
        <v>17238709.250661742</v>
      </c>
      <c r="AK48" s="90">
        <f>'04 Operating Model'!AK$55*'04 Operating Model'!AK$57</f>
        <v>17238709.250661742</v>
      </c>
      <c r="AL48" s="90">
        <f>'04 Operating Model'!AL$55*'04 Operating Model'!AL$57</f>
        <v>17238709.250661742</v>
      </c>
      <c r="AM48" s="90">
        <f>'04 Operating Model'!AM$55*'04 Operating Model'!AM$57</f>
        <v>17238709.250661746</v>
      </c>
      <c r="AN48" s="90">
        <f>'04 Operating Model'!AN$55*'04 Operating Model'!AN$57</f>
        <v>17238709.250661738</v>
      </c>
      <c r="AO48" s="90">
        <f>'04 Operating Model'!AO$55*'04 Operating Model'!AO$57</f>
        <v>17238709.250661738</v>
      </c>
      <c r="AP48" s="90">
        <f>'04 Operating Model'!AP$55*'04 Operating Model'!AP$57</f>
        <v>17238709.250661738</v>
      </c>
      <c r="AQ48" s="90">
        <f>'04 Operating Model'!AQ$55*'04 Operating Model'!AQ$57</f>
        <v>17632237.998035487</v>
      </c>
      <c r="AR48" s="90">
        <f>'04 Operating Model'!AR$55*'04 Operating Model'!AR$57</f>
        <v>17632237.998035487</v>
      </c>
      <c r="AS48" s="90">
        <f>'04 Operating Model'!AS$55*'04 Operating Model'!AS$57</f>
        <v>17632237.998035487</v>
      </c>
      <c r="AT48" s="90">
        <f>'04 Operating Model'!AT$55*'04 Operating Model'!AT$57</f>
        <v>17632237.998035487</v>
      </c>
      <c r="AU48" s="90">
        <f>'04 Operating Model'!AU$55*'04 Operating Model'!AU$57</f>
        <v>17632237.998035487</v>
      </c>
      <c r="AV48" s="90">
        <f>'04 Operating Model'!AV$55*'04 Operating Model'!AV$57</f>
        <v>17632237.998035487</v>
      </c>
      <c r="AW48" s="90">
        <f>'04 Operating Model'!AW$55*'04 Operating Model'!AW$57</f>
        <v>17632237.998035487</v>
      </c>
      <c r="AX48" s="90">
        <f>'04 Operating Model'!AX$55*'04 Operating Model'!AX$57</f>
        <v>17632237.998035487</v>
      </c>
      <c r="AY48" s="90">
        <f>'04 Operating Model'!AY$55*'04 Operating Model'!AY$57</f>
        <v>17632237.998035487</v>
      </c>
      <c r="AZ48" s="90">
        <f>'04 Operating Model'!AZ$55*'04 Operating Model'!AZ$57</f>
        <v>17632237.998035487</v>
      </c>
      <c r="BA48" s="90">
        <f>'04 Operating Model'!BA$55*'04 Operating Model'!BA$57</f>
        <v>17632237.998035487</v>
      </c>
      <c r="BB48" s="90">
        <f>'04 Operating Model'!BB$55*'04 Operating Model'!BB$57</f>
        <v>17632237.998035487</v>
      </c>
      <c r="BC48" s="90">
        <f>'04 Operating Model'!BC$55*'04 Operating Model'!BC$57</f>
        <v>18034758.675291006</v>
      </c>
      <c r="BD48" s="90">
        <f>'04 Operating Model'!BD$55*'04 Operating Model'!BD$57</f>
        <v>18034758.675291006</v>
      </c>
      <c r="BE48" s="90">
        <f>'04 Operating Model'!BE$55*'04 Operating Model'!BE$57</f>
        <v>18034758.675291006</v>
      </c>
      <c r="BF48" s="90">
        <f>'04 Operating Model'!BF$55*'04 Operating Model'!BF$57</f>
        <v>18034758.675291006</v>
      </c>
      <c r="BG48" s="90">
        <f>'04 Operating Model'!BG$55*'04 Operating Model'!BG$57</f>
        <v>18034758.675291006</v>
      </c>
      <c r="BH48" s="90">
        <f>'04 Operating Model'!BH$55*'04 Operating Model'!BH$57</f>
        <v>18034758.675291006</v>
      </c>
      <c r="BI48" s="90">
        <f>'04 Operating Model'!BI$55*'04 Operating Model'!BI$57</f>
        <v>18446476.912189413</v>
      </c>
      <c r="BJ48" s="90">
        <f>'04 Operating Model'!BJ$55*'04 Operating Model'!BJ$57</f>
        <v>18867603.044283822</v>
      </c>
      <c r="BK48" s="90">
        <f>'04 Operating Model'!BK$55*'04 Operating Model'!BK$57</f>
        <v>19298352.220678676</v>
      </c>
      <c r="BL48" s="90">
        <f>'04 Operating Model'!BL$55*'04 Operating Model'!BL$57</f>
        <v>19738944.514258143</v>
      </c>
      <c r="BM48" s="90">
        <f>'04 Operating Model'!BM$55*'04 Operating Model'!BM$57</f>
        <v>20189605.034440015</v>
      </c>
      <c r="BN48" s="90">
        <f>'04 Operating Model'!BN$55*'04 Operating Model'!BN$57</f>
        <v>20650564.042513147</v>
      </c>
      <c r="BO48" s="90">
        <f>'04 Operating Model'!BO$55*'04 Operating Model'!BO$57</f>
        <v>21098924.097128477</v>
      </c>
    </row>
    <row r="49" spans="1:67">
      <c r="A49" s="11"/>
      <c r="B49" s="11"/>
      <c r="C49" s="11" t="s">
        <v>466</v>
      </c>
      <c r="D49" s="33"/>
      <c r="E49" s="10" t="s">
        <v>13</v>
      </c>
      <c r="F49" s="10"/>
      <c r="G49" s="90">
        <f>'05 Opex'!G$84*'01 Major Assumptions'!$D$128/'01 Major Assumptions'!G$13</f>
        <v>14419.354838709678</v>
      </c>
      <c r="H49" s="90">
        <f>'05 Opex'!H$84*'01 Major Assumptions'!$D$128/'01 Major Assumptions'!H$13</f>
        <v>15964.285714285714</v>
      </c>
      <c r="I49" s="90">
        <f>'05 Opex'!I$84*'01 Major Assumptions'!$D$128/'01 Major Assumptions'!I$13</f>
        <v>14419.354838709678</v>
      </c>
      <c r="J49" s="90">
        <f>'05 Opex'!J$84*'01 Major Assumptions'!$D$128/'01 Major Assumptions'!J$13</f>
        <v>14900</v>
      </c>
      <c r="K49" s="90">
        <f>'05 Opex'!K$84*'01 Major Assumptions'!$D$128/'01 Major Assumptions'!K$13</f>
        <v>14419.354838709678</v>
      </c>
      <c r="L49" s="90">
        <f>'05 Opex'!L$84*'01 Major Assumptions'!$D$128/'01 Major Assumptions'!L$13</f>
        <v>14900</v>
      </c>
      <c r="M49" s="90">
        <f>'05 Opex'!M$84*'01 Major Assumptions'!$D$128/'01 Major Assumptions'!M$13</f>
        <v>14419.354838709678</v>
      </c>
      <c r="N49" s="90">
        <f>'05 Opex'!N$84*'01 Major Assumptions'!$D$128/'01 Major Assumptions'!N$13</f>
        <v>14419.354838709678</v>
      </c>
      <c r="O49" s="90">
        <f>'05 Opex'!O$84*'01 Major Assumptions'!$D$128/'01 Major Assumptions'!O$13</f>
        <v>14900</v>
      </c>
      <c r="P49" s="90">
        <f>'05 Opex'!P$84*'01 Major Assumptions'!$D$128/'01 Major Assumptions'!P$13</f>
        <v>14419.354838709678</v>
      </c>
      <c r="Q49" s="90">
        <f>'05 Opex'!Q$84*'01 Major Assumptions'!$D$128/'01 Major Assumptions'!Q$13</f>
        <v>14900</v>
      </c>
      <c r="R49" s="90">
        <f>'05 Opex'!R$84*'01 Major Assumptions'!$D$128/'01 Major Assumptions'!R$13</f>
        <v>14419.354838709678</v>
      </c>
      <c r="S49" s="90">
        <f>'05 Opex'!S$84*'01 Major Assumptions'!$D$128/'01 Major Assumptions'!S$13</f>
        <v>14707.741935483871</v>
      </c>
      <c r="T49" s="90">
        <f>'05 Opex'!T$84*'01 Major Assumptions'!$D$128/'01 Major Assumptions'!T$13</f>
        <v>15722.068965517241</v>
      </c>
      <c r="U49" s="90">
        <f>'05 Opex'!U$84*'01 Major Assumptions'!$D$128/'01 Major Assumptions'!U$13</f>
        <v>14707.741935483871</v>
      </c>
      <c r="V49" s="90">
        <f>'05 Opex'!V$84*'01 Major Assumptions'!$D$128/'01 Major Assumptions'!V$13</f>
        <v>15198</v>
      </c>
      <c r="W49" s="90">
        <f>'05 Opex'!W$84*'01 Major Assumptions'!$D$128/'01 Major Assumptions'!W$13</f>
        <v>14707.741935483871</v>
      </c>
      <c r="X49" s="90">
        <f>'05 Opex'!X$84*'01 Major Assumptions'!$D$128/'01 Major Assumptions'!X$13</f>
        <v>15198</v>
      </c>
      <c r="Y49" s="90">
        <f>'05 Opex'!Y$84*'01 Major Assumptions'!$D$128/'01 Major Assumptions'!Y$13</f>
        <v>14707.741935483871</v>
      </c>
      <c r="Z49" s="90">
        <f>'05 Opex'!Z$84*'01 Major Assumptions'!$D$128/'01 Major Assumptions'!Z$13</f>
        <v>14707.741935483871</v>
      </c>
      <c r="AA49" s="90">
        <f>'05 Opex'!AA$84*'01 Major Assumptions'!$D$128/'01 Major Assumptions'!AA$13</f>
        <v>15198</v>
      </c>
      <c r="AB49" s="90">
        <f>'05 Opex'!AB$84*'01 Major Assumptions'!$D$128/'01 Major Assumptions'!AB$13</f>
        <v>13778229.957370263</v>
      </c>
      <c r="AC49" s="90">
        <f>'05 Opex'!AC$84*'01 Major Assumptions'!$D$128/'01 Major Assumptions'!AC$13</f>
        <v>6642873.8477768209</v>
      </c>
      <c r="AD49" s="90">
        <f>'05 Opex'!AD$84*'01 Major Assumptions'!$D$128/'01 Major Assumptions'!AD$13</f>
        <v>7234092.685353389</v>
      </c>
      <c r="AE49" s="90">
        <f>'05 Opex'!AE$84*'01 Major Assumptions'!$D$128/'01 Major Assumptions'!AE$13</f>
        <v>8239489.0340204313</v>
      </c>
      <c r="AF49" s="90">
        <f>'05 Opex'!AF$84*'01 Major Assumptions'!$D$128/'01 Major Assumptions'!AF$13</f>
        <v>10033500.491262719</v>
      </c>
      <c r="AG49" s="90">
        <f>'05 Opex'!AG$84*'01 Major Assumptions'!$D$128/'01 Major Assumptions'!AG$13</f>
        <v>9885544.1114864238</v>
      </c>
      <c r="AH49" s="90">
        <f>'05 Opex'!AH$84*'01 Major Assumptions'!$D$128/'01 Major Assumptions'!AH$13</f>
        <v>11065524.038560065</v>
      </c>
      <c r="AI49" s="90">
        <f>'05 Opex'!AI$84*'01 Major Assumptions'!$D$128/'01 Major Assumptions'!AI$13</f>
        <v>11531599.188952412</v>
      </c>
      <c r="AJ49" s="90">
        <f>'05 Opex'!AJ$84*'01 Major Assumptions'!$D$128/'01 Major Assumptions'!AJ$13</f>
        <v>12766447.618608262</v>
      </c>
      <c r="AK49" s="90">
        <f>'05 Opex'!AK$84*'01 Major Assumptions'!$D$128/'01 Major Assumptions'!AK$13</f>
        <v>13177654.266418407</v>
      </c>
      <c r="AL49" s="90">
        <f>'05 Opex'!AL$84*'01 Major Assumptions'!$D$128/'01 Major Assumptions'!AL$13</f>
        <v>14000681.805151405</v>
      </c>
      <c r="AM49" s="90">
        <f>'05 Opex'!AM$84*'01 Major Assumptions'!$D$128/'01 Major Assumptions'!AM$13</f>
        <v>15317832.988680551</v>
      </c>
      <c r="AN49" s="90">
        <f>'05 Opex'!AN$84*'01 Major Assumptions'!$D$128/'01 Major Assumptions'!AN$13</f>
        <v>15646736.882617392</v>
      </c>
      <c r="AO49" s="90">
        <f>'05 Opex'!AO$84*'01 Major Assumptions'!$D$128/'01 Major Assumptions'!AO$13</f>
        <v>16170605.942767141</v>
      </c>
      <c r="AP49" s="90">
        <f>'05 Opex'!AP$84*'01 Major Assumptions'!$D$128/'01 Major Assumptions'!AP$13</f>
        <v>15651210.103383524</v>
      </c>
      <c r="AQ49" s="90">
        <f>'05 Opex'!AQ$84*'01 Major Assumptions'!$D$128/'01 Major Assumptions'!AQ$13</f>
        <v>16021002.885350797</v>
      </c>
      <c r="AR49" s="90">
        <f>'05 Opex'!AR$84*'01 Major Assumptions'!$D$128/'01 Major Assumptions'!AR$13</f>
        <v>17740039.918463159</v>
      </c>
      <c r="AS49" s="90">
        <f>'05 Opex'!AS$84*'01 Major Assumptions'!$D$128/'01 Major Assumptions'!AS$13</f>
        <v>16025520.838324586</v>
      </c>
      <c r="AT49" s="90">
        <f>'05 Opex'!AT$84*'01 Major Assumptions'!$D$128/'01 Major Assumptions'!AT$13</f>
        <v>16562039.141971864</v>
      </c>
      <c r="AU49" s="90">
        <f>'05 Opex'!AU$84*'01 Major Assumptions'!$D$128/'01 Major Assumptions'!AU$13</f>
        <v>16030038.791298376</v>
      </c>
      <c r="AV49" s="90">
        <f>'05 Opex'!AV$84*'01 Major Assumptions'!$D$128/'01 Major Assumptions'!AV$13</f>
        <v>16566707.693378115</v>
      </c>
      <c r="AW49" s="90">
        <f>'05 Opex'!AW$84*'01 Major Assumptions'!$D$128/'01 Major Assumptions'!AW$13</f>
        <v>16034556.744272167</v>
      </c>
      <c r="AX49" s="90">
        <f>'05 Opex'!AX$84*'01 Major Assumptions'!$D$128/'01 Major Assumptions'!AX$13</f>
        <v>16036815.720759062</v>
      </c>
      <c r="AY49" s="90">
        <f>'05 Opex'!AY$84*'01 Major Assumptions'!$D$128/'01 Major Assumptions'!AY$13</f>
        <v>16573710.520487489</v>
      </c>
      <c r="AZ49" s="90">
        <f>'05 Opex'!AZ$84*'01 Major Assumptions'!$D$128/'01 Major Assumptions'!AZ$13</f>
        <v>16041333.673732853</v>
      </c>
      <c r="BA49" s="90">
        <f>'05 Opex'!BA$84*'01 Major Assumptions'!$D$128/'01 Major Assumptions'!BA$13</f>
        <v>16578379.071893739</v>
      </c>
      <c r="BB49" s="90">
        <f>'05 Opex'!BB$84*'01 Major Assumptions'!$D$128/'01 Major Assumptions'!BB$13</f>
        <v>16045851.626706645</v>
      </c>
      <c r="BC49" s="90">
        <f>'05 Opex'!BC$84*'01 Major Assumptions'!$D$128/'01 Major Assumptions'!BC$13</f>
        <v>16426160.379334008</v>
      </c>
      <c r="BD49" s="90">
        <f>'05 Opex'!BD$84*'01 Major Assumptions'!$D$128/'01 Major Assumptions'!BD$13</f>
        <v>18188632.154041391</v>
      </c>
      <c r="BE49" s="90">
        <f>'05 Opex'!BE$84*'01 Major Assumptions'!$D$128/'01 Major Assumptions'!BE$13</f>
        <v>16430723.511837538</v>
      </c>
      <c r="BF49" s="90">
        <f>'05 Opex'!BF$84*'01 Major Assumptions'!$D$128/'01 Major Assumptions'!BF$13</f>
        <v>16980771.914025612</v>
      </c>
      <c r="BG49" s="90">
        <f>'05 Opex'!BG$84*'01 Major Assumptions'!$D$128/'01 Major Assumptions'!BG$13</f>
        <v>16435286.644341065</v>
      </c>
      <c r="BH49" s="90">
        <f>'05 Opex'!BH$84*'01 Major Assumptions'!$D$128/'01 Major Assumptions'!BH$13</f>
        <v>16985487.150945924</v>
      </c>
      <c r="BI49" s="90">
        <f>'05 Opex'!BI$84*'01 Major Assumptions'!$D$128/'01 Major Assumptions'!BI$13</f>
        <v>17145631.375607435</v>
      </c>
      <c r="BJ49" s="90">
        <f>'05 Opex'!BJ$84*'01 Major Assumptions'!$D$128/'01 Major Assumptions'!BJ$13</f>
        <v>17628661.566976052</v>
      </c>
      <c r="BK49" s="90">
        <f>'05 Opex'!BK$84*'01 Major Assumptions'!$D$128/'01 Major Assumptions'!BK$13</f>
        <v>18076788.711781789</v>
      </c>
      <c r="BL49" s="90">
        <f>'05 Opex'!BL$84*'01 Major Assumptions'!$D$128/'01 Major Assumptions'!BL$13</f>
        <v>18537383.116797961</v>
      </c>
      <c r="BM49" s="90">
        <f>'05 Opex'!BM$84*'01 Major Assumptions'!$D$128/'01 Major Assumptions'!BM$13</f>
        <v>18958913.941555835</v>
      </c>
      <c r="BN49" s="90">
        <f>'05 Opex'!BN$84*'01 Major Assumptions'!$D$128/'01 Major Assumptions'!BN$13</f>
        <v>19514146.190592773</v>
      </c>
      <c r="BO49" s="90">
        <f>'05 Opex'!BO$84*'01 Major Assumptions'!$D$128/'01 Major Assumptions'!BO$13</f>
        <v>20003447.746062592</v>
      </c>
    </row>
    <row r="50" spans="1:67">
      <c r="A50" s="11"/>
      <c r="B50" s="11"/>
      <c r="C50" s="11" t="s">
        <v>467</v>
      </c>
      <c r="D50" s="33"/>
      <c r="E50" s="10" t="s">
        <v>13</v>
      </c>
      <c r="F50" s="10"/>
      <c r="G50" s="90">
        <f>'05 Opex'!G$59*'01 Major Assumptions'!$D$129/'01 Major Assumptions'!G$13</f>
        <v>0</v>
      </c>
      <c r="H50" s="90">
        <f>'05 Opex'!H$59*'01 Major Assumptions'!$D$129/'01 Major Assumptions'!H$13</f>
        <v>0</v>
      </c>
      <c r="I50" s="90">
        <f>'05 Opex'!I$59*'01 Major Assumptions'!$D$129/'01 Major Assumptions'!I$13</f>
        <v>0</v>
      </c>
      <c r="J50" s="90">
        <f>'05 Opex'!J$59*'01 Major Assumptions'!$D$129/'01 Major Assumptions'!J$13</f>
        <v>0</v>
      </c>
      <c r="K50" s="90">
        <f>'05 Opex'!K$59*'01 Major Assumptions'!$D$129/'01 Major Assumptions'!K$13</f>
        <v>0</v>
      </c>
      <c r="L50" s="90">
        <f>'05 Opex'!L$59*'01 Major Assumptions'!$D$129/'01 Major Assumptions'!L$13</f>
        <v>0</v>
      </c>
      <c r="M50" s="90">
        <f>'05 Opex'!M$59*'01 Major Assumptions'!$D$129/'01 Major Assumptions'!M$13</f>
        <v>0</v>
      </c>
      <c r="N50" s="90">
        <f>'05 Opex'!N$59*'01 Major Assumptions'!$D$129/'01 Major Assumptions'!N$13</f>
        <v>0</v>
      </c>
      <c r="O50" s="90">
        <f>'05 Opex'!O$59*'01 Major Assumptions'!$D$129/'01 Major Assumptions'!O$13</f>
        <v>0</v>
      </c>
      <c r="P50" s="90">
        <f>'05 Opex'!P$59*'01 Major Assumptions'!$D$129/'01 Major Assumptions'!P$13</f>
        <v>0</v>
      </c>
      <c r="Q50" s="90">
        <f>'05 Opex'!Q$59*'01 Major Assumptions'!$D$129/'01 Major Assumptions'!Q$13</f>
        <v>0</v>
      </c>
      <c r="R50" s="90">
        <f>'05 Opex'!R$59*'01 Major Assumptions'!$D$129/'01 Major Assumptions'!R$13</f>
        <v>0</v>
      </c>
      <c r="S50" s="90">
        <f>'05 Opex'!S$59*'01 Major Assumptions'!$D$129/'01 Major Assumptions'!S$13</f>
        <v>0</v>
      </c>
      <c r="T50" s="90">
        <f>'05 Opex'!T$59*'01 Major Assumptions'!$D$129/'01 Major Assumptions'!T$13</f>
        <v>0</v>
      </c>
      <c r="U50" s="90">
        <f>'05 Opex'!U$59*'01 Major Assumptions'!$D$129/'01 Major Assumptions'!U$13</f>
        <v>0</v>
      </c>
      <c r="V50" s="90">
        <f>'05 Opex'!V$59*'01 Major Assumptions'!$D$129/'01 Major Assumptions'!V$13</f>
        <v>0</v>
      </c>
      <c r="W50" s="90">
        <f>'05 Opex'!W$59*'01 Major Assumptions'!$D$129/'01 Major Assumptions'!W$13</f>
        <v>0</v>
      </c>
      <c r="X50" s="90">
        <f>'05 Opex'!X$59*'01 Major Assumptions'!$D$129/'01 Major Assumptions'!X$13</f>
        <v>0</v>
      </c>
      <c r="Y50" s="90">
        <f>'05 Opex'!Y$59*'01 Major Assumptions'!$D$129/'01 Major Assumptions'!Y$13</f>
        <v>0</v>
      </c>
      <c r="Z50" s="90">
        <f>'05 Opex'!Z$59*'01 Major Assumptions'!$D$129/'01 Major Assumptions'!Z$13</f>
        <v>0</v>
      </c>
      <c r="AA50" s="90">
        <f>'05 Opex'!AA$59*'01 Major Assumptions'!$D$129/'01 Major Assumptions'!AA$13</f>
        <v>0</v>
      </c>
      <c r="AB50" s="90">
        <f>'05 Opex'!AB$59*'01 Major Assumptions'!$D$129/'01 Major Assumptions'!AB$13</f>
        <v>4083534.5262096771</v>
      </c>
      <c r="AC50" s="90">
        <f>'05 Opex'!AC$59*'01 Major Assumptions'!$D$129/'01 Major Assumptions'!AC$13</f>
        <v>4226517.1875000009</v>
      </c>
      <c r="AD50" s="90">
        <f>'05 Opex'!AD$59*'01 Major Assumptions'!$D$129/'01 Major Assumptions'!AD$13</f>
        <v>4096821.3205645164</v>
      </c>
      <c r="AE50" s="90">
        <f>'05 Opex'!AE$59*'01 Major Assumptions'!$D$129/'01 Major Assumptions'!AE$13</f>
        <v>4149325.6149193547</v>
      </c>
      <c r="AF50" s="90">
        <f>'05 Opex'!AF$59*'01 Major Assumptions'!$D$129/'01 Major Assumptions'!AF$13</f>
        <v>4601324.9581473218</v>
      </c>
      <c r="AG50" s="90">
        <f>'05 Opex'!AG$59*'01 Major Assumptions'!$D$129/'01 Major Assumptions'!AG$13</f>
        <v>4162745.2772177421</v>
      </c>
      <c r="AH50" s="90">
        <f>'05 Opex'!AH$59*'01 Major Assumptions'!$D$129/'01 Major Assumptions'!AH$13</f>
        <v>4308436.9453125</v>
      </c>
      <c r="AI50" s="90">
        <f>'05 Opex'!AI$59*'01 Major Assumptions'!$D$129/'01 Major Assumptions'!AI$13</f>
        <v>4176164.939516129</v>
      </c>
      <c r="AJ50" s="90">
        <f>'05 Opex'!AJ$59*'01 Major Assumptions'!$D$129/'01 Major Assumptions'!AJ$13</f>
        <v>4322303.9296875</v>
      </c>
      <c r="AK50" s="90">
        <f>'05 Opex'!AK$59*'01 Major Assumptions'!$D$129/'01 Major Assumptions'!AK$13</f>
        <v>4189584.6018145164</v>
      </c>
      <c r="AL50" s="90">
        <f>'05 Opex'!AL$59*'01 Major Assumptions'!$D$129/'01 Major Assumptions'!AL$13</f>
        <v>4196294.4329637093</v>
      </c>
      <c r="AM50" s="90">
        <f>'05 Opex'!AM$59*'01 Major Assumptions'!$D$129/'01 Major Assumptions'!AM$13</f>
        <v>4343104.40625</v>
      </c>
      <c r="AN50" s="90">
        <f>'05 Opex'!AN$59*'01 Major Assumptions'!$D$129/'01 Major Assumptions'!AN$13</f>
        <v>4209714.0952620972</v>
      </c>
      <c r="AO50" s="90">
        <f>'05 Opex'!AO$59*'01 Major Assumptions'!$D$129/'01 Major Assumptions'!AO$13</f>
        <v>4356971.390625</v>
      </c>
      <c r="AP50" s="90">
        <f>'05 Opex'!AP$59*'01 Major Assumptions'!$D$129/'01 Major Assumptions'!AP$13</f>
        <v>4223133.7575604841</v>
      </c>
      <c r="AQ50" s="90">
        <f>'05 Opex'!AQ$59*'01 Major Assumptions'!$D$129/'01 Major Assumptions'!AQ$13</f>
        <v>4277079.2783467732</v>
      </c>
      <c r="AR50" s="90">
        <f>'05 Opex'!AR$59*'01 Major Assumptions'!$D$129/'01 Major Assumptions'!AR$13</f>
        <v>4742840.8015011158</v>
      </c>
      <c r="AS50" s="90">
        <f>'05 Opex'!AS$59*'01 Major Assumptions'!$D$129/'01 Major Assumptions'!AS$13</f>
        <v>4290633.1372681446</v>
      </c>
      <c r="AT50" s="90">
        <f>'05 Opex'!AT$59*'01 Major Assumptions'!$D$129/'01 Major Assumptions'!AT$13</f>
        <v>4440657.0689531239</v>
      </c>
      <c r="AU50" s="90">
        <f>'05 Opex'!AU$59*'01 Major Assumptions'!$D$129/'01 Major Assumptions'!AU$13</f>
        <v>4304186.996189516</v>
      </c>
      <c r="AV50" s="90">
        <f>'05 Opex'!AV$59*'01 Major Assumptions'!$D$129/'01 Major Assumptions'!AV$13</f>
        <v>4454662.7231718749</v>
      </c>
      <c r="AW50" s="90">
        <f>'05 Opex'!AW$59*'01 Major Assumptions'!$D$129/'01 Major Assumptions'!AW$13</f>
        <v>4317740.8551108865</v>
      </c>
      <c r="AX50" s="90">
        <f>'05 Opex'!AX$59*'01 Major Assumptions'!$D$129/'01 Major Assumptions'!AX$13</f>
        <v>4324517.7845715722</v>
      </c>
      <c r="AY50" s="90">
        <f>'05 Opex'!AY$59*'01 Major Assumptions'!$D$129/'01 Major Assumptions'!AY$13</f>
        <v>4475671.2045</v>
      </c>
      <c r="AZ50" s="90">
        <f>'05 Opex'!AZ$59*'01 Major Assumptions'!$D$129/'01 Major Assumptions'!AZ$13</f>
        <v>4338071.6434929427</v>
      </c>
      <c r="BA50" s="90">
        <f>'05 Opex'!BA$59*'01 Major Assumptions'!$D$129/'01 Major Assumptions'!BA$13</f>
        <v>4489676.8587187491</v>
      </c>
      <c r="BB50" s="90">
        <f>'05 Opex'!BB$59*'01 Major Assumptions'!$D$129/'01 Major Assumptions'!BB$13</f>
        <v>4351625.5024143141</v>
      </c>
      <c r="BC50" s="90">
        <f>'05 Opex'!BC$59*'01 Major Assumptions'!$D$129/'01 Major Assumptions'!BC$13</f>
        <v>4407037.2667800002</v>
      </c>
      <c r="BD50" s="90">
        <f>'05 Opex'!BD$59*'01 Major Assumptions'!$D$129/'01 Major Assumptions'!BD$13</f>
        <v>4886797.8904140741</v>
      </c>
      <c r="BE50" s="90">
        <f>'05 Opex'!BE$59*'01 Major Assumptions'!$D$129/'01 Major Assumptions'!BE$13</f>
        <v>4420726.6642905846</v>
      </c>
      <c r="BF50" s="90">
        <f>'05 Opex'!BF$59*'01 Major Assumptions'!$D$129/'01 Major Assumptions'!BF$13</f>
        <v>4575157.0751474053</v>
      </c>
      <c r="BG50" s="90">
        <f>'05 Opex'!BG$59*'01 Major Assumptions'!$D$129/'01 Major Assumptions'!BG$13</f>
        <v>4434416.0618011691</v>
      </c>
      <c r="BH50" s="90">
        <f>'05 Opex'!BH$59*'01 Major Assumptions'!$D$129/'01 Major Assumptions'!BH$13</f>
        <v>4589302.7859083442</v>
      </c>
      <c r="BI50" s="90">
        <f>'05 Opex'!BI$59*'01 Major Assumptions'!$D$129/'01 Major Assumptions'!BI$13</f>
        <v>4648778.3929666551</v>
      </c>
      <c r="BJ50" s="90">
        <f>'05 Opex'!BJ$59*'01 Major Assumptions'!$D$129/'01 Major Assumptions'!BJ$13</f>
        <v>4798911.3181200726</v>
      </c>
      <c r="BK50" s="90">
        <f>'05 Opex'!BK$59*'01 Major Assumptions'!$D$129/'01 Major Assumptions'!BK$13</f>
        <v>4938659.677048645</v>
      </c>
      <c r="BL50" s="90">
        <f>'05 Opex'!BL$59*'01 Major Assumptions'!$D$129/'01 Major Assumptions'!BL$13</f>
        <v>5080794.7562855678</v>
      </c>
      <c r="BM50" s="90">
        <f>'05 Opex'!BM$59*'01 Major Assumptions'!$D$129/'01 Major Assumptions'!BM$13</f>
        <v>5211075.0452868361</v>
      </c>
      <c r="BN50" s="90">
        <f>'05 Opex'!BN$59*'01 Major Assumptions'!$D$129/'01 Major Assumptions'!BN$13</f>
        <v>5372367.21261317</v>
      </c>
      <c r="BO50" s="90">
        <f>'05 Opex'!BO$59*'01 Major Assumptions'!$D$129/'01 Major Assumptions'!BO$13</f>
        <v>5521876.934085547</v>
      </c>
    </row>
    <row r="51" spans="1:67">
      <c r="A51" s="11"/>
      <c r="B51" s="11"/>
      <c r="C51" s="11" t="s">
        <v>468</v>
      </c>
      <c r="D51" s="33"/>
      <c r="E51" s="10" t="s">
        <v>13</v>
      </c>
      <c r="F51" s="10"/>
      <c r="G51" s="90">
        <f>'04 Operating Model'!G$101*'01 Major Assumptions'!$D$130</f>
        <v>0</v>
      </c>
      <c r="H51" s="90">
        <f>'04 Operating Model'!H$101*'01 Major Assumptions'!$D$130</f>
        <v>0</v>
      </c>
      <c r="I51" s="90">
        <f>'04 Operating Model'!I$101*'01 Major Assumptions'!$D$130</f>
        <v>0</v>
      </c>
      <c r="J51" s="90">
        <f>'04 Operating Model'!J$101*'01 Major Assumptions'!$D$130</f>
        <v>0</v>
      </c>
      <c r="K51" s="90">
        <f>'04 Operating Model'!K$101*'01 Major Assumptions'!$D$130</f>
        <v>0</v>
      </c>
      <c r="L51" s="90">
        <f>'04 Operating Model'!L$101*'01 Major Assumptions'!$D$130</f>
        <v>0</v>
      </c>
      <c r="M51" s="90">
        <f>'04 Operating Model'!M$101*'01 Major Assumptions'!$D$130</f>
        <v>0</v>
      </c>
      <c r="N51" s="90">
        <f>'04 Operating Model'!N$101*'01 Major Assumptions'!$D$130</f>
        <v>0</v>
      </c>
      <c r="O51" s="90">
        <f>'04 Operating Model'!O$101*'01 Major Assumptions'!$D$130</f>
        <v>0</v>
      </c>
      <c r="P51" s="90">
        <f>'04 Operating Model'!P$101*'01 Major Assumptions'!$D$130</f>
        <v>0</v>
      </c>
      <c r="Q51" s="90">
        <f>'04 Operating Model'!Q$101*'01 Major Assumptions'!$D$130</f>
        <v>0</v>
      </c>
      <c r="R51" s="90">
        <f>'04 Operating Model'!R$101*'01 Major Assumptions'!$D$130</f>
        <v>0</v>
      </c>
      <c r="S51" s="90">
        <f>'04 Operating Model'!S$101*'01 Major Assumptions'!$D$130</f>
        <v>0</v>
      </c>
      <c r="T51" s="90">
        <f>'04 Operating Model'!T$101*'01 Major Assumptions'!$D$130</f>
        <v>0</v>
      </c>
      <c r="U51" s="90">
        <f>'04 Operating Model'!U$101*'01 Major Assumptions'!$D$130</f>
        <v>0</v>
      </c>
      <c r="V51" s="90">
        <f>'04 Operating Model'!V$101*'01 Major Assumptions'!$D$130</f>
        <v>0</v>
      </c>
      <c r="W51" s="90">
        <f>'04 Operating Model'!W$101*'01 Major Assumptions'!$D$130</f>
        <v>0</v>
      </c>
      <c r="X51" s="90">
        <f>'04 Operating Model'!X$101*'01 Major Assumptions'!$D$130</f>
        <v>0</v>
      </c>
      <c r="Y51" s="90">
        <f>'04 Operating Model'!Y$101*'01 Major Assumptions'!$D$130</f>
        <v>0</v>
      </c>
      <c r="Z51" s="90">
        <f>'04 Operating Model'!Z$101*'01 Major Assumptions'!$D$130</f>
        <v>0</v>
      </c>
      <c r="AA51" s="90">
        <f>'04 Operating Model'!AA$101*'01 Major Assumptions'!$D$130</f>
        <v>0</v>
      </c>
      <c r="AB51" s="90">
        <f>'04 Operating Model'!AB$101*'01 Major Assumptions'!$D$130</f>
        <v>259485.32350395442</v>
      </c>
      <c r="AC51" s="90">
        <f>'04 Operating Model'!AC$101*'01 Major Assumptions'!$D$130</f>
        <v>343818.05364273948</v>
      </c>
      <c r="AD51" s="90">
        <f>'04 Operating Model'!AD$101*'01 Major Assumptions'!$D$130</f>
        <v>428150.78378152475</v>
      </c>
      <c r="AE51" s="90">
        <f>'04 Operating Model'!AE$101*'01 Major Assumptions'!$D$130</f>
        <v>523762.43578982301</v>
      </c>
      <c r="AF51" s="90">
        <f>'04 Operating Model'!AF$101*'01 Major Assumptions'!$D$130</f>
        <v>609951.1910463759</v>
      </c>
      <c r="AG51" s="90">
        <f>'04 Operating Model'!AG$101*'01 Major Assumptions'!$D$130</f>
        <v>696139.94630292908</v>
      </c>
      <c r="AH51" s="90">
        <f>'04 Operating Model'!AH$101*'01 Major Assumptions'!$D$130</f>
        <v>782328.70155948203</v>
      </c>
      <c r="AI51" s="90">
        <f>'04 Operating Model'!AI$101*'01 Major Assumptions'!$D$130</f>
        <v>868517.45681603521</v>
      </c>
      <c r="AJ51" s="90">
        <f>'04 Operating Model'!AJ$101*'01 Major Assumptions'!$D$130</f>
        <v>954706.2120725885</v>
      </c>
      <c r="AK51" s="90">
        <f>'04 Operating Model'!AK$101*'01 Major Assumptions'!$D$130</f>
        <v>1040894.9673291416</v>
      </c>
      <c r="AL51" s="90">
        <f>'04 Operating Model'!AL$101*'01 Major Assumptions'!$D$130</f>
        <v>1127083.7225856944</v>
      </c>
      <c r="AM51" s="90">
        <f>'04 Operating Model'!AM$101*'01 Major Assumptions'!$D$130</f>
        <v>1213272.4778422478</v>
      </c>
      <c r="AN51" s="90">
        <f>'04 Operating Model'!AN$101*'01 Major Assumptions'!$D$130</f>
        <v>1299461.2330988008</v>
      </c>
      <c r="AO51" s="90">
        <f>'04 Operating Model'!AO$101*'01 Major Assumptions'!$D$130</f>
        <v>1299461.2330988008</v>
      </c>
      <c r="AP51" s="90">
        <f>'04 Operating Model'!AP$101*'01 Major Assumptions'!$D$130</f>
        <v>1299461.2330988008</v>
      </c>
      <c r="AQ51" s="90">
        <f>'04 Operating Model'!AQ$101*'01 Major Assumptions'!$D$130</f>
        <v>1328062.7764700125</v>
      </c>
      <c r="AR51" s="90">
        <f>'04 Operating Model'!AR$101*'01 Major Assumptions'!$D$130</f>
        <v>1328062.7764700125</v>
      </c>
      <c r="AS51" s="90">
        <f>'04 Operating Model'!AS$101*'01 Major Assumptions'!$D$130</f>
        <v>1328062.7764700125</v>
      </c>
      <c r="AT51" s="90">
        <f>'04 Operating Model'!AT$101*'01 Major Assumptions'!$D$130</f>
        <v>1328062.7764700125</v>
      </c>
      <c r="AU51" s="90">
        <f>'04 Operating Model'!AU$101*'01 Major Assumptions'!$D$130</f>
        <v>1328062.7764700125</v>
      </c>
      <c r="AV51" s="90">
        <f>'04 Operating Model'!AV$101*'01 Major Assumptions'!$D$130</f>
        <v>1328062.7764700125</v>
      </c>
      <c r="AW51" s="90">
        <f>'04 Operating Model'!AW$101*'01 Major Assumptions'!$D$130</f>
        <v>1328062.7764700125</v>
      </c>
      <c r="AX51" s="90">
        <f>'04 Operating Model'!AX$101*'01 Major Assumptions'!$D$130</f>
        <v>1328062.7764700125</v>
      </c>
      <c r="AY51" s="90">
        <f>'04 Operating Model'!AY$101*'01 Major Assumptions'!$D$130</f>
        <v>1328062.7764700125</v>
      </c>
      <c r="AZ51" s="90">
        <f>'04 Operating Model'!AZ$101*'01 Major Assumptions'!$D$130</f>
        <v>1328062.7764700125</v>
      </c>
      <c r="BA51" s="90">
        <f>'04 Operating Model'!BA$101*'01 Major Assumptions'!$D$130</f>
        <v>1328062.7764700125</v>
      </c>
      <c r="BB51" s="90">
        <f>'04 Operating Model'!BB$101*'01 Major Assumptions'!$D$130</f>
        <v>1328062.7764700125</v>
      </c>
      <c r="BC51" s="90">
        <f>'04 Operating Model'!BC$101*'01 Major Assumptions'!$D$130</f>
        <v>1357296.4340389611</v>
      </c>
      <c r="BD51" s="90">
        <f>'04 Operating Model'!BD$101*'01 Major Assumptions'!$D$130</f>
        <v>1357296.4340389611</v>
      </c>
      <c r="BE51" s="90">
        <f>'04 Operating Model'!BE$101*'01 Major Assumptions'!$D$130</f>
        <v>1357296.4340389611</v>
      </c>
      <c r="BF51" s="90">
        <f>'04 Operating Model'!BF$101*'01 Major Assumptions'!$D$130</f>
        <v>1357296.4340389611</v>
      </c>
      <c r="BG51" s="90">
        <f>'04 Operating Model'!BG$101*'01 Major Assumptions'!$D$130</f>
        <v>1357296.4340389611</v>
      </c>
      <c r="BH51" s="90">
        <f>'04 Operating Model'!BH$101*'01 Major Assumptions'!$D$130</f>
        <v>1357296.4340389611</v>
      </c>
      <c r="BI51" s="90">
        <f>'04 Operating Model'!BI$101*'01 Major Assumptions'!$D$130</f>
        <v>16646114.760074375</v>
      </c>
      <c r="BJ51" s="90">
        <f>'04 Operating Model'!BJ$101*'01 Major Assumptions'!$D$130</f>
        <v>17012598.010084424</v>
      </c>
      <c r="BK51" s="90">
        <f>'04 Operating Model'!BK$101*'01 Major Assumptions'!$D$130</f>
        <v>17387182.827055261</v>
      </c>
      <c r="BL51" s="90">
        <f>'04 Operating Model'!BL$101*'01 Major Assumptions'!$D$130</f>
        <v>17770048.996071208</v>
      </c>
      <c r="BM51" s="90">
        <f>'04 Operating Model'!BM$101*'01 Major Assumptions'!$D$130</f>
        <v>18161380.306254398</v>
      </c>
      <c r="BN51" s="90">
        <f>'04 Operating Model'!BN$101*'01 Major Assumptions'!$D$130</f>
        <v>18561364.640237268</v>
      </c>
      <c r="BO51" s="90">
        <f>'04 Operating Model'!BO$101*'01 Major Assumptions'!$D$130</f>
        <v>18849647.656825893</v>
      </c>
    </row>
    <row r="52" spans="1:67">
      <c r="A52" s="11"/>
      <c r="B52" s="11"/>
      <c r="C52" s="11" t="s">
        <v>469</v>
      </c>
      <c r="D52" s="33"/>
      <c r="E52" s="10" t="s">
        <v>13</v>
      </c>
      <c r="F52" s="10"/>
      <c r="G52" s="90">
        <f>'05 Opex'!G$94*'01 Major Assumptions'!$D$131</f>
        <v>10644</v>
      </c>
      <c r="H52" s="90">
        <f>'05 Opex'!H$94*'01 Major Assumptions'!$D$131</f>
        <v>10644</v>
      </c>
      <c r="I52" s="90">
        <f>'05 Opex'!I$94*'01 Major Assumptions'!$D$131</f>
        <v>10644</v>
      </c>
      <c r="J52" s="90">
        <f>'05 Opex'!J$94*'01 Major Assumptions'!$D$131</f>
        <v>10644</v>
      </c>
      <c r="K52" s="90">
        <f>'05 Opex'!K$94*'01 Major Assumptions'!$D$131</f>
        <v>10644</v>
      </c>
      <c r="L52" s="90">
        <f>'05 Opex'!L$94*'01 Major Assumptions'!$D$131</f>
        <v>10644</v>
      </c>
      <c r="M52" s="90">
        <f>'05 Opex'!M$94*'01 Major Assumptions'!$D$131</f>
        <v>10644</v>
      </c>
      <c r="N52" s="90">
        <f>'05 Opex'!N$94*'01 Major Assumptions'!$D$131</f>
        <v>10644</v>
      </c>
      <c r="O52" s="90">
        <f>'05 Opex'!O$94*'01 Major Assumptions'!$D$131</f>
        <v>10644</v>
      </c>
      <c r="P52" s="90">
        <f>'05 Opex'!P$94*'01 Major Assumptions'!$D$131</f>
        <v>13456.5</v>
      </c>
      <c r="Q52" s="90">
        <f>'05 Opex'!Q$94*'01 Major Assumptions'!$D$131</f>
        <v>13456.5</v>
      </c>
      <c r="R52" s="90">
        <f>'05 Opex'!R$94*'01 Major Assumptions'!$D$131</f>
        <v>21131.5</v>
      </c>
      <c r="S52" s="90">
        <f>'05 Opex'!S$94*'01 Major Assumptions'!$D$131</f>
        <v>18037.38</v>
      </c>
      <c r="T52" s="90">
        <f>'05 Opex'!T$94*'01 Major Assumptions'!$D$131</f>
        <v>35537.379999999997</v>
      </c>
      <c r="U52" s="90">
        <f>'05 Opex'!U$94*'01 Major Assumptions'!$D$131</f>
        <v>35537.379999999997</v>
      </c>
      <c r="V52" s="90">
        <f>'05 Opex'!V$94*'01 Major Assumptions'!$D$131</f>
        <v>38706.130000000005</v>
      </c>
      <c r="W52" s="90">
        <f>'05 Opex'!W$94*'01 Major Assumptions'!$D$131</f>
        <v>38706.130000000005</v>
      </c>
      <c r="X52" s="90">
        <f>'05 Opex'!X$94*'01 Major Assumptions'!$D$131</f>
        <v>38393.629999999997</v>
      </c>
      <c r="Y52" s="90">
        <f>'05 Opex'!Y$94*'01 Major Assumptions'!$D$131</f>
        <v>38393.629999999997</v>
      </c>
      <c r="Z52" s="90">
        <f>'05 Opex'!Z$94*'01 Major Assumptions'!$D$131</f>
        <v>40662.379999999997</v>
      </c>
      <c r="AA52" s="90">
        <f>'05 Opex'!AA$94*'01 Major Assumptions'!$D$131</f>
        <v>40662.379999999997</v>
      </c>
      <c r="AB52" s="90">
        <f>'05 Opex'!AB$94*'01 Major Assumptions'!$D$131</f>
        <v>967062.00069577119</v>
      </c>
      <c r="AC52" s="90">
        <f>'05 Opex'!AC$94*'01 Major Assumptions'!$D$131</f>
        <v>516003.63508741435</v>
      </c>
      <c r="AD52" s="90">
        <f>'05 Opex'!AD$94*'01 Major Assumptions'!$D$131</f>
        <v>568314.41159470519</v>
      </c>
      <c r="AE52" s="90">
        <f>'05 Opex'!AE$94*'01 Major Assumptions'!$D$131</f>
        <v>637528.1442152661</v>
      </c>
      <c r="AF52" s="90">
        <f>'05 Opex'!AF$94*'01 Major Assumptions'!$D$131</f>
        <v>673029.81547671778</v>
      </c>
      <c r="AG52" s="90">
        <f>'05 Opex'!AG$94*'01 Major Assumptions'!$D$131</f>
        <v>728781.48673817003</v>
      </c>
      <c r="AH52" s="90">
        <f>'05 Opex'!AH$94*'01 Major Assumptions'!$D$131</f>
        <v>783495.65799962182</v>
      </c>
      <c r="AI52" s="90">
        <f>'05 Opex'!AI$94*'01 Major Assumptions'!$D$131</f>
        <v>839247.32926107373</v>
      </c>
      <c r="AJ52" s="90">
        <f>'05 Opex'!AJ$94*'01 Major Assumptions'!$D$131</f>
        <v>894999.0005225261</v>
      </c>
      <c r="AK52" s="90">
        <f>'05 Opex'!AK$94*'01 Major Assumptions'!$D$131</f>
        <v>950750.67178397765</v>
      </c>
      <c r="AL52" s="90">
        <f>'05 Opex'!AL$94*'01 Major Assumptions'!$D$131</f>
        <v>1006502.3430454298</v>
      </c>
      <c r="AM52" s="90">
        <f>'05 Opex'!AM$94*'01 Major Assumptions'!$D$131</f>
        <v>1062254.0143068822</v>
      </c>
      <c r="AN52" s="90">
        <f>'05 Opex'!AN$94*'01 Major Assumptions'!$D$131</f>
        <v>1118005.6855683338</v>
      </c>
      <c r="AO52" s="90">
        <f>'05 Opex'!AO$94*'01 Major Assumptions'!$D$131</f>
        <v>1118160.2147870837</v>
      </c>
      <c r="AP52" s="90">
        <f>'05 Opex'!AP$94*'01 Major Assumptions'!$D$131</f>
        <v>1116189.744005834</v>
      </c>
      <c r="AQ52" s="90">
        <f>'05 Opex'!AQ$94*'01 Major Assumptions'!$D$131</f>
        <v>1142426.2120892403</v>
      </c>
      <c r="AR52" s="90">
        <f>'05 Opex'!AR$94*'01 Major Assumptions'!$D$131</f>
        <v>1142582.1280064282</v>
      </c>
      <c r="AS52" s="90">
        <f>'05 Opex'!AS$94*'01 Major Assumptions'!$D$131</f>
        <v>1142738.0439236155</v>
      </c>
      <c r="AT52" s="90">
        <f>'05 Opex'!AT$94*'01 Major Assumptions'!$D$131</f>
        <v>1142893.9598408029</v>
      </c>
      <c r="AU52" s="90">
        <f>'05 Opex'!AU$94*'01 Major Assumptions'!$D$131</f>
        <v>1143049.8757579904</v>
      </c>
      <c r="AV52" s="90">
        <f>'05 Opex'!AV$94*'01 Major Assumptions'!$D$131</f>
        <v>1143205.7916751781</v>
      </c>
      <c r="AW52" s="90">
        <f>'05 Opex'!AW$94*'01 Major Assumptions'!$D$131</f>
        <v>1143361.7075923656</v>
      </c>
      <c r="AX52" s="90">
        <f>'05 Opex'!AX$94*'01 Major Assumptions'!$D$131</f>
        <v>1143517.6235095528</v>
      </c>
      <c r="AY52" s="90">
        <f>'05 Opex'!AY$94*'01 Major Assumptions'!$D$131</f>
        <v>1143673.5394267407</v>
      </c>
      <c r="AZ52" s="90">
        <f>'05 Opex'!AZ$94*'01 Major Assumptions'!$D$131</f>
        <v>1143829.4553439277</v>
      </c>
      <c r="BA52" s="90">
        <f>'05 Opex'!BA$94*'01 Major Assumptions'!$D$131</f>
        <v>1143985.3712611157</v>
      </c>
      <c r="BB52" s="90">
        <f>'05 Opex'!BB$94*'01 Major Assumptions'!$D$131</f>
        <v>1144141.2871783031</v>
      </c>
      <c r="BC52" s="90">
        <f>'05 Opex'!BC$94*'01 Major Assumptions'!$D$131</f>
        <v>1171126.1148545686</v>
      </c>
      <c r="BD52" s="90">
        <f>'05 Opex'!BD$94*'01 Major Assumptions'!$D$131</f>
        <v>1171283.4313371782</v>
      </c>
      <c r="BE52" s="90">
        <f>'05 Opex'!BE$94*'01 Major Assumptions'!$D$131</f>
        <v>1171440.7478197876</v>
      </c>
      <c r="BF52" s="90">
        <f>'05 Opex'!BF$94*'01 Major Assumptions'!$D$131</f>
        <v>1171598.0643023967</v>
      </c>
      <c r="BG52" s="90">
        <f>'05 Opex'!BG$94*'01 Major Assumptions'!$D$131</f>
        <v>1171755.3807850063</v>
      </c>
      <c r="BH52" s="90">
        <f>'05 Opex'!BH$94*'01 Major Assumptions'!$D$131</f>
        <v>1171912.6972676157</v>
      </c>
      <c r="BI52" s="90">
        <f>'05 Opex'!BI$94*'01 Major Assumptions'!$D$131</f>
        <v>14428160.998772038</v>
      </c>
      <c r="BJ52" s="90">
        <f>'05 Opex'!BJ$94*'01 Major Assumptions'!$D$131</f>
        <v>14791875.196461514</v>
      </c>
      <c r="BK52" s="90">
        <f>'05 Opex'!BK$94*'01 Major Assumptions'!$D$131</f>
        <v>15165679.887973497</v>
      </c>
      <c r="BL52" s="90">
        <f>'05 Opex'!BL$94*'01 Major Assumptions'!$D$131</f>
        <v>15549908.047735648</v>
      </c>
      <c r="BM52" s="90">
        <f>'05 Opex'!BM$94*'01 Major Assumptions'!$D$131</f>
        <v>15944905.64200874</v>
      </c>
      <c r="BN52" s="90">
        <f>'05 Opex'!BN$94*'01 Major Assumptions'!$D$131</f>
        <v>16363085.10754976</v>
      </c>
      <c r="BO52" s="90">
        <f>'05 Opex'!BO$94*'01 Major Assumptions'!$D$131</f>
        <v>16770528.828577269</v>
      </c>
    </row>
    <row r="53" spans="1:67">
      <c r="A53" s="11"/>
      <c r="B53" s="22" t="s">
        <v>19</v>
      </c>
      <c r="C53" s="11"/>
      <c r="D53" s="33"/>
      <c r="E53" s="10" t="s">
        <v>13</v>
      </c>
      <c r="F53" s="10"/>
      <c r="G53" s="89">
        <f>G45+G48+G49+G50+G51-G46-G47-G52</f>
        <v>-339579.4838709677</v>
      </c>
      <c r="H53" s="89">
        <f t="shared" ref="H53:BI53" si="41">H45+H48+H49+H50+H51-H46-H47-H52</f>
        <v>-374822.57142857142</v>
      </c>
      <c r="I53" s="89">
        <f t="shared" si="41"/>
        <v>-339579.4838709677</v>
      </c>
      <c r="J53" s="89">
        <f t="shared" si="41"/>
        <v>-350544</v>
      </c>
      <c r="K53" s="89">
        <f t="shared" si="41"/>
        <v>-339579.4838709677</v>
      </c>
      <c r="L53" s="89">
        <f t="shared" si="41"/>
        <v>-350544</v>
      </c>
      <c r="M53" s="89">
        <f t="shared" si="41"/>
        <v>-339579.4838709677</v>
      </c>
      <c r="N53" s="89">
        <f t="shared" si="41"/>
        <v>-339579.4838709677</v>
      </c>
      <c r="O53" s="89">
        <f t="shared" si="41"/>
        <v>-350544</v>
      </c>
      <c r="P53" s="89">
        <f t="shared" si="41"/>
        <v>-433117.79032258061</v>
      </c>
      <c r="Q53" s="89">
        <f t="shared" si="41"/>
        <v>-447106.5</v>
      </c>
      <c r="R53" s="89">
        <f t="shared" si="41"/>
        <v>-688373.43548387091</v>
      </c>
      <c r="S53" s="89">
        <f t="shared" si="41"/>
        <v>-585180.60580645164</v>
      </c>
      <c r="T53" s="89">
        <f t="shared" si="41"/>
        <v>-1245242.2075862067</v>
      </c>
      <c r="U53" s="89">
        <f t="shared" si="41"/>
        <v>-1167196.7348387095</v>
      </c>
      <c r="V53" s="89">
        <f t="shared" si="41"/>
        <v>-1313712.4633333334</v>
      </c>
      <c r="W53" s="89">
        <f t="shared" si="41"/>
        <v>-1272583.2267741938</v>
      </c>
      <c r="X53" s="89">
        <f t="shared" si="41"/>
        <v>-1302983.2966666666</v>
      </c>
      <c r="Y53" s="89">
        <f t="shared" si="41"/>
        <v>-1262190.0816129032</v>
      </c>
      <c r="Z53" s="89">
        <f t="shared" si="41"/>
        <v>-1337644.3154838709</v>
      </c>
      <c r="AA53" s="89">
        <f t="shared" si="41"/>
        <v>-1380877.0466666666</v>
      </c>
      <c r="AB53" s="89">
        <f t="shared" si="41"/>
        <v>21646222.990505166</v>
      </c>
      <c r="AC53" s="89">
        <f t="shared" si="41"/>
        <v>36137409.711312041</v>
      </c>
      <c r="AD53" s="89">
        <f t="shared" si="41"/>
        <v>40787458.940466911</v>
      </c>
      <c r="AE53" s="89">
        <f t="shared" si="41"/>
        <v>46963349.68510627</v>
      </c>
      <c r="AF53" s="89">
        <f t="shared" si="41"/>
        <v>56787611.94627101</v>
      </c>
      <c r="AG53" s="89">
        <f t="shared" si="41"/>
        <v>58271563.306782946</v>
      </c>
      <c r="AH53" s="89">
        <f t="shared" si="41"/>
        <v>65169633.9617346</v>
      </c>
      <c r="AI53" s="89">
        <f t="shared" si="41"/>
        <v>68940806.363943473</v>
      </c>
      <c r="AJ53" s="89">
        <f t="shared" si="41"/>
        <v>76156833.898534194</v>
      </c>
      <c r="AK53" s="89">
        <f t="shared" si="41"/>
        <v>79575544.179168567</v>
      </c>
      <c r="AL53" s="89">
        <f t="shared" si="41"/>
        <v>84892913.08678107</v>
      </c>
      <c r="AM53" s="89">
        <f t="shared" si="41"/>
        <v>92637633.803733513</v>
      </c>
      <c r="AN53" s="89">
        <f t="shared" si="41"/>
        <v>95527650.902006149</v>
      </c>
      <c r="AO53" s="89">
        <f t="shared" si="41"/>
        <v>98135172.925206214</v>
      </c>
      <c r="AP53" s="89">
        <f t="shared" si="41"/>
        <v>95605938.486713812</v>
      </c>
      <c r="AQ53" s="89">
        <f t="shared" si="41"/>
        <v>97655151.402510181</v>
      </c>
      <c r="AR53" s="89">
        <f t="shared" si="41"/>
        <v>106213425.04685977</v>
      </c>
      <c r="AS53" s="89">
        <f t="shared" si="41"/>
        <v>97662852.291139543</v>
      </c>
      <c r="AT53" s="89">
        <f t="shared" si="41"/>
        <v>100328345.93281385</v>
      </c>
      <c r="AU53" s="89">
        <f t="shared" si="41"/>
        <v>97670553.179768845</v>
      </c>
      <c r="AV53" s="89">
        <f t="shared" si="41"/>
        <v>100336313.9121253</v>
      </c>
      <c r="AW53" s="89">
        <f t="shared" si="41"/>
        <v>97678254.068398207</v>
      </c>
      <c r="AX53" s="89">
        <f t="shared" si="41"/>
        <v>97682104.512712866</v>
      </c>
      <c r="AY53" s="89">
        <f t="shared" si="41"/>
        <v>100348265.88109249</v>
      </c>
      <c r="AZ53" s="89">
        <f t="shared" si="41"/>
        <v>97689805.401342213</v>
      </c>
      <c r="BA53" s="89">
        <f t="shared" si="41"/>
        <v>100356233.86040394</v>
      </c>
      <c r="BB53" s="89">
        <f t="shared" si="41"/>
        <v>97697506.28997153</v>
      </c>
      <c r="BC53" s="89">
        <f t="shared" si="41"/>
        <v>99789315.728753701</v>
      </c>
      <c r="BD53" s="89">
        <f t="shared" si="41"/>
        <v>108533114.05282265</v>
      </c>
      <c r="BE53" s="89">
        <f t="shared" si="41"/>
        <v>99797104.175311685</v>
      </c>
      <c r="BF53" s="89">
        <f t="shared" si="41"/>
        <v>102520349.77704273</v>
      </c>
      <c r="BG53" s="89">
        <f t="shared" si="41"/>
        <v>99804892.621869668</v>
      </c>
      <c r="BH53" s="89">
        <f t="shared" si="41"/>
        <v>102528408.32625151</v>
      </c>
      <c r="BI53" s="89">
        <f t="shared" si="41"/>
        <v>105370308.23276341</v>
      </c>
      <c r="BJ53" s="89">
        <f t="shared" ref="BJ53" si="42">BJ45+BJ48+BJ49+BJ50+BJ51-BJ46-BJ47-BJ52</f>
        <v>107862392.78746432</v>
      </c>
      <c r="BK53" s="89">
        <f t="shared" ref="BK53" si="43">BK45+BK48+BK49+BK50+BK51-BK46-BK47-BK52</f>
        <v>110166759.63873017</v>
      </c>
      <c r="BL53" s="89">
        <f t="shared" ref="BL53" si="44">BL45+BL48+BL49+BL50+BL51-BL46-BL47-BL52</f>
        <v>112516173.45464869</v>
      </c>
      <c r="BM53" s="89">
        <f t="shared" ref="BM53" si="45">BM45+BM48+BM49+BM50+BM51-BM46-BM47-BM52</f>
        <v>114658582.47531976</v>
      </c>
      <c r="BN53" s="89">
        <f t="shared" ref="BN53" si="46">BN45+BN48+BN49+BN50+BN51-BN46-BN47-BN52</f>
        <v>117324357.89069179</v>
      </c>
      <c r="BO53" s="89">
        <f t="shared" ref="BO53" si="47">BO45+BO48+BO49+BO50+BO51-BO46-BO47-BO52</f>
        <v>118953171.43917181</v>
      </c>
    </row>
    <row r="54" spans="1:67">
      <c r="A54" s="11"/>
      <c r="B54" s="22" t="s">
        <v>470</v>
      </c>
      <c r="C54" s="11"/>
      <c r="D54" s="33"/>
      <c r="E54" s="10" t="s">
        <v>13</v>
      </c>
      <c r="F54" s="10"/>
      <c r="G54" s="89">
        <f>G53</f>
        <v>-339579.4838709677</v>
      </c>
      <c r="H54" s="89">
        <f>H53-G53</f>
        <v>-35243.087557603722</v>
      </c>
      <c r="I54" s="89">
        <f t="shared" ref="I54:BI54" si="48">I53-H53</f>
        <v>35243.087557603722</v>
      </c>
      <c r="J54" s="89">
        <f t="shared" si="48"/>
        <v>-10964.516129032301</v>
      </c>
      <c r="K54" s="89">
        <f t="shared" si="48"/>
        <v>10964.516129032301</v>
      </c>
      <c r="L54" s="89">
        <f t="shared" si="48"/>
        <v>-10964.516129032301</v>
      </c>
      <c r="M54" s="89">
        <f t="shared" si="48"/>
        <v>10964.516129032301</v>
      </c>
      <c r="N54" s="89">
        <f t="shared" si="48"/>
        <v>0</v>
      </c>
      <c r="O54" s="89">
        <f t="shared" si="48"/>
        <v>-10964.516129032301</v>
      </c>
      <c r="P54" s="89">
        <f t="shared" si="48"/>
        <v>-82573.790322580608</v>
      </c>
      <c r="Q54" s="89">
        <f t="shared" si="48"/>
        <v>-13988.709677419392</v>
      </c>
      <c r="R54" s="89">
        <f t="shared" si="48"/>
        <v>-241266.93548387091</v>
      </c>
      <c r="S54" s="89">
        <f t="shared" si="48"/>
        <v>103192.82967741927</v>
      </c>
      <c r="T54" s="89">
        <f t="shared" si="48"/>
        <v>-660061.60177975509</v>
      </c>
      <c r="U54" s="89">
        <f t="shared" si="48"/>
        <v>78045.472747497261</v>
      </c>
      <c r="V54" s="89">
        <f t="shared" si="48"/>
        <v>-146515.72849462391</v>
      </c>
      <c r="W54" s="89">
        <f t="shared" si="48"/>
        <v>41129.236559139565</v>
      </c>
      <c r="X54" s="89">
        <f t="shared" si="48"/>
        <v>-30400.06989247282</v>
      </c>
      <c r="Y54" s="89">
        <f t="shared" si="48"/>
        <v>40793.215053763473</v>
      </c>
      <c r="Z54" s="89">
        <f t="shared" si="48"/>
        <v>-75454.233870967757</v>
      </c>
      <c r="AA54" s="89">
        <f t="shared" si="48"/>
        <v>-43232.731182795716</v>
      </c>
      <c r="AB54" s="89">
        <f t="shared" si="48"/>
        <v>23027100.037171833</v>
      </c>
      <c r="AC54" s="89">
        <f t="shared" si="48"/>
        <v>14491186.720806874</v>
      </c>
      <c r="AD54" s="89">
        <f t="shared" si="48"/>
        <v>4650049.2291548699</v>
      </c>
      <c r="AE54" s="89">
        <f t="shared" si="48"/>
        <v>6175890.7446393594</v>
      </c>
      <c r="AF54" s="89">
        <f t="shared" si="48"/>
        <v>9824262.2611647397</v>
      </c>
      <c r="AG54" s="89">
        <f t="shared" si="48"/>
        <v>1483951.3605119362</v>
      </c>
      <c r="AH54" s="89">
        <f t="shared" si="48"/>
        <v>6898070.6549516544</v>
      </c>
      <c r="AI54" s="89">
        <f t="shared" si="48"/>
        <v>3771172.4022088721</v>
      </c>
      <c r="AJ54" s="89">
        <f t="shared" si="48"/>
        <v>7216027.5345907211</v>
      </c>
      <c r="AK54" s="89">
        <f t="shared" si="48"/>
        <v>3418710.2806343734</v>
      </c>
      <c r="AL54" s="89">
        <f t="shared" si="48"/>
        <v>5317368.9076125026</v>
      </c>
      <c r="AM54" s="89">
        <f t="shared" si="48"/>
        <v>7744720.7169524431</v>
      </c>
      <c r="AN54" s="89">
        <f t="shared" si="48"/>
        <v>2890017.0982726365</v>
      </c>
      <c r="AO54" s="89">
        <f t="shared" si="48"/>
        <v>2607522.0232000649</v>
      </c>
      <c r="AP54" s="89">
        <f t="shared" si="48"/>
        <v>-2529234.4384924024</v>
      </c>
      <c r="AQ54" s="89">
        <f t="shared" si="48"/>
        <v>2049212.9157963693</v>
      </c>
      <c r="AR54" s="89">
        <f t="shared" si="48"/>
        <v>8558273.6443495899</v>
      </c>
      <c r="AS54" s="89">
        <f t="shared" si="48"/>
        <v>-8550572.755720228</v>
      </c>
      <c r="AT54" s="89">
        <f t="shared" si="48"/>
        <v>2665493.64167431</v>
      </c>
      <c r="AU54" s="89">
        <f t="shared" si="48"/>
        <v>-2657792.7530450076</v>
      </c>
      <c r="AV54" s="89">
        <f t="shared" si="48"/>
        <v>2665760.7323564589</v>
      </c>
      <c r="AW54" s="89">
        <f t="shared" si="48"/>
        <v>-2658059.8437270969</v>
      </c>
      <c r="AX54" s="89">
        <f t="shared" si="48"/>
        <v>3850.4443146586418</v>
      </c>
      <c r="AY54" s="89">
        <f t="shared" si="48"/>
        <v>2666161.3683796227</v>
      </c>
      <c r="AZ54" s="89">
        <f t="shared" si="48"/>
        <v>-2658460.4797502756</v>
      </c>
      <c r="BA54" s="89">
        <f t="shared" si="48"/>
        <v>2666428.4590617269</v>
      </c>
      <c r="BB54" s="89">
        <f t="shared" si="48"/>
        <v>-2658727.5704324096</v>
      </c>
      <c r="BC54" s="89">
        <f t="shared" si="48"/>
        <v>2091809.4387821704</v>
      </c>
      <c r="BD54" s="89">
        <f t="shared" si="48"/>
        <v>8743798.3240689486</v>
      </c>
      <c r="BE54" s="89">
        <f t="shared" si="48"/>
        <v>-8736009.8775109649</v>
      </c>
      <c r="BF54" s="89">
        <f t="shared" si="48"/>
        <v>2723245.601731047</v>
      </c>
      <c r="BG54" s="89">
        <f t="shared" si="48"/>
        <v>-2715457.1551730633</v>
      </c>
      <c r="BH54" s="89">
        <f t="shared" si="48"/>
        <v>2723515.7043818384</v>
      </c>
      <c r="BI54" s="89">
        <f t="shared" si="48"/>
        <v>2841899.9065119028</v>
      </c>
      <c r="BJ54" s="89">
        <f t="shared" ref="BJ54" si="49">BJ53-BI53</f>
        <v>2492084.554700911</v>
      </c>
      <c r="BK54" s="89">
        <f t="shared" ref="BK54" si="50">BK53-BJ53</f>
        <v>2304366.8512658477</v>
      </c>
      <c r="BL54" s="89">
        <f t="shared" ref="BL54" si="51">BL53-BK53</f>
        <v>2349413.8159185201</v>
      </c>
      <c r="BM54" s="89">
        <f t="shared" ref="BM54" si="52">BM53-BL53</f>
        <v>2142409.0206710696</v>
      </c>
      <c r="BN54" s="89">
        <f t="shared" ref="BN54" si="53">BN53-BM53</f>
        <v>2665775.4153720289</v>
      </c>
      <c r="BO54" s="89">
        <f t="shared" ref="BO54" si="54">BO53-BN53</f>
        <v>1628813.548480019</v>
      </c>
    </row>
    <row r="55" spans="1:67">
      <c r="A55" s="11"/>
      <c r="B55" s="11"/>
      <c r="C55" s="11"/>
      <c r="D55" s="33"/>
      <c r="E55" s="43"/>
      <c r="F55" s="43"/>
      <c r="G55" s="33"/>
      <c r="H55" s="33"/>
      <c r="I55" s="33"/>
      <c r="J55" s="33"/>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3"/>
      <c r="BF55" s="33"/>
      <c r="BG55" s="33"/>
      <c r="BH55" s="33"/>
      <c r="BI55" s="33"/>
      <c r="BJ55" s="44"/>
      <c r="BK55" s="44"/>
      <c r="BL55" s="44"/>
      <c r="BM55" s="44"/>
      <c r="BN55" s="44"/>
      <c r="BO55" s="44"/>
    </row>
    <row r="56" spans="1:67">
      <c r="A56" s="18" t="s">
        <v>1788</v>
      </c>
      <c r="B56" s="18"/>
      <c r="C56" s="18"/>
      <c r="D56" s="39"/>
      <c r="E56" s="39"/>
      <c r="F56" s="39"/>
      <c r="G56" s="39"/>
      <c r="H56" s="39"/>
      <c r="I56" s="39"/>
      <c r="J56" s="39"/>
      <c r="K56" s="39"/>
      <c r="L56" s="39"/>
      <c r="M56" s="39"/>
      <c r="N56" s="39"/>
      <c r="O56" s="39"/>
      <c r="P56" s="39"/>
      <c r="Q56" s="39"/>
      <c r="R56" s="39"/>
      <c r="S56" s="39"/>
      <c r="T56" s="39"/>
      <c r="U56" s="39"/>
      <c r="V56" s="39"/>
      <c r="W56" s="39"/>
      <c r="X56" s="39"/>
      <c r="Y56" s="39"/>
      <c r="Z56" s="39"/>
      <c r="AA56" s="39"/>
      <c r="AB56" s="39"/>
      <c r="AC56" s="39"/>
      <c r="AD56" s="39"/>
      <c r="AE56" s="39"/>
      <c r="AF56" s="39"/>
      <c r="AG56" s="39"/>
      <c r="AH56" s="39"/>
      <c r="AI56" s="39"/>
      <c r="AJ56" s="39"/>
      <c r="AK56" s="39"/>
      <c r="AL56" s="39"/>
      <c r="AM56" s="39"/>
      <c r="AN56" s="39"/>
      <c r="AO56" s="39"/>
      <c r="AP56" s="39"/>
      <c r="AQ56" s="39"/>
      <c r="AR56" s="39"/>
      <c r="AS56" s="39"/>
      <c r="AT56" s="39"/>
      <c r="AU56" s="39"/>
      <c r="AV56" s="39"/>
      <c r="AW56" s="39"/>
      <c r="AX56" s="39"/>
      <c r="AY56" s="39"/>
      <c r="AZ56" s="39"/>
      <c r="BA56" s="39"/>
      <c r="BB56" s="39"/>
      <c r="BC56" s="39"/>
      <c r="BD56" s="39"/>
      <c r="BE56" s="39"/>
      <c r="BF56" s="39"/>
      <c r="BG56" s="39"/>
      <c r="BH56" s="39"/>
      <c r="BI56" s="39"/>
      <c r="BJ56" s="39"/>
      <c r="BK56" s="39"/>
      <c r="BL56" s="39"/>
      <c r="BM56" s="39"/>
      <c r="BN56" s="39"/>
      <c r="BO56" s="39"/>
    </row>
    <row r="57" spans="1:67">
      <c r="A57" s="32"/>
      <c r="B57" s="32"/>
      <c r="C57" s="32" t="s">
        <v>17</v>
      </c>
      <c r="D57" s="14"/>
      <c r="E57" s="14"/>
      <c r="F57" s="14"/>
      <c r="G57" s="92">
        <f>0</f>
        <v>0</v>
      </c>
      <c r="H57" s="92">
        <f>G61</f>
        <v>0</v>
      </c>
      <c r="I57" s="92">
        <f t="shared" ref="I57:BO57" si="55">H61</f>
        <v>0</v>
      </c>
      <c r="J57" s="92">
        <f t="shared" si="55"/>
        <v>0</v>
      </c>
      <c r="K57" s="92">
        <f t="shared" si="55"/>
        <v>0</v>
      </c>
      <c r="L57" s="92">
        <f t="shared" si="55"/>
        <v>0</v>
      </c>
      <c r="M57" s="92">
        <f t="shared" si="55"/>
        <v>0</v>
      </c>
      <c r="N57" s="92">
        <f t="shared" si="55"/>
        <v>0</v>
      </c>
      <c r="O57" s="92">
        <f t="shared" si="55"/>
        <v>0</v>
      </c>
      <c r="P57" s="92">
        <f t="shared" si="55"/>
        <v>0</v>
      </c>
      <c r="Q57" s="92">
        <f t="shared" si="55"/>
        <v>0</v>
      </c>
      <c r="R57" s="92">
        <f t="shared" si="55"/>
        <v>0</v>
      </c>
      <c r="S57" s="92">
        <f t="shared" si="55"/>
        <v>0</v>
      </c>
      <c r="T57" s="92">
        <f t="shared" si="55"/>
        <v>0</v>
      </c>
      <c r="U57" s="92">
        <f t="shared" si="55"/>
        <v>0</v>
      </c>
      <c r="V57" s="92">
        <f t="shared" si="55"/>
        <v>0</v>
      </c>
      <c r="W57" s="92">
        <f t="shared" si="55"/>
        <v>0</v>
      </c>
      <c r="X57" s="92">
        <f t="shared" si="55"/>
        <v>0</v>
      </c>
      <c r="Y57" s="92">
        <f t="shared" si="55"/>
        <v>0</v>
      </c>
      <c r="Z57" s="92">
        <f t="shared" si="55"/>
        <v>0</v>
      </c>
      <c r="AA57" s="92">
        <f t="shared" si="55"/>
        <v>0</v>
      </c>
      <c r="AB57" s="92">
        <f t="shared" si="55"/>
        <v>0</v>
      </c>
      <c r="AC57" s="92">
        <f t="shared" si="55"/>
        <v>48458504.085170314</v>
      </c>
      <c r="AD57" s="92">
        <f t="shared" si="55"/>
        <v>69411854.100588009</v>
      </c>
      <c r="AE57" s="92">
        <f t="shared" si="55"/>
        <v>78173350.542747408</v>
      </c>
      <c r="AF57" s="92">
        <f t="shared" si="55"/>
        <v>86038339.049907669</v>
      </c>
      <c r="AG57" s="92">
        <f t="shared" si="55"/>
        <v>94471529.452439159</v>
      </c>
      <c r="AH57" s="92">
        <f t="shared" si="55"/>
        <v>92162553.844220027</v>
      </c>
      <c r="AI57" s="92">
        <f t="shared" si="55"/>
        <v>92768596.45194675</v>
      </c>
      <c r="AJ57" s="92">
        <f t="shared" si="55"/>
        <v>87800227.334696501</v>
      </c>
      <c r="AK57" s="92">
        <f t="shared" si="55"/>
        <v>83796682.475864887</v>
      </c>
      <c r="AL57" s="92">
        <f t="shared" si="55"/>
        <v>73521417.63062115</v>
      </c>
      <c r="AM57" s="92">
        <f t="shared" si="55"/>
        <v>62633823.646645717</v>
      </c>
      <c r="AN57" s="92">
        <f t="shared" si="55"/>
        <v>51659021.786324434</v>
      </c>
      <c r="AO57" s="92">
        <f t="shared" si="55"/>
        <v>42207856.48046191</v>
      </c>
      <c r="AP57" s="92">
        <f t="shared" si="55"/>
        <v>32372337.059200905</v>
      </c>
      <c r="AQ57" s="92">
        <f t="shared" si="55"/>
        <v>17225126.736915037</v>
      </c>
      <c r="AR57" s="92">
        <f t="shared" si="55"/>
        <v>5960598.5929241925</v>
      </c>
      <c r="AS57" s="92">
        <f t="shared" si="55"/>
        <v>1092740.4105528295</v>
      </c>
      <c r="AT57" s="92">
        <f t="shared" si="55"/>
        <v>0</v>
      </c>
      <c r="AU57" s="92">
        <f t="shared" si="55"/>
        <v>0</v>
      </c>
      <c r="AV57" s="92">
        <f t="shared" si="55"/>
        <v>0</v>
      </c>
      <c r="AW57" s="92">
        <f t="shared" si="55"/>
        <v>0</v>
      </c>
      <c r="AX57" s="92">
        <f t="shared" si="55"/>
        <v>0</v>
      </c>
      <c r="AY57" s="92">
        <f t="shared" si="55"/>
        <v>0</v>
      </c>
      <c r="AZ57" s="92">
        <f t="shared" ca="1" si="55"/>
        <v>0</v>
      </c>
      <c r="BA57" s="92">
        <f t="shared" ca="1" si="55"/>
        <v>0</v>
      </c>
      <c r="BB57" s="92">
        <f t="shared" ca="1" si="55"/>
        <v>0</v>
      </c>
      <c r="BC57" s="92">
        <f t="shared" ca="1" si="55"/>
        <v>0</v>
      </c>
      <c r="BD57" s="92">
        <f t="shared" ca="1" si="55"/>
        <v>0</v>
      </c>
      <c r="BE57" s="92">
        <f t="shared" ca="1" si="55"/>
        <v>0</v>
      </c>
      <c r="BF57" s="92">
        <f t="shared" ca="1" si="55"/>
        <v>0</v>
      </c>
      <c r="BG57" s="92">
        <f t="shared" ca="1" si="55"/>
        <v>0</v>
      </c>
      <c r="BH57" s="92">
        <f t="shared" ca="1" si="55"/>
        <v>0</v>
      </c>
      <c r="BI57" s="92">
        <f t="shared" ca="1" si="55"/>
        <v>0</v>
      </c>
      <c r="BJ57" s="92">
        <f t="shared" ca="1" si="55"/>
        <v>0</v>
      </c>
      <c r="BK57" s="92">
        <f t="shared" ca="1" si="55"/>
        <v>0</v>
      </c>
      <c r="BL57" s="92">
        <f t="shared" ca="1" si="55"/>
        <v>0</v>
      </c>
      <c r="BM57" s="92">
        <f t="shared" ca="1" si="55"/>
        <v>0</v>
      </c>
      <c r="BN57" s="92">
        <f t="shared" ca="1" si="55"/>
        <v>0</v>
      </c>
      <c r="BO57" s="92">
        <f t="shared" ca="1" si="55"/>
        <v>0</v>
      </c>
    </row>
    <row r="58" spans="1:67">
      <c r="A58" s="32"/>
      <c r="B58" s="32"/>
      <c r="C58" s="32" t="s">
        <v>1782</v>
      </c>
      <c r="D58" s="14"/>
      <c r="E58" s="14"/>
      <c r="F58" s="14"/>
      <c r="G58" s="92">
        <f>'00 Summary'!G$84+'00 Summary'!G$72+'00 Summary'!G$75+SUM('00 Summary'!G$77:G$80)</f>
        <v>500000</v>
      </c>
      <c r="H58" s="92">
        <f>'00 Summary'!H$84+'00 Summary'!H$72+'00 Summary'!H$75+SUM('00 Summary'!H$77:H$80)</f>
        <v>500000</v>
      </c>
      <c r="I58" s="92">
        <f>'00 Summary'!I$84+'00 Summary'!I$72+'00 Summary'!I$75+SUM('00 Summary'!I$77:I$80)</f>
        <v>500000</v>
      </c>
      <c r="J58" s="92">
        <f>'00 Summary'!J$84+'00 Summary'!J$72+'00 Summary'!J$75+SUM('00 Summary'!J$77:J$80)</f>
        <v>500000</v>
      </c>
      <c r="K58" s="92">
        <f>'00 Summary'!K$84+'00 Summary'!K$72+'00 Summary'!K$75+SUM('00 Summary'!K$77:K$80)</f>
        <v>500000</v>
      </c>
      <c r="L58" s="92">
        <f>'00 Summary'!L$84+'00 Summary'!L$72+'00 Summary'!L$75+SUM('00 Summary'!L$77:L$80)</f>
        <v>500000</v>
      </c>
      <c r="M58" s="92">
        <f>'00 Summary'!M$84+'00 Summary'!M$72+'00 Summary'!M$75+SUM('00 Summary'!M$77:M$80)</f>
        <v>500000</v>
      </c>
      <c r="N58" s="92">
        <f>'00 Summary'!N$84+'00 Summary'!N$72+'00 Summary'!N$75+SUM('00 Summary'!N$77:N$80)</f>
        <v>500000</v>
      </c>
      <c r="O58" s="92">
        <f>'00 Summary'!O$84+'00 Summary'!O$72+'00 Summary'!O$75+SUM('00 Summary'!O$77:O$80)</f>
        <v>500000</v>
      </c>
      <c r="P58" s="92">
        <f>'00 Summary'!P$84+'00 Summary'!P$72+'00 Summary'!P$75+SUM('00 Summary'!P$77:P$80)</f>
        <v>500000</v>
      </c>
      <c r="Q58" s="92">
        <f>'00 Summary'!Q$84+'00 Summary'!Q$72+'00 Summary'!Q$75+SUM('00 Summary'!Q$77:Q$80)</f>
        <v>500000</v>
      </c>
      <c r="R58" s="92">
        <f>'00 Summary'!R$84+'00 Summary'!R$72+'00 Summary'!R$75+SUM('00 Summary'!R$77:R$80)</f>
        <v>500000</v>
      </c>
      <c r="S58" s="92">
        <f>'00 Summary'!S$84+'00 Summary'!S$72+'00 Summary'!S$75+SUM('00 Summary'!S$77:S$80)</f>
        <v>500000</v>
      </c>
      <c r="T58" s="92">
        <f>'00 Summary'!T$84+'00 Summary'!T$72+'00 Summary'!T$75+SUM('00 Summary'!T$77:T$80)</f>
        <v>500000</v>
      </c>
      <c r="U58" s="92">
        <f>'00 Summary'!U$84+'00 Summary'!U$72+'00 Summary'!U$75+SUM('00 Summary'!U$77:U$80)</f>
        <v>500000</v>
      </c>
      <c r="V58" s="92">
        <f>'00 Summary'!V$84+'00 Summary'!V$72+'00 Summary'!V$75+SUM('00 Summary'!V$77:V$80)</f>
        <v>500000</v>
      </c>
      <c r="W58" s="92">
        <f>'00 Summary'!W$84+'00 Summary'!W$72+'00 Summary'!W$75+SUM('00 Summary'!W$77:W$80)</f>
        <v>500000</v>
      </c>
      <c r="X58" s="92">
        <f>'00 Summary'!X$84+'00 Summary'!X$72+'00 Summary'!X$75+SUM('00 Summary'!X$77:X$80)</f>
        <v>500000</v>
      </c>
      <c r="Y58" s="92">
        <f>'00 Summary'!Y$84+'00 Summary'!Y$72+'00 Summary'!Y$75+SUM('00 Summary'!Y$77:Y$80)</f>
        <v>500000</v>
      </c>
      <c r="Z58" s="92">
        <f>'00 Summary'!Z$84+'00 Summary'!Z$72+'00 Summary'!Z$75+SUM('00 Summary'!Z$77:Z$80)</f>
        <v>500000</v>
      </c>
      <c r="AA58" s="92">
        <f>'00 Summary'!AA$84+'00 Summary'!AA$72+'00 Summary'!AA$75+SUM('00 Summary'!AA$77:AA$80)</f>
        <v>500000</v>
      </c>
      <c r="AB58" s="92">
        <f>'00 Summary'!AB$84+'00 Summary'!AB$72+'00 Summary'!AB$75+SUM('00 Summary'!AB$77:AB$80)</f>
        <v>-47958504.085170314</v>
      </c>
      <c r="AC58" s="92">
        <f>'00 Summary'!AC$84+'00 Summary'!AC$72+'00 Summary'!AC$75+SUM('00 Summary'!AC$77:AC$80)</f>
        <v>-20453350.015417695</v>
      </c>
      <c r="AD58" s="92">
        <f>'00 Summary'!AD$84+'00 Summary'!AD$72+'00 Summary'!AD$75+SUM('00 Summary'!AD$77:AD$80)</f>
        <v>-8261496.4421593957</v>
      </c>
      <c r="AE58" s="92">
        <f>'00 Summary'!AE$84+'00 Summary'!AE$72+'00 Summary'!AE$75+SUM('00 Summary'!AE$77:AE$80)</f>
        <v>-7364988.5071602631</v>
      </c>
      <c r="AF58" s="92">
        <f>'00 Summary'!AF$84+'00 Summary'!AF$72+'00 Summary'!AF$75+SUM('00 Summary'!AF$77:AF$80)</f>
        <v>-7933190.4025314897</v>
      </c>
      <c r="AG58" s="92">
        <f>'00 Summary'!AG$84+'00 Summary'!AG$72+'00 Summary'!AG$75+SUM('00 Summary'!AG$77:AG$80)</f>
        <v>2808975.60821913</v>
      </c>
      <c r="AH58" s="92">
        <f>'00 Summary'!AH$84+'00 Summary'!AH$72+'00 Summary'!AH$75+SUM('00 Summary'!AH$77:AH$80)</f>
        <v>-106042.60772672109</v>
      </c>
      <c r="AI58" s="92">
        <f>'00 Summary'!AI$84+'00 Summary'!AI$72+'00 Summary'!AI$75+SUM('00 Summary'!AI$77:AI$80)</f>
        <v>5468369.1172502451</v>
      </c>
      <c r="AJ58" s="92">
        <f>'00 Summary'!AJ$84+'00 Summary'!AJ$72+'00 Summary'!AJ$75+SUM('00 Summary'!AJ$77:AJ$80)</f>
        <v>4503544.8588316105</v>
      </c>
      <c r="AK58" s="92">
        <f>'00 Summary'!AK$84+'00 Summary'!AK$72+'00 Summary'!AK$75+SUM('00 Summary'!AK$77:AK$80)</f>
        <v>10775264.845243741</v>
      </c>
      <c r="AL58" s="92">
        <f>'00 Summary'!AL$84+'00 Summary'!AL$72+'00 Summary'!AL$75+SUM('00 Summary'!AL$77:AL$80)</f>
        <v>11387593.983975433</v>
      </c>
      <c r="AM58" s="92">
        <f>'00 Summary'!AM$84+'00 Summary'!AM$72+'00 Summary'!AM$75+SUM('00 Summary'!AM$77:AM$80)</f>
        <v>11474801.860321283</v>
      </c>
      <c r="AN58" s="92">
        <f>'00 Summary'!AN$84+'00 Summary'!AN$72+'00 Summary'!AN$75+SUM('00 Summary'!AN$77:AN$80)</f>
        <v>9951165.3058625236</v>
      </c>
      <c r="AO58" s="92">
        <f>'00 Summary'!AO$84+'00 Summary'!AO$72+'00 Summary'!AO$75+SUM('00 Summary'!AO$77:AO$80)</f>
        <v>10335519.421261005</v>
      </c>
      <c r="AP58" s="92">
        <f>'00 Summary'!AP$84+'00 Summary'!AP$72+'00 Summary'!AP$75+SUM('00 Summary'!AP$77:AP$80)</f>
        <v>15647210.322285868</v>
      </c>
      <c r="AQ58" s="92">
        <f>'00 Summary'!AQ$84+'00 Summary'!AQ$72+'00 Summary'!AQ$75+SUM('00 Summary'!AQ$77:AQ$80)</f>
        <v>11764528.143990844</v>
      </c>
      <c r="AR58" s="92">
        <f>'00 Summary'!AR$84+'00 Summary'!AR$72+'00 Summary'!AR$75+SUM('00 Summary'!AR$77:AR$80)</f>
        <v>5367858.182371363</v>
      </c>
      <c r="AS58" s="92">
        <f>'00 Summary'!AS$84+'00 Summary'!AS$72+'00 Summary'!AS$75+SUM('00 Summary'!AS$77:AS$80)</f>
        <v>22551781.441265479</v>
      </c>
      <c r="AT58" s="92">
        <f>'00 Summary'!AT$84+'00 Summary'!AT$72+'00 Summary'!AT$75+SUM('00 Summary'!AT$77:AT$80)</f>
        <v>32347811.413072284</v>
      </c>
      <c r="AU58" s="92">
        <f>'00 Summary'!AU$84+'00 Summary'!AU$72+'00 Summary'!AU$75+SUM('00 Summary'!AU$77:AU$80)</f>
        <v>48606549.209578365</v>
      </c>
      <c r="AV58" s="92">
        <f>'00 Summary'!AV$84+'00 Summary'!AV$72+'00 Summary'!AV$75+SUM('00 Summary'!AV$77:AV$80)</f>
        <v>59588414.540110096</v>
      </c>
      <c r="AW58" s="92">
        <f>'00 Summary'!AW$84+'00 Summary'!AW$72+'00 Summary'!AW$75+SUM('00 Summary'!AW$77:AW$80)</f>
        <v>75940781.466152519</v>
      </c>
      <c r="AX58" s="92">
        <f>'00 Summary'!AX$84+'00 Summary'!AX$72+'00 Summary'!AX$75+SUM('00 Summary'!AX$77:AX$80)</f>
        <v>89677919.123580307</v>
      </c>
      <c r="AY58" s="92">
        <f ca="1">'00 Summary'!AY$84+'00 Summary'!AY$72+'00 Summary'!AY$75+SUM('00 Summary'!AY$77:AY$80)</f>
        <v>100799426.87637028</v>
      </c>
      <c r="AZ58" s="92">
        <f ca="1">'00 Summary'!AZ$84+'00 Summary'!AZ$72+'00 Summary'!AZ$75+SUM('00 Summary'!AZ$77:AZ$80)</f>
        <v>117292237.49671727</v>
      </c>
      <c r="BA58" s="92">
        <f ca="1">'00 Summary'!BA$84+'00 Summary'!BA$72+'00 Summary'!BA$75+SUM('00 Summary'!BA$77:BA$80)</f>
        <v>128506840.1976794</v>
      </c>
      <c r="BB58" s="92">
        <f ca="1">'00 Summary'!BB$84+'00 Summary'!BB$72+'00 Summary'!BB$75+SUM('00 Summary'!BB$77:BB$80)</f>
        <v>145093279.94756278</v>
      </c>
      <c r="BC58" s="92">
        <f ca="1">'00 Summary'!BC$84+'00 Summary'!BC$72+'00 Summary'!BC$75+SUM('00 Summary'!BC$77:BC$80)</f>
        <v>157543249.5274702</v>
      </c>
      <c r="BD58" s="92">
        <f ca="1">'00 Summary'!BD$84+'00 Summary'!BD$72+'00 Summary'!BD$75+SUM('00 Summary'!BD$77:BD$80)</f>
        <v>163387864.5560039</v>
      </c>
      <c r="BE58" s="92">
        <f ca="1">'00 Summary'!BE$84+'00 Summary'!BE$72+'00 Summary'!BE$75+SUM('00 Summary'!BE$77:BE$80)</f>
        <v>186758922.12003058</v>
      </c>
      <c r="BF58" s="92">
        <f ca="1">'00 Summary'!BF$84+'00 Summary'!BF$72+'00 Summary'!BF$75+SUM('00 Summary'!BF$77:BF$80)</f>
        <v>198717358.53872833</v>
      </c>
      <c r="BG58" s="92">
        <f ca="1">'00 Summary'!BG$84+'00 Summary'!BG$72+'00 Summary'!BG$75+SUM('00 Summary'!BG$77:BG$80)</f>
        <v>216161132.04824322</v>
      </c>
      <c r="BH58" s="92">
        <f ca="1">'00 Summary'!BH$84+'00 Summary'!BH$72+'00 Summary'!BH$75+SUM('00 Summary'!BH$77:BH$80)</f>
        <v>228212567.03211629</v>
      </c>
      <c r="BI58" s="92">
        <f ca="1">'00 Summary'!BI$84+'00 Summary'!BI$72+'00 Summary'!BI$75+SUM('00 Summary'!BI$77:BI$80)</f>
        <v>376476331.8802197</v>
      </c>
      <c r="BJ58" s="92">
        <f ca="1">'00 Summary'!BJ$84+'00 Summary'!BJ$72+'00 Summary'!BJ$75+SUM('00 Summary'!BJ$77:BJ$80)</f>
        <v>475302300.0347836</v>
      </c>
      <c r="BK58" s="92">
        <f ca="1">'00 Summary'!BK$84+'00 Summary'!BK$72+'00 Summary'!BK$75+SUM('00 Summary'!BK$77:BK$80)</f>
        <v>581945124.0021683</v>
      </c>
      <c r="BL58" s="92">
        <f ca="1">'00 Summary'!BL$84+'00 Summary'!BL$72+'00 Summary'!BL$75+SUM('00 Summary'!BL$77:BL$80)</f>
        <v>690054293.49789166</v>
      </c>
      <c r="BM58" s="92">
        <f ca="1">'00 Summary'!BM$84+'00 Summary'!BM$72+'00 Summary'!BM$75+SUM('00 Summary'!BM$77:BM$80)</f>
        <v>804012826.85955906</v>
      </c>
      <c r="BN58" s="92">
        <f ca="1">'00 Summary'!BN$84+'00 Summary'!BN$72+'00 Summary'!BN$75+SUM('00 Summary'!BN$77:BN$80)</f>
        <v>996785697.31151533</v>
      </c>
      <c r="BO58" s="92">
        <f ca="1">'00 Summary'!BO$84+'00 Summary'!BO$72+'00 Summary'!BO$75+SUM('00 Summary'!BO$77:BO$80)</f>
        <v>1183601460.3055732</v>
      </c>
    </row>
    <row r="59" spans="1:67">
      <c r="A59" s="32"/>
      <c r="B59" s="32"/>
      <c r="C59" s="32" t="s">
        <v>1786</v>
      </c>
      <c r="D59" s="14"/>
      <c r="E59" s="14"/>
      <c r="F59" s="14"/>
      <c r="G59" s="92">
        <f>IF('01 Major Assumptions'!G$15=0,0,MAX(0,'01 Major Assumptions'!$D$132-G58))</f>
        <v>0</v>
      </c>
      <c r="H59" s="92">
        <f>IF('01 Major Assumptions'!H$15=0,0,MAX(0,'01 Major Assumptions'!$D$132-H58))</f>
        <v>0</v>
      </c>
      <c r="I59" s="92">
        <f>IF('01 Major Assumptions'!I$15=0,0,MAX(0,'01 Major Assumptions'!$D$132-I58))</f>
        <v>0</v>
      </c>
      <c r="J59" s="92">
        <f>IF('01 Major Assumptions'!J$15=0,0,MAX(0,'01 Major Assumptions'!$D$132-J58))</f>
        <v>0</v>
      </c>
      <c r="K59" s="92">
        <f>IF('01 Major Assumptions'!K$15=0,0,MAX(0,'01 Major Assumptions'!$D$132-K58))</f>
        <v>0</v>
      </c>
      <c r="L59" s="92">
        <f>IF('01 Major Assumptions'!L$15=0,0,MAX(0,'01 Major Assumptions'!$D$132-L58))</f>
        <v>0</v>
      </c>
      <c r="M59" s="92">
        <f>IF('01 Major Assumptions'!M$15=0,0,MAX(0,'01 Major Assumptions'!$D$132-M58))</f>
        <v>0</v>
      </c>
      <c r="N59" s="92">
        <f>IF('01 Major Assumptions'!N$15=0,0,MAX(0,'01 Major Assumptions'!$D$132-N58))</f>
        <v>0</v>
      </c>
      <c r="O59" s="92">
        <f>IF('01 Major Assumptions'!O$15=0,0,MAX(0,'01 Major Assumptions'!$D$132-O58))</f>
        <v>0</v>
      </c>
      <c r="P59" s="92">
        <f>IF('01 Major Assumptions'!P$15=0,0,MAX(0,'01 Major Assumptions'!$D$132-P58))</f>
        <v>0</v>
      </c>
      <c r="Q59" s="92">
        <f>IF('01 Major Assumptions'!Q$15=0,0,MAX(0,'01 Major Assumptions'!$D$132-Q58))</f>
        <v>0</v>
      </c>
      <c r="R59" s="92">
        <f>IF('01 Major Assumptions'!R$15=0,0,MAX(0,'01 Major Assumptions'!$D$132-R58))</f>
        <v>0</v>
      </c>
      <c r="S59" s="92">
        <f>IF('01 Major Assumptions'!S$15=0,0,MAX(0,'01 Major Assumptions'!$D$132-S58))</f>
        <v>0</v>
      </c>
      <c r="T59" s="92">
        <f>IF('01 Major Assumptions'!T$15=0,0,MAX(0,'01 Major Assumptions'!$D$132-T58))</f>
        <v>0</v>
      </c>
      <c r="U59" s="92">
        <f>IF('01 Major Assumptions'!U$15=0,0,MAX(0,'01 Major Assumptions'!$D$132-U58))</f>
        <v>0</v>
      </c>
      <c r="V59" s="92">
        <f>IF('01 Major Assumptions'!V$15=0,0,MAX(0,'01 Major Assumptions'!$D$132-V58))</f>
        <v>0</v>
      </c>
      <c r="W59" s="92">
        <f>IF('01 Major Assumptions'!W$15=0,0,MAX(0,'01 Major Assumptions'!$D$132-W58))</f>
        <v>0</v>
      </c>
      <c r="X59" s="92">
        <f>IF('01 Major Assumptions'!X$15=0,0,MAX(0,'01 Major Assumptions'!$D$132-X58))</f>
        <v>0</v>
      </c>
      <c r="Y59" s="92">
        <f>IF('01 Major Assumptions'!Y$15=0,0,MAX(0,'01 Major Assumptions'!$D$132-Y58))</f>
        <v>0</v>
      </c>
      <c r="Z59" s="92">
        <f>IF('01 Major Assumptions'!Z$15=0,0,MAX(0,'01 Major Assumptions'!$D$132-Z58))</f>
        <v>0</v>
      </c>
      <c r="AA59" s="92">
        <f>IF('01 Major Assumptions'!AA$15=0,0,MAX(0,'01 Major Assumptions'!$D$132-AA58))</f>
        <v>0</v>
      </c>
      <c r="AB59" s="92">
        <f>IF('01 Major Assumptions'!AB$15=0,0,MAX(0,'01 Major Assumptions'!$D$132-AB58))</f>
        <v>48458504.085170314</v>
      </c>
      <c r="AC59" s="92">
        <f>IF('01 Major Assumptions'!AC$15=0,0,MAX(0,'01 Major Assumptions'!$D$132-AC58))</f>
        <v>20953350.015417695</v>
      </c>
      <c r="AD59" s="92">
        <f>IF('01 Major Assumptions'!AD$15=0,0,MAX(0,'01 Major Assumptions'!$D$132-AD58))</f>
        <v>8761496.4421593957</v>
      </c>
      <c r="AE59" s="92">
        <f>IF('01 Major Assumptions'!AE$15=0,0,MAX(0,'01 Major Assumptions'!$D$132-AE58))</f>
        <v>7864988.5071602631</v>
      </c>
      <c r="AF59" s="92">
        <f>IF('01 Major Assumptions'!AF$15=0,0,MAX(0,'01 Major Assumptions'!$D$132-AF58))</f>
        <v>8433190.4025314897</v>
      </c>
      <c r="AG59" s="92">
        <f>IF('01 Major Assumptions'!AG$15=0,0,MAX(0,'01 Major Assumptions'!$D$132-AG58))</f>
        <v>0</v>
      </c>
      <c r="AH59" s="92">
        <f>IF('01 Major Assumptions'!AH$15=0,0,MAX(0,'01 Major Assumptions'!$D$132-AH58))</f>
        <v>606042.60772672109</v>
      </c>
      <c r="AI59" s="92">
        <f>IF('01 Major Assumptions'!AI$15=0,0,MAX(0,'01 Major Assumptions'!$D$132-AI58))</f>
        <v>0</v>
      </c>
      <c r="AJ59" s="92">
        <f>IF('01 Major Assumptions'!AJ$15=0,0,MAX(0,'01 Major Assumptions'!$D$132-AJ58))</f>
        <v>0</v>
      </c>
      <c r="AK59" s="92">
        <f>IF('01 Major Assumptions'!AK$15=0,0,MAX(0,'01 Major Assumptions'!$D$132-AK58))</f>
        <v>0</v>
      </c>
      <c r="AL59" s="92">
        <f>IF('01 Major Assumptions'!AL$15=0,0,MAX(0,'01 Major Assumptions'!$D$132-AL58))</f>
        <v>0</v>
      </c>
      <c r="AM59" s="92">
        <f>IF('01 Major Assumptions'!AM$15=0,0,MAX(0,'01 Major Assumptions'!$D$132-AM58))</f>
        <v>0</v>
      </c>
      <c r="AN59" s="92">
        <f>IF('01 Major Assumptions'!AN$15=0,0,MAX(0,'01 Major Assumptions'!$D$132-AN58))</f>
        <v>0</v>
      </c>
      <c r="AO59" s="92">
        <f>IF('01 Major Assumptions'!AO$15=0,0,MAX(0,'01 Major Assumptions'!$D$132-AO58))</f>
        <v>0</v>
      </c>
      <c r="AP59" s="92">
        <f>IF('01 Major Assumptions'!AP$15=0,0,MAX(0,'01 Major Assumptions'!$D$132-AP58))</f>
        <v>0</v>
      </c>
      <c r="AQ59" s="92">
        <f>IF('01 Major Assumptions'!AQ$15=0,0,MAX(0,'01 Major Assumptions'!$D$132-AQ58))</f>
        <v>0</v>
      </c>
      <c r="AR59" s="92">
        <f>IF('01 Major Assumptions'!AR$15=0,0,MAX(0,'01 Major Assumptions'!$D$132-AR58))</f>
        <v>0</v>
      </c>
      <c r="AS59" s="92">
        <f>IF('01 Major Assumptions'!AS$15=0,0,MAX(0,'01 Major Assumptions'!$D$132-AS58))</f>
        <v>0</v>
      </c>
      <c r="AT59" s="92">
        <f>IF('01 Major Assumptions'!AT$15=0,0,MAX(0,'01 Major Assumptions'!$D$132-AT58))</f>
        <v>0</v>
      </c>
      <c r="AU59" s="92">
        <f>IF('01 Major Assumptions'!AU$15=0,0,MAX(0,'01 Major Assumptions'!$D$132-AU58))</f>
        <v>0</v>
      </c>
      <c r="AV59" s="92">
        <f>IF('01 Major Assumptions'!AV$15=0,0,MAX(0,'01 Major Assumptions'!$D$132-AV58))</f>
        <v>0</v>
      </c>
      <c r="AW59" s="92">
        <f>IF('01 Major Assumptions'!AW$15=0,0,MAX(0,'01 Major Assumptions'!$D$132-AW58))</f>
        <v>0</v>
      </c>
      <c r="AX59" s="92">
        <f>IF('01 Major Assumptions'!AX$15=0,0,MAX(0,'01 Major Assumptions'!$D$132-AX58))</f>
        <v>0</v>
      </c>
      <c r="AY59" s="92">
        <f ca="1">IF('01 Major Assumptions'!AY$15=0,0,MAX(0,'01 Major Assumptions'!$D$132-AY58))</f>
        <v>0</v>
      </c>
      <c r="AZ59" s="92">
        <f ca="1">IF('01 Major Assumptions'!AZ$15=0,0,MAX(0,'01 Major Assumptions'!$D$132-AZ58))</f>
        <v>0</v>
      </c>
      <c r="BA59" s="92">
        <f ca="1">IF('01 Major Assumptions'!BA$15=0,0,MAX(0,'01 Major Assumptions'!$D$132-BA58))</f>
        <v>0</v>
      </c>
      <c r="BB59" s="92">
        <f ca="1">IF('01 Major Assumptions'!BB$15=0,0,MAX(0,'01 Major Assumptions'!$D$132-BB58))</f>
        <v>0</v>
      </c>
      <c r="BC59" s="92">
        <f ca="1">IF('01 Major Assumptions'!BC$15=0,0,MAX(0,'01 Major Assumptions'!$D$132-BC58))</f>
        <v>0</v>
      </c>
      <c r="BD59" s="92">
        <f ca="1">IF('01 Major Assumptions'!BD$15=0,0,MAX(0,'01 Major Assumptions'!$D$132-BD58))</f>
        <v>0</v>
      </c>
      <c r="BE59" s="92">
        <f ca="1">IF('01 Major Assumptions'!BE$15=0,0,MAX(0,'01 Major Assumptions'!$D$132-BE58))</f>
        <v>0</v>
      </c>
      <c r="BF59" s="92">
        <f ca="1">IF('01 Major Assumptions'!BF$15=0,0,MAX(0,'01 Major Assumptions'!$D$132-BF58))</f>
        <v>0</v>
      </c>
      <c r="BG59" s="92">
        <f ca="1">IF('01 Major Assumptions'!BG$15=0,0,MAX(0,'01 Major Assumptions'!$D$132-BG58))</f>
        <v>0</v>
      </c>
      <c r="BH59" s="92">
        <f ca="1">IF('01 Major Assumptions'!BH$15=0,0,MAX(0,'01 Major Assumptions'!$D$132-BH58))</f>
        <v>0</v>
      </c>
      <c r="BI59" s="92">
        <f ca="1">IF('01 Major Assumptions'!BI$15=0,0,MAX(0,'01 Major Assumptions'!$D$132-BI58))</f>
        <v>0</v>
      </c>
      <c r="BJ59" s="92">
        <f ca="1">IF('01 Major Assumptions'!BJ$15=0,0,MAX(0,'01 Major Assumptions'!$D$132-BJ58))</f>
        <v>0</v>
      </c>
      <c r="BK59" s="92">
        <f ca="1">IF('01 Major Assumptions'!BK$15=0,0,MAX(0,'01 Major Assumptions'!$D$132-BK58))</f>
        <v>0</v>
      </c>
      <c r="BL59" s="92">
        <f ca="1">IF('01 Major Assumptions'!BL$15=0,0,MAX(0,'01 Major Assumptions'!$D$132-BL58))</f>
        <v>0</v>
      </c>
      <c r="BM59" s="92">
        <f ca="1">IF('01 Major Assumptions'!BM$15=0,0,MAX(0,'01 Major Assumptions'!$D$132-BM58))</f>
        <v>0</v>
      </c>
      <c r="BN59" s="92">
        <f ca="1">IF('01 Major Assumptions'!BN$15=0,0,MAX(0,'01 Major Assumptions'!$D$132-BN58))</f>
        <v>0</v>
      </c>
      <c r="BO59" s="92">
        <f ca="1">IF('01 Major Assumptions'!BO$15=0,0,MAX(0,'01 Major Assumptions'!$D$132-BO58))</f>
        <v>0</v>
      </c>
    </row>
    <row r="60" spans="1:67">
      <c r="A60" s="32"/>
      <c r="B60" s="32"/>
      <c r="C60" s="32" t="s">
        <v>1787</v>
      </c>
      <c r="D60" s="14"/>
      <c r="E60" s="14"/>
      <c r="F60" s="14"/>
      <c r="G60" s="92">
        <f>IF('01 Major Assumptions'!G$15=0,0,MIN(G57,MAX(0,G58-'01 Major Assumptions'!$D$132)))</f>
        <v>0</v>
      </c>
      <c r="H60" s="92">
        <f>IF('01 Major Assumptions'!H$15=0,0,MIN(H57,MAX(0,H58-'01 Major Assumptions'!$D$132)))</f>
        <v>0</v>
      </c>
      <c r="I60" s="92">
        <f>IF('01 Major Assumptions'!I$15=0,0,MIN(I57,MAX(0,I58-'01 Major Assumptions'!$D$132)))</f>
        <v>0</v>
      </c>
      <c r="J60" s="92">
        <f>IF('01 Major Assumptions'!J$15=0,0,MIN(J57,MAX(0,J58-'01 Major Assumptions'!$D$132)))</f>
        <v>0</v>
      </c>
      <c r="K60" s="92">
        <f>IF('01 Major Assumptions'!K$15=0,0,MIN(K57,MAX(0,K58-'01 Major Assumptions'!$D$132)))</f>
        <v>0</v>
      </c>
      <c r="L60" s="92">
        <f>IF('01 Major Assumptions'!L$15=0,0,MIN(L57,MAX(0,L58-'01 Major Assumptions'!$D$132)))</f>
        <v>0</v>
      </c>
      <c r="M60" s="92">
        <f>IF('01 Major Assumptions'!M$15=0,0,MIN(M57,MAX(0,M58-'01 Major Assumptions'!$D$132)))</f>
        <v>0</v>
      </c>
      <c r="N60" s="92">
        <f>IF('01 Major Assumptions'!N$15=0,0,MIN(N57,MAX(0,N58-'01 Major Assumptions'!$D$132)))</f>
        <v>0</v>
      </c>
      <c r="O60" s="92">
        <f>IF('01 Major Assumptions'!O$15=0,0,MIN(O57,MAX(0,O58-'01 Major Assumptions'!$D$132)))</f>
        <v>0</v>
      </c>
      <c r="P60" s="92">
        <f>IF('01 Major Assumptions'!P$15=0,0,MIN(P57,MAX(0,P58-'01 Major Assumptions'!$D$132)))</f>
        <v>0</v>
      </c>
      <c r="Q60" s="92">
        <f>IF('01 Major Assumptions'!Q$15=0,0,MIN(Q57,MAX(0,Q58-'01 Major Assumptions'!$D$132)))</f>
        <v>0</v>
      </c>
      <c r="R60" s="92">
        <f>IF('01 Major Assumptions'!R$15=0,0,MIN(R57,MAX(0,R58-'01 Major Assumptions'!$D$132)))</f>
        <v>0</v>
      </c>
      <c r="S60" s="92">
        <f>IF('01 Major Assumptions'!S$15=0,0,MIN(S57,MAX(0,S58-'01 Major Assumptions'!$D$132)))</f>
        <v>0</v>
      </c>
      <c r="T60" s="92">
        <f>IF('01 Major Assumptions'!T$15=0,0,MIN(T57,MAX(0,T58-'01 Major Assumptions'!$D$132)))</f>
        <v>0</v>
      </c>
      <c r="U60" s="92">
        <f>IF('01 Major Assumptions'!U$15=0,0,MIN(U57,MAX(0,U58-'01 Major Assumptions'!$D$132)))</f>
        <v>0</v>
      </c>
      <c r="V60" s="92">
        <f>IF('01 Major Assumptions'!V$15=0,0,MIN(V57,MAX(0,V58-'01 Major Assumptions'!$D$132)))</f>
        <v>0</v>
      </c>
      <c r="W60" s="92">
        <f>IF('01 Major Assumptions'!W$15=0,0,MIN(W57,MAX(0,W58-'01 Major Assumptions'!$D$132)))</f>
        <v>0</v>
      </c>
      <c r="X60" s="92">
        <f>IF('01 Major Assumptions'!X$15=0,0,MIN(X57,MAX(0,X58-'01 Major Assumptions'!$D$132)))</f>
        <v>0</v>
      </c>
      <c r="Y60" s="92">
        <f>IF('01 Major Assumptions'!Y$15=0,0,MIN(Y57,MAX(0,Y58-'01 Major Assumptions'!$D$132)))</f>
        <v>0</v>
      </c>
      <c r="Z60" s="92">
        <f>IF('01 Major Assumptions'!Z$15=0,0,MIN(Z57,MAX(0,Z58-'01 Major Assumptions'!$D$132)))</f>
        <v>0</v>
      </c>
      <c r="AA60" s="92">
        <f>IF('01 Major Assumptions'!AA$15=0,0,MIN(AA57,MAX(0,AA58-'01 Major Assumptions'!$D$132)))</f>
        <v>0</v>
      </c>
      <c r="AB60" s="92">
        <f>IF('01 Major Assumptions'!AB$15=0,0,MIN(AB57,MAX(0,AB58-'01 Major Assumptions'!$D$132)))</f>
        <v>0</v>
      </c>
      <c r="AC60" s="92">
        <f>IF('01 Major Assumptions'!AC$15=0,0,MIN(AC57,MAX(0,AC58-'01 Major Assumptions'!$D$132)))</f>
        <v>0</v>
      </c>
      <c r="AD60" s="92">
        <f>IF('01 Major Assumptions'!AD$15=0,0,MIN(AD57,MAX(0,AD58-'01 Major Assumptions'!$D$132)))</f>
        <v>0</v>
      </c>
      <c r="AE60" s="92">
        <f>IF('01 Major Assumptions'!AE$15=0,0,MIN(AE57,MAX(0,AE58-'01 Major Assumptions'!$D$132)))</f>
        <v>0</v>
      </c>
      <c r="AF60" s="92">
        <f>IF('01 Major Assumptions'!AF$15=0,0,MIN(AF57,MAX(0,AF58-'01 Major Assumptions'!$D$132)))</f>
        <v>0</v>
      </c>
      <c r="AG60" s="92">
        <f>IF('01 Major Assumptions'!AG$15=0,0,MIN(AG57,MAX(0,AG58-'01 Major Assumptions'!$D$132)))</f>
        <v>2308975.60821913</v>
      </c>
      <c r="AH60" s="92">
        <f>IF('01 Major Assumptions'!AH$15=0,0,MIN(AH57,MAX(0,AH58-'01 Major Assumptions'!$D$132)))</f>
        <v>0</v>
      </c>
      <c r="AI60" s="92">
        <f>IF('01 Major Assumptions'!AI$15=0,0,MIN(AI57,MAX(0,AI58-'01 Major Assumptions'!$D$132)))</f>
        <v>4968369.1172502451</v>
      </c>
      <c r="AJ60" s="92">
        <f>IF('01 Major Assumptions'!AJ$15=0,0,MIN(AJ57,MAX(0,AJ58-'01 Major Assumptions'!$D$132)))</f>
        <v>4003544.8588316105</v>
      </c>
      <c r="AK60" s="92">
        <f>IF('01 Major Assumptions'!AK$15=0,0,MIN(AK57,MAX(0,AK58-'01 Major Assumptions'!$D$132)))</f>
        <v>10275264.845243741</v>
      </c>
      <c r="AL60" s="92">
        <f>IF('01 Major Assumptions'!AL$15=0,0,MIN(AL57,MAX(0,AL58-'01 Major Assumptions'!$D$132)))</f>
        <v>10887593.983975433</v>
      </c>
      <c r="AM60" s="92">
        <f>IF('01 Major Assumptions'!AM$15=0,0,MIN(AM57,MAX(0,AM58-'01 Major Assumptions'!$D$132)))</f>
        <v>10974801.860321283</v>
      </c>
      <c r="AN60" s="92">
        <f>IF('01 Major Assumptions'!AN$15=0,0,MIN(AN57,MAX(0,AN58-'01 Major Assumptions'!$D$132)))</f>
        <v>9451165.3058625236</v>
      </c>
      <c r="AO60" s="92">
        <f>IF('01 Major Assumptions'!AO$15=0,0,MIN(AO57,MAX(0,AO58-'01 Major Assumptions'!$D$132)))</f>
        <v>9835519.4212610051</v>
      </c>
      <c r="AP60" s="92">
        <f>IF('01 Major Assumptions'!AP$15=0,0,MIN(AP57,MAX(0,AP58-'01 Major Assumptions'!$D$132)))</f>
        <v>15147210.322285868</v>
      </c>
      <c r="AQ60" s="92">
        <f>IF('01 Major Assumptions'!AQ$15=0,0,MIN(AQ57,MAX(0,AQ58-'01 Major Assumptions'!$D$132)))</f>
        <v>11264528.143990844</v>
      </c>
      <c r="AR60" s="92">
        <f>IF('01 Major Assumptions'!AR$15=0,0,MIN(AR57,MAX(0,AR58-'01 Major Assumptions'!$D$132)))</f>
        <v>4867858.182371363</v>
      </c>
      <c r="AS60" s="92">
        <f>IF('01 Major Assumptions'!AS$15=0,0,MIN(AS57,MAX(0,AS58-'01 Major Assumptions'!$D$132)))</f>
        <v>1092740.4105528295</v>
      </c>
      <c r="AT60" s="92">
        <f>IF('01 Major Assumptions'!AT$15=0,0,MIN(AT57,MAX(0,AT58-'01 Major Assumptions'!$D$132)))</f>
        <v>0</v>
      </c>
      <c r="AU60" s="92">
        <f>IF('01 Major Assumptions'!AU$15=0,0,MIN(AU57,MAX(0,AU58-'01 Major Assumptions'!$D$132)))</f>
        <v>0</v>
      </c>
      <c r="AV60" s="92">
        <f>IF('01 Major Assumptions'!AV$15=0,0,MIN(AV57,MAX(0,AV58-'01 Major Assumptions'!$D$132)))</f>
        <v>0</v>
      </c>
      <c r="AW60" s="92">
        <f>IF('01 Major Assumptions'!AW$15=0,0,MIN(AW57,MAX(0,AW58-'01 Major Assumptions'!$D$132)))</f>
        <v>0</v>
      </c>
      <c r="AX60" s="92">
        <f>IF('01 Major Assumptions'!AX$15=0,0,MIN(AX57,MAX(0,AX58-'01 Major Assumptions'!$D$132)))</f>
        <v>0</v>
      </c>
      <c r="AY60" s="92">
        <f ca="1">IF('01 Major Assumptions'!AY$15=0,0,MIN(AY57,MAX(0,AY58-'01 Major Assumptions'!$D$132)))</f>
        <v>0</v>
      </c>
      <c r="AZ60" s="92">
        <f ca="1">IF('01 Major Assumptions'!AZ$15=0,0,MIN(AZ57,MAX(0,AZ58-'01 Major Assumptions'!$D$132)))</f>
        <v>0</v>
      </c>
      <c r="BA60" s="92">
        <f ca="1">IF('01 Major Assumptions'!BA$15=0,0,MIN(BA57,MAX(0,BA58-'01 Major Assumptions'!$D$132)))</f>
        <v>0</v>
      </c>
      <c r="BB60" s="92">
        <f ca="1">IF('01 Major Assumptions'!BB$15=0,0,MIN(BB57,MAX(0,BB58-'01 Major Assumptions'!$D$132)))</f>
        <v>0</v>
      </c>
      <c r="BC60" s="92">
        <f ca="1">IF('01 Major Assumptions'!BC$15=0,0,MIN(BC57,MAX(0,BC58-'01 Major Assumptions'!$D$132)))</f>
        <v>0</v>
      </c>
      <c r="BD60" s="92">
        <f ca="1">IF('01 Major Assumptions'!BD$15=0,0,MIN(BD57,MAX(0,BD58-'01 Major Assumptions'!$D$132)))</f>
        <v>0</v>
      </c>
      <c r="BE60" s="92">
        <f ca="1">IF('01 Major Assumptions'!BE$15=0,0,MIN(BE57,MAX(0,BE58-'01 Major Assumptions'!$D$132)))</f>
        <v>0</v>
      </c>
      <c r="BF60" s="92">
        <f ca="1">IF('01 Major Assumptions'!BF$15=0,0,MIN(BF57,MAX(0,BF58-'01 Major Assumptions'!$D$132)))</f>
        <v>0</v>
      </c>
      <c r="BG60" s="92">
        <f ca="1">IF('01 Major Assumptions'!BG$15=0,0,MIN(BG57,MAX(0,BG58-'01 Major Assumptions'!$D$132)))</f>
        <v>0</v>
      </c>
      <c r="BH60" s="92">
        <f ca="1">IF('01 Major Assumptions'!BH$15=0,0,MIN(BH57,MAX(0,BH58-'01 Major Assumptions'!$D$132)))</f>
        <v>0</v>
      </c>
      <c r="BI60" s="92">
        <f ca="1">IF('01 Major Assumptions'!BI$15=0,0,MIN(BI57,MAX(0,BI58-'01 Major Assumptions'!$D$132)))</f>
        <v>0</v>
      </c>
      <c r="BJ60" s="92">
        <f ca="1">IF('01 Major Assumptions'!BJ$15=0,0,MIN(BJ57,MAX(0,BJ58-'01 Major Assumptions'!$D$132)))</f>
        <v>0</v>
      </c>
      <c r="BK60" s="92">
        <f ca="1">IF('01 Major Assumptions'!BK$15=0,0,MIN(BK57,MAX(0,BK58-'01 Major Assumptions'!$D$132)))</f>
        <v>0</v>
      </c>
      <c r="BL60" s="92">
        <f ca="1">IF('01 Major Assumptions'!BL$15=0,0,MIN(BL57,MAX(0,BL58-'01 Major Assumptions'!$D$132)))</f>
        <v>0</v>
      </c>
      <c r="BM60" s="92">
        <f ca="1">IF('01 Major Assumptions'!BM$15=0,0,MIN(BM57,MAX(0,BM58-'01 Major Assumptions'!$D$132)))</f>
        <v>0</v>
      </c>
      <c r="BN60" s="92">
        <f ca="1">IF('01 Major Assumptions'!BN$15=0,0,MIN(BN57,MAX(0,BN58-'01 Major Assumptions'!$D$132)))</f>
        <v>0</v>
      </c>
      <c r="BO60" s="92">
        <f ca="1">IF('01 Major Assumptions'!BO$15=0,0,MIN(BO57,MAX(0,BO58-'01 Major Assumptions'!$D$132)))</f>
        <v>0</v>
      </c>
    </row>
    <row r="61" spans="1:67">
      <c r="A61" s="32"/>
      <c r="B61" s="32"/>
      <c r="C61" s="32" t="s">
        <v>18</v>
      </c>
      <c r="D61" s="14"/>
      <c r="E61" s="14"/>
      <c r="F61" s="14"/>
      <c r="G61" s="92">
        <f>G57+G59-G60</f>
        <v>0</v>
      </c>
      <c r="H61" s="92">
        <f>H57+H59-H60</f>
        <v>0</v>
      </c>
      <c r="I61" s="92">
        <f t="shared" ref="I61:BO61" si="56">I57+I59-I60</f>
        <v>0</v>
      </c>
      <c r="J61" s="92">
        <f t="shared" si="56"/>
        <v>0</v>
      </c>
      <c r="K61" s="92">
        <f t="shared" si="56"/>
        <v>0</v>
      </c>
      <c r="L61" s="92">
        <f t="shared" si="56"/>
        <v>0</v>
      </c>
      <c r="M61" s="92">
        <f t="shared" si="56"/>
        <v>0</v>
      </c>
      <c r="N61" s="92">
        <f t="shared" si="56"/>
        <v>0</v>
      </c>
      <c r="O61" s="92">
        <f t="shared" si="56"/>
        <v>0</v>
      </c>
      <c r="P61" s="92">
        <f t="shared" si="56"/>
        <v>0</v>
      </c>
      <c r="Q61" s="92">
        <f t="shared" si="56"/>
        <v>0</v>
      </c>
      <c r="R61" s="92">
        <f t="shared" si="56"/>
        <v>0</v>
      </c>
      <c r="S61" s="92">
        <f t="shared" si="56"/>
        <v>0</v>
      </c>
      <c r="T61" s="92">
        <f t="shared" si="56"/>
        <v>0</v>
      </c>
      <c r="U61" s="92">
        <f t="shared" si="56"/>
        <v>0</v>
      </c>
      <c r="V61" s="92">
        <f t="shared" si="56"/>
        <v>0</v>
      </c>
      <c r="W61" s="92">
        <f t="shared" si="56"/>
        <v>0</v>
      </c>
      <c r="X61" s="92">
        <f t="shared" si="56"/>
        <v>0</v>
      </c>
      <c r="Y61" s="92">
        <f t="shared" si="56"/>
        <v>0</v>
      </c>
      <c r="Z61" s="92">
        <f t="shared" si="56"/>
        <v>0</v>
      </c>
      <c r="AA61" s="92">
        <f t="shared" si="56"/>
        <v>0</v>
      </c>
      <c r="AB61" s="92">
        <f t="shared" si="56"/>
        <v>48458504.085170314</v>
      </c>
      <c r="AC61" s="92">
        <f t="shared" si="56"/>
        <v>69411854.100588009</v>
      </c>
      <c r="AD61" s="92">
        <f t="shared" si="56"/>
        <v>78173350.542747408</v>
      </c>
      <c r="AE61" s="92">
        <f t="shared" si="56"/>
        <v>86038339.049907669</v>
      </c>
      <c r="AF61" s="92">
        <f t="shared" si="56"/>
        <v>94471529.452439159</v>
      </c>
      <c r="AG61" s="92">
        <f t="shared" si="56"/>
        <v>92162553.844220027</v>
      </c>
      <c r="AH61" s="92">
        <f t="shared" si="56"/>
        <v>92768596.45194675</v>
      </c>
      <c r="AI61" s="92">
        <f t="shared" si="56"/>
        <v>87800227.334696501</v>
      </c>
      <c r="AJ61" s="92">
        <f t="shared" si="56"/>
        <v>83796682.475864887</v>
      </c>
      <c r="AK61" s="92">
        <f t="shared" si="56"/>
        <v>73521417.63062115</v>
      </c>
      <c r="AL61" s="92">
        <f t="shared" si="56"/>
        <v>62633823.646645717</v>
      </c>
      <c r="AM61" s="92">
        <f t="shared" si="56"/>
        <v>51659021.786324434</v>
      </c>
      <c r="AN61" s="92">
        <f t="shared" si="56"/>
        <v>42207856.48046191</v>
      </c>
      <c r="AO61" s="92">
        <f t="shared" si="56"/>
        <v>32372337.059200905</v>
      </c>
      <c r="AP61" s="92">
        <f t="shared" si="56"/>
        <v>17225126.736915037</v>
      </c>
      <c r="AQ61" s="92">
        <f t="shared" si="56"/>
        <v>5960598.5929241925</v>
      </c>
      <c r="AR61" s="92">
        <f t="shared" si="56"/>
        <v>1092740.4105528295</v>
      </c>
      <c r="AS61" s="92">
        <f t="shared" si="56"/>
        <v>0</v>
      </c>
      <c r="AT61" s="92">
        <f t="shared" si="56"/>
        <v>0</v>
      </c>
      <c r="AU61" s="92">
        <f t="shared" si="56"/>
        <v>0</v>
      </c>
      <c r="AV61" s="92">
        <f t="shared" si="56"/>
        <v>0</v>
      </c>
      <c r="AW61" s="92">
        <f t="shared" si="56"/>
        <v>0</v>
      </c>
      <c r="AX61" s="92">
        <f t="shared" si="56"/>
        <v>0</v>
      </c>
      <c r="AY61" s="92">
        <f t="shared" ca="1" si="56"/>
        <v>0</v>
      </c>
      <c r="AZ61" s="92">
        <f t="shared" ca="1" si="56"/>
        <v>0</v>
      </c>
      <c r="BA61" s="92">
        <f t="shared" ca="1" si="56"/>
        <v>0</v>
      </c>
      <c r="BB61" s="92">
        <f t="shared" ca="1" si="56"/>
        <v>0</v>
      </c>
      <c r="BC61" s="92">
        <f t="shared" ca="1" si="56"/>
        <v>0</v>
      </c>
      <c r="BD61" s="92">
        <f t="shared" ca="1" si="56"/>
        <v>0</v>
      </c>
      <c r="BE61" s="92">
        <f t="shared" ca="1" si="56"/>
        <v>0</v>
      </c>
      <c r="BF61" s="92">
        <f t="shared" ca="1" si="56"/>
        <v>0</v>
      </c>
      <c r="BG61" s="92">
        <f t="shared" ca="1" si="56"/>
        <v>0</v>
      </c>
      <c r="BH61" s="92">
        <f t="shared" ca="1" si="56"/>
        <v>0</v>
      </c>
      <c r="BI61" s="92">
        <f t="shared" ca="1" si="56"/>
        <v>0</v>
      </c>
      <c r="BJ61" s="92">
        <f t="shared" ca="1" si="56"/>
        <v>0</v>
      </c>
      <c r="BK61" s="92">
        <f t="shared" ca="1" si="56"/>
        <v>0</v>
      </c>
      <c r="BL61" s="92">
        <f t="shared" ca="1" si="56"/>
        <v>0</v>
      </c>
      <c r="BM61" s="92">
        <f t="shared" ca="1" si="56"/>
        <v>0</v>
      </c>
      <c r="BN61" s="92">
        <f t="shared" ca="1" si="56"/>
        <v>0</v>
      </c>
      <c r="BO61" s="92">
        <f t="shared" ca="1" si="56"/>
        <v>0</v>
      </c>
    </row>
    <row r="62" spans="1:67">
      <c r="A62" s="32"/>
      <c r="B62" s="32"/>
      <c r="C62" s="32" t="s">
        <v>1783</v>
      </c>
      <c r="D62" s="14"/>
      <c r="E62" s="14"/>
      <c r="F62" s="14"/>
      <c r="G62" s="92">
        <f>G57*'01 Major Assumptions'!$D$136*'01 Major Assumptions'!G$14/12</f>
        <v>0</v>
      </c>
      <c r="H62" s="92">
        <f>H57*'01 Major Assumptions'!$D$136*'01 Major Assumptions'!H$14/12</f>
        <v>0</v>
      </c>
      <c r="I62" s="92">
        <f>I57*'01 Major Assumptions'!$D$136*'01 Major Assumptions'!I$14/12</f>
        <v>0</v>
      </c>
      <c r="J62" s="92">
        <f>J57*'01 Major Assumptions'!$D$136*'01 Major Assumptions'!J$14/12</f>
        <v>0</v>
      </c>
      <c r="K62" s="92">
        <f>K57*'01 Major Assumptions'!$D$136*'01 Major Assumptions'!K$14/12</f>
        <v>0</v>
      </c>
      <c r="L62" s="92">
        <f>L57*'01 Major Assumptions'!$D$136*'01 Major Assumptions'!L$14/12</f>
        <v>0</v>
      </c>
      <c r="M62" s="92">
        <f>M57*'01 Major Assumptions'!$D$136*'01 Major Assumptions'!M$14/12</f>
        <v>0</v>
      </c>
      <c r="N62" s="92">
        <f>N57*'01 Major Assumptions'!$D$136*'01 Major Assumptions'!N$14/12</f>
        <v>0</v>
      </c>
      <c r="O62" s="92">
        <f>O57*'01 Major Assumptions'!$D$136*'01 Major Assumptions'!O$14/12</f>
        <v>0</v>
      </c>
      <c r="P62" s="92">
        <f>P57*'01 Major Assumptions'!$D$136*'01 Major Assumptions'!P$14/12</f>
        <v>0</v>
      </c>
      <c r="Q62" s="92">
        <f>Q57*'01 Major Assumptions'!$D$136*'01 Major Assumptions'!Q$14/12</f>
        <v>0</v>
      </c>
      <c r="R62" s="92">
        <f>R57*'01 Major Assumptions'!$D$136*'01 Major Assumptions'!R$14/12</f>
        <v>0</v>
      </c>
      <c r="S62" s="92">
        <f>S57*'01 Major Assumptions'!$D$136*'01 Major Assumptions'!S$14/12</f>
        <v>0</v>
      </c>
      <c r="T62" s="92">
        <f>T57*'01 Major Assumptions'!$D$136*'01 Major Assumptions'!T$14/12</f>
        <v>0</v>
      </c>
      <c r="U62" s="92">
        <f>U57*'01 Major Assumptions'!$D$136*'01 Major Assumptions'!U$14/12</f>
        <v>0</v>
      </c>
      <c r="V62" s="92">
        <f>V57*'01 Major Assumptions'!$D$136*'01 Major Assumptions'!V$14/12</f>
        <v>0</v>
      </c>
      <c r="W62" s="92">
        <f>W57*'01 Major Assumptions'!$D$136*'01 Major Assumptions'!W$14/12</f>
        <v>0</v>
      </c>
      <c r="X62" s="92">
        <f>X57*'01 Major Assumptions'!$D$136*'01 Major Assumptions'!X$14/12</f>
        <v>0</v>
      </c>
      <c r="Y62" s="92">
        <f>Y57*'01 Major Assumptions'!$D$136*'01 Major Assumptions'!Y$14/12</f>
        <v>0</v>
      </c>
      <c r="Z62" s="92">
        <f>Z57*'01 Major Assumptions'!$D$136*'01 Major Assumptions'!Z$14/12</f>
        <v>0</v>
      </c>
      <c r="AA62" s="92">
        <f>AA57*'01 Major Assumptions'!$D$136*'01 Major Assumptions'!AA$14/12</f>
        <v>0</v>
      </c>
      <c r="AB62" s="92">
        <f>AB57*'01 Major Assumptions'!$D$136*'01 Major Assumptions'!AB$14/12</f>
        <v>0</v>
      </c>
      <c r="AC62" s="92">
        <f>AC57*'01 Major Assumptions'!$D$136*'01 Major Assumptions'!AC$14/12</f>
        <v>282674.60716349352</v>
      </c>
      <c r="AD62" s="92">
        <f>AD57*'01 Major Assumptions'!$D$136*'01 Major Assumptions'!AD$14/12</f>
        <v>404902.48225343012</v>
      </c>
      <c r="AE62" s="92">
        <f>AE57*'01 Major Assumptions'!$D$136*'01 Major Assumptions'!AE$14/12</f>
        <v>456011.21149935992</v>
      </c>
      <c r="AF62" s="92">
        <f>AF57*'01 Major Assumptions'!$D$136*'01 Major Assumptions'!AF$14/12</f>
        <v>501890.31112446147</v>
      </c>
      <c r="AG62" s="92">
        <f>AG57*'01 Major Assumptions'!$D$136*'01 Major Assumptions'!AG$14/12</f>
        <v>551083.92180589517</v>
      </c>
      <c r="AH62" s="92">
        <f>AH57*'01 Major Assumptions'!$D$136*'01 Major Assumptions'!AH$14/12</f>
        <v>537614.89742461685</v>
      </c>
      <c r="AI62" s="92">
        <f>AI57*'01 Major Assumptions'!$D$136*'01 Major Assumptions'!AI$14/12</f>
        <v>541150.14596968947</v>
      </c>
      <c r="AJ62" s="92">
        <f>AJ57*'01 Major Assumptions'!$D$136*'01 Major Assumptions'!AJ$14/12</f>
        <v>512167.99278572964</v>
      </c>
      <c r="AK62" s="92">
        <f>AK57*'01 Major Assumptions'!$D$136*'01 Major Assumptions'!AK$14/12</f>
        <v>488813.98110921192</v>
      </c>
      <c r="AL62" s="92">
        <f>AL57*'01 Major Assumptions'!$D$136*'01 Major Assumptions'!AL$14/12</f>
        <v>428874.93617862341</v>
      </c>
      <c r="AM62" s="92">
        <f>AM57*'01 Major Assumptions'!$D$136*'01 Major Assumptions'!AM$14/12</f>
        <v>365363.97127210005</v>
      </c>
      <c r="AN62" s="92">
        <f>AN57*'01 Major Assumptions'!$D$136*'01 Major Assumptions'!AN$14/12</f>
        <v>301344.29375355924</v>
      </c>
      <c r="AO62" s="92">
        <f>AO57*'01 Major Assumptions'!$D$136*'01 Major Assumptions'!AO$14/12</f>
        <v>246212.49613602782</v>
      </c>
      <c r="AP62" s="92">
        <f>AP57*'01 Major Assumptions'!$D$136*'01 Major Assumptions'!AP$14/12</f>
        <v>188838.63284533864</v>
      </c>
      <c r="AQ62" s="92">
        <f>AQ57*'01 Major Assumptions'!$D$136*'01 Major Assumptions'!AQ$14/12</f>
        <v>100479.90596533772</v>
      </c>
      <c r="AR62" s="92">
        <f>AR57*'01 Major Assumptions'!$D$136*'01 Major Assumptions'!AR$14/12</f>
        <v>34770.158458724458</v>
      </c>
      <c r="AS62" s="92">
        <f>AS57*'01 Major Assumptions'!$D$136*'01 Major Assumptions'!AS$14/12</f>
        <v>6374.3190615581725</v>
      </c>
      <c r="AT62" s="92">
        <f>AT57*'01 Major Assumptions'!$D$136*'01 Major Assumptions'!AT$14/12</f>
        <v>0</v>
      </c>
      <c r="AU62" s="92">
        <f>AU57*'01 Major Assumptions'!$D$136*'01 Major Assumptions'!AU$14/12</f>
        <v>0</v>
      </c>
      <c r="AV62" s="92">
        <f>AV57*'01 Major Assumptions'!$D$136*'01 Major Assumptions'!AV$14/12</f>
        <v>0</v>
      </c>
      <c r="AW62" s="92">
        <f>AW57*'01 Major Assumptions'!$D$136*'01 Major Assumptions'!AW$14/12</f>
        <v>0</v>
      </c>
      <c r="AX62" s="92">
        <f>AX57*'01 Major Assumptions'!$D$136*'01 Major Assumptions'!AX$14/12</f>
        <v>0</v>
      </c>
      <c r="AY62" s="92">
        <f>AY57*'01 Major Assumptions'!$D$136*'01 Major Assumptions'!AY$14/12</f>
        <v>0</v>
      </c>
      <c r="AZ62" s="92">
        <f ca="1">AZ57*'01 Major Assumptions'!$D$136*'01 Major Assumptions'!AZ$14/12</f>
        <v>0</v>
      </c>
      <c r="BA62" s="92">
        <f ca="1">BA57*'01 Major Assumptions'!$D$136*'01 Major Assumptions'!BA$14/12</f>
        <v>0</v>
      </c>
      <c r="BB62" s="92">
        <f ca="1">BB57*'01 Major Assumptions'!$D$136*'01 Major Assumptions'!BB$14/12</f>
        <v>0</v>
      </c>
      <c r="BC62" s="92">
        <f ca="1">BC57*'01 Major Assumptions'!$D$136*'01 Major Assumptions'!BC$14/12</f>
        <v>0</v>
      </c>
      <c r="BD62" s="92">
        <f ca="1">BD57*'01 Major Assumptions'!$D$136*'01 Major Assumptions'!BD$14/12</f>
        <v>0</v>
      </c>
      <c r="BE62" s="92">
        <f ca="1">BE57*'01 Major Assumptions'!$D$136*'01 Major Assumptions'!BE$14/12</f>
        <v>0</v>
      </c>
      <c r="BF62" s="92">
        <f ca="1">BF57*'01 Major Assumptions'!$D$136*'01 Major Assumptions'!BF$14/12</f>
        <v>0</v>
      </c>
      <c r="BG62" s="92">
        <f ca="1">BG57*'01 Major Assumptions'!$D$136*'01 Major Assumptions'!BG$14/12</f>
        <v>0</v>
      </c>
      <c r="BH62" s="92">
        <f ca="1">BH57*'01 Major Assumptions'!$D$136*'01 Major Assumptions'!BH$14/12</f>
        <v>0</v>
      </c>
      <c r="BI62" s="92">
        <f ca="1">BI57*'01 Major Assumptions'!$D$136*'01 Major Assumptions'!BI$14/12</f>
        <v>0</v>
      </c>
      <c r="BJ62" s="92">
        <f ca="1">BJ57*'01 Major Assumptions'!$D$136*'01 Major Assumptions'!BJ$14/12</f>
        <v>0</v>
      </c>
      <c r="BK62" s="92">
        <f ca="1">BK57*'01 Major Assumptions'!$D$136*'01 Major Assumptions'!BK$14/12</f>
        <v>0</v>
      </c>
      <c r="BL62" s="92">
        <f ca="1">BL57*'01 Major Assumptions'!$D$136*'01 Major Assumptions'!BL$14/12</f>
        <v>0</v>
      </c>
      <c r="BM62" s="92">
        <f ca="1">BM57*'01 Major Assumptions'!$D$136*'01 Major Assumptions'!BM$14/12</f>
        <v>0</v>
      </c>
      <c r="BN62" s="92">
        <f ca="1">BN57*'01 Major Assumptions'!$D$136*'01 Major Assumptions'!BN$14/12</f>
        <v>0</v>
      </c>
      <c r="BO62" s="92">
        <f ca="1">BO57*'01 Major Assumptions'!$D$136*'01 Major Assumptions'!BO$14/12</f>
        <v>0</v>
      </c>
    </row>
    <row r="63" spans="1:67">
      <c r="E63" s="48"/>
      <c r="F63" s="48"/>
    </row>
    <row r="64" spans="1:67">
      <c r="E64" s="48"/>
      <c r="F64" s="48"/>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7AEA84-EC1F-4B48-A245-2373B3DB776C}">
  <sheetPr>
    <tabColor rgb="FFFFE5B4"/>
  </sheetPr>
  <dimension ref="A1:BO39"/>
  <sheetViews>
    <sheetView workbookViewId="0">
      <pane xSplit="6" ySplit="6" topLeftCell="G7" activePane="bottomRight" state="frozen"/>
      <selection pane="topRight" activeCell="G1" sqref="G1"/>
      <selection pane="bottomLeft" activeCell="A7" sqref="A7"/>
      <selection pane="bottomRight" activeCell="M43" sqref="M43"/>
    </sheetView>
  </sheetViews>
  <sheetFormatPr baseColWidth="10" defaultRowHeight="15"/>
  <cols>
    <col min="1" max="2" width="3.83203125" style="9" customWidth="1"/>
    <col min="3" max="3" width="33.33203125" style="9" customWidth="1"/>
    <col min="4" max="6" width="12.83203125" style="42" customWidth="1"/>
    <col min="7" max="61" width="14" style="42" customWidth="1"/>
    <col min="62" max="67" width="14" style="34" customWidth="1"/>
  </cols>
  <sheetData>
    <row r="1" spans="1:67" ht="18">
      <c r="A1" s="21" t="s">
        <v>1678</v>
      </c>
      <c r="B1" s="11"/>
      <c r="C1" s="11"/>
      <c r="D1" s="33"/>
      <c r="E1" s="33"/>
      <c r="F1" s="33"/>
      <c r="G1" s="33"/>
      <c r="H1" s="33"/>
      <c r="I1" s="33"/>
      <c r="J1" s="33"/>
      <c r="K1" s="33"/>
      <c r="L1" s="33"/>
      <c r="M1" s="33"/>
      <c r="N1" s="33"/>
      <c r="O1" s="33"/>
      <c r="P1" s="33"/>
      <c r="Q1" s="33"/>
      <c r="R1" s="33"/>
      <c r="S1" s="33"/>
      <c r="T1" s="33"/>
      <c r="U1" s="33"/>
      <c r="V1" s="33"/>
      <c r="W1" s="33"/>
      <c r="X1" s="33"/>
      <c r="Y1" s="33"/>
      <c r="Z1" s="33"/>
      <c r="AA1" s="33"/>
      <c r="AB1" s="33"/>
      <c r="AC1" s="33"/>
      <c r="AD1" s="33"/>
      <c r="AE1" s="33"/>
      <c r="AF1" s="33"/>
      <c r="AG1" s="33"/>
      <c r="AH1" s="33"/>
      <c r="AI1" s="33"/>
      <c r="AJ1" s="33"/>
      <c r="AK1" s="33"/>
      <c r="AL1" s="33"/>
      <c r="AM1" s="33"/>
      <c r="AN1" s="33"/>
      <c r="AO1" s="33"/>
      <c r="AP1" s="33"/>
      <c r="AQ1" s="33"/>
      <c r="AR1" s="33"/>
      <c r="AS1" s="33"/>
      <c r="AT1" s="33"/>
      <c r="AU1" s="33"/>
      <c r="AV1" s="33"/>
      <c r="AW1" s="33"/>
      <c r="AX1" s="33"/>
      <c r="AY1" s="33"/>
      <c r="AZ1" s="33"/>
      <c r="BA1" s="33"/>
      <c r="BB1" s="33"/>
      <c r="BC1" s="33"/>
      <c r="BD1" s="33"/>
      <c r="BE1" s="33"/>
      <c r="BF1" s="33"/>
      <c r="BG1" s="33"/>
      <c r="BH1" s="33"/>
      <c r="BI1" s="33"/>
      <c r="BJ1" s="33"/>
      <c r="BK1" s="33"/>
      <c r="BL1" s="33"/>
      <c r="BM1" s="33"/>
      <c r="BN1" s="33"/>
      <c r="BO1" s="33"/>
    </row>
    <row r="2" spans="1:67" ht="16">
      <c r="A2" s="12" t="s">
        <v>1646</v>
      </c>
      <c r="B2" s="11"/>
      <c r="C2" s="11"/>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row>
    <row r="3" spans="1:67">
      <c r="A3" s="13" t="s">
        <v>484</v>
      </c>
      <c r="B3" s="11"/>
      <c r="C3" s="11"/>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row>
    <row r="4" spans="1:67">
      <c r="A4" s="11"/>
      <c r="B4" s="11"/>
      <c r="C4" s="11"/>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row>
    <row r="5" spans="1:67">
      <c r="A5" s="11"/>
      <c r="B5" s="22" t="s">
        <v>213</v>
      </c>
      <c r="C5" s="11"/>
      <c r="D5" s="33"/>
      <c r="E5" s="33"/>
      <c r="F5" s="33"/>
      <c r="G5" s="23" t="str">
        <f>'01 Major Assumptions'!G$12</f>
        <v>Jan-27</v>
      </c>
      <c r="H5" s="23" t="str">
        <f>'01 Major Assumptions'!H$12</f>
        <v>Feb-27</v>
      </c>
      <c r="I5" s="23" t="str">
        <f>'01 Major Assumptions'!I$12</f>
        <v>Mar-27</v>
      </c>
      <c r="J5" s="23" t="str">
        <f>'01 Major Assumptions'!J$12</f>
        <v>Apr-27</v>
      </c>
      <c r="K5" s="23" t="str">
        <f>'01 Major Assumptions'!K$12</f>
        <v>May-27</v>
      </c>
      <c r="L5" s="23" t="str">
        <f>'01 Major Assumptions'!L$12</f>
        <v>Jun-27</v>
      </c>
      <c r="M5" s="23" t="str">
        <f>'01 Major Assumptions'!M$12</f>
        <v>Jul-27</v>
      </c>
      <c r="N5" s="23" t="str">
        <f>'01 Major Assumptions'!N$12</f>
        <v>Aug-27</v>
      </c>
      <c r="O5" s="23" t="str">
        <f>'01 Major Assumptions'!O$12</f>
        <v>Sep-27</v>
      </c>
      <c r="P5" s="23" t="str">
        <f>'01 Major Assumptions'!P$12</f>
        <v>Oct-27</v>
      </c>
      <c r="Q5" s="23" t="str">
        <f>'01 Major Assumptions'!Q$12</f>
        <v>Nov-27</v>
      </c>
      <c r="R5" s="23" t="str">
        <f>'01 Major Assumptions'!R$12</f>
        <v>Dec-27</v>
      </c>
      <c r="S5" s="23" t="str">
        <f>'01 Major Assumptions'!S$12</f>
        <v>Jan-28</v>
      </c>
      <c r="T5" s="23" t="str">
        <f>'01 Major Assumptions'!T$12</f>
        <v>Feb-28</v>
      </c>
      <c r="U5" s="23" t="str">
        <f>'01 Major Assumptions'!U$12</f>
        <v>Mar-28</v>
      </c>
      <c r="V5" s="23" t="str">
        <f>'01 Major Assumptions'!V$12</f>
        <v>Apr-28</v>
      </c>
      <c r="W5" s="23" t="str">
        <f>'01 Major Assumptions'!W$12</f>
        <v>May-28</v>
      </c>
      <c r="X5" s="23" t="str">
        <f>'01 Major Assumptions'!X$12</f>
        <v>Jun-28</v>
      </c>
      <c r="Y5" s="23" t="str">
        <f>'01 Major Assumptions'!Y$12</f>
        <v>Jul-28</v>
      </c>
      <c r="Z5" s="23" t="str">
        <f>'01 Major Assumptions'!Z$12</f>
        <v>Aug-28</v>
      </c>
      <c r="AA5" s="23" t="str">
        <f>'01 Major Assumptions'!AA$12</f>
        <v>Sep-28</v>
      </c>
      <c r="AB5" s="23" t="str">
        <f>'01 Major Assumptions'!AB$12</f>
        <v>Oct-28</v>
      </c>
      <c r="AC5" s="23" t="str">
        <f>'01 Major Assumptions'!AC$12</f>
        <v>Nov-28</v>
      </c>
      <c r="AD5" s="23" t="str">
        <f>'01 Major Assumptions'!AD$12</f>
        <v>Dec-28</v>
      </c>
      <c r="AE5" s="23" t="str">
        <f>'01 Major Assumptions'!AE$12</f>
        <v>Jan-29</v>
      </c>
      <c r="AF5" s="23" t="str">
        <f>'01 Major Assumptions'!AF$12</f>
        <v>Feb-29</v>
      </c>
      <c r="AG5" s="23" t="str">
        <f>'01 Major Assumptions'!AG$12</f>
        <v>Mar-29</v>
      </c>
      <c r="AH5" s="23" t="str">
        <f>'01 Major Assumptions'!AH$12</f>
        <v>Apr-29</v>
      </c>
      <c r="AI5" s="23" t="str">
        <f>'01 Major Assumptions'!AI$12</f>
        <v>May-29</v>
      </c>
      <c r="AJ5" s="23" t="str">
        <f>'01 Major Assumptions'!AJ$12</f>
        <v>Jun-29</v>
      </c>
      <c r="AK5" s="23" t="str">
        <f>'01 Major Assumptions'!AK$12</f>
        <v>Jul-29</v>
      </c>
      <c r="AL5" s="23" t="str">
        <f>'01 Major Assumptions'!AL$12</f>
        <v>Aug-29</v>
      </c>
      <c r="AM5" s="23" t="str">
        <f>'01 Major Assumptions'!AM$12</f>
        <v>Sep-29</v>
      </c>
      <c r="AN5" s="23" t="str">
        <f>'01 Major Assumptions'!AN$12</f>
        <v>Oct-29</v>
      </c>
      <c r="AO5" s="23" t="str">
        <f>'01 Major Assumptions'!AO$12</f>
        <v>Nov-29</v>
      </c>
      <c r="AP5" s="23" t="str">
        <f>'01 Major Assumptions'!AP$12</f>
        <v>Dec-29</v>
      </c>
      <c r="AQ5" s="23" t="str">
        <f>'01 Major Assumptions'!AQ$12</f>
        <v>Jan-30</v>
      </c>
      <c r="AR5" s="23" t="str">
        <f>'01 Major Assumptions'!AR$12</f>
        <v>Feb-30</v>
      </c>
      <c r="AS5" s="23" t="str">
        <f>'01 Major Assumptions'!AS$12</f>
        <v>Mar-30</v>
      </c>
      <c r="AT5" s="23" t="str">
        <f>'01 Major Assumptions'!AT$12</f>
        <v>Apr-30</v>
      </c>
      <c r="AU5" s="23" t="str">
        <f>'01 Major Assumptions'!AU$12</f>
        <v>May-30</v>
      </c>
      <c r="AV5" s="23" t="str">
        <f>'01 Major Assumptions'!AV$12</f>
        <v>Jun-30</v>
      </c>
      <c r="AW5" s="23" t="str">
        <f>'01 Major Assumptions'!AW$12</f>
        <v>Jul-30</v>
      </c>
      <c r="AX5" s="23" t="str">
        <f>'01 Major Assumptions'!AX$12</f>
        <v>Aug-30</v>
      </c>
      <c r="AY5" s="23" t="str">
        <f>'01 Major Assumptions'!AY$12</f>
        <v>Sep-30</v>
      </c>
      <c r="AZ5" s="23" t="str">
        <f>'01 Major Assumptions'!AZ$12</f>
        <v>Oct-30</v>
      </c>
      <c r="BA5" s="23" t="str">
        <f>'01 Major Assumptions'!BA$12</f>
        <v>Nov-30</v>
      </c>
      <c r="BB5" s="23" t="str">
        <f>'01 Major Assumptions'!BB$12</f>
        <v>Dec-30</v>
      </c>
      <c r="BC5" s="23" t="str">
        <f>'01 Major Assumptions'!BC$12</f>
        <v>Jan-31</v>
      </c>
      <c r="BD5" s="23" t="str">
        <f>'01 Major Assumptions'!BD$12</f>
        <v>Feb-31</v>
      </c>
      <c r="BE5" s="23" t="str">
        <f>'01 Major Assumptions'!BE$12</f>
        <v>Mar-31</v>
      </c>
      <c r="BF5" s="23" t="str">
        <f>'01 Major Assumptions'!BF$12</f>
        <v>Apr-31</v>
      </c>
      <c r="BG5" s="23" t="str">
        <f>'01 Major Assumptions'!BG$12</f>
        <v>May-31</v>
      </c>
      <c r="BH5" s="23" t="str">
        <f>'01 Major Assumptions'!BH$12</f>
        <v>Jun-31</v>
      </c>
      <c r="BI5" s="23" t="str">
        <f>'01 Major Assumptions'!BI$12</f>
        <v>FY2032</v>
      </c>
      <c r="BJ5" s="23" t="str">
        <f>'01 Major Assumptions'!BJ$12</f>
        <v>FY2033</v>
      </c>
      <c r="BK5" s="23" t="str">
        <f>'01 Major Assumptions'!BK$12</f>
        <v>FY2034</v>
      </c>
      <c r="BL5" s="23" t="str">
        <f>'01 Major Assumptions'!BL$12</f>
        <v>FY2035</v>
      </c>
      <c r="BM5" s="23" t="str">
        <f>'01 Major Assumptions'!BM$12</f>
        <v>FY2036</v>
      </c>
      <c r="BN5" s="23" t="str">
        <f>'01 Major Assumptions'!BN$12</f>
        <v>FY2037</v>
      </c>
      <c r="BO5" s="23" t="str">
        <f>'01 Major Assumptions'!BO$12</f>
        <v>FY2038</v>
      </c>
    </row>
    <row r="6" spans="1:67">
      <c r="A6" s="11"/>
      <c r="B6" s="11"/>
      <c r="C6" s="11"/>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row>
    <row r="7" spans="1:67">
      <c r="A7" s="18" t="s">
        <v>485</v>
      </c>
      <c r="B7" s="18"/>
      <c r="C7" s="18"/>
      <c r="D7" s="39"/>
      <c r="E7" s="39"/>
      <c r="F7" s="39"/>
      <c r="G7" s="39"/>
      <c r="H7" s="39"/>
      <c r="I7" s="39"/>
      <c r="J7" s="39"/>
      <c r="K7" s="39"/>
      <c r="L7" s="39"/>
      <c r="M7" s="39"/>
      <c r="N7" s="39"/>
      <c r="O7" s="39"/>
      <c r="P7" s="39"/>
      <c r="Q7" s="39"/>
      <c r="R7" s="39"/>
      <c r="S7" s="39"/>
      <c r="T7" s="39"/>
      <c r="U7" s="39"/>
      <c r="V7" s="39"/>
      <c r="W7" s="39"/>
      <c r="X7" s="39"/>
      <c r="Y7" s="39"/>
      <c r="Z7" s="39"/>
      <c r="AA7" s="39"/>
      <c r="AB7" s="39"/>
      <c r="AC7" s="39"/>
      <c r="AD7" s="39"/>
      <c r="AE7" s="39"/>
      <c r="AF7" s="39"/>
      <c r="AG7" s="39"/>
      <c r="AH7" s="39"/>
      <c r="AI7" s="39"/>
      <c r="AJ7" s="39"/>
      <c r="AK7" s="39"/>
      <c r="AL7" s="39"/>
      <c r="AM7" s="39"/>
      <c r="AN7" s="39"/>
      <c r="AO7" s="39"/>
      <c r="AP7" s="39"/>
      <c r="AQ7" s="39"/>
      <c r="AR7" s="39"/>
      <c r="AS7" s="39"/>
      <c r="AT7" s="39"/>
      <c r="AU7" s="39"/>
      <c r="AV7" s="39"/>
      <c r="AW7" s="39"/>
      <c r="AX7" s="39"/>
      <c r="AY7" s="39"/>
      <c r="AZ7" s="39"/>
      <c r="BA7" s="39"/>
      <c r="BB7" s="39"/>
      <c r="BC7" s="39"/>
      <c r="BD7" s="39"/>
      <c r="BE7" s="39"/>
      <c r="BF7" s="39"/>
      <c r="BG7" s="39"/>
      <c r="BH7" s="39"/>
      <c r="BI7" s="39"/>
      <c r="BJ7" s="39"/>
      <c r="BK7" s="39"/>
      <c r="BL7" s="39"/>
      <c r="BM7" s="39"/>
      <c r="BN7" s="39"/>
      <c r="BO7" s="39"/>
    </row>
    <row r="8" spans="1:67">
      <c r="A8" s="11"/>
      <c r="B8" s="11"/>
      <c r="C8" s="11" t="s">
        <v>486</v>
      </c>
      <c r="D8" s="33"/>
      <c r="E8" s="33"/>
      <c r="F8" s="33"/>
      <c r="G8" s="90">
        <f>IF(OR('01 Major Assumptions'!G$14=12,AND('01 Major Assumptions'!G$15=1,MOD('01 Major Assumptions'!G$16,12)=0)),1,0)</f>
        <v>0</v>
      </c>
      <c r="H8" s="90">
        <f>IF(OR('01 Major Assumptions'!H$14=12,AND('01 Major Assumptions'!H$15=1,MOD('01 Major Assumptions'!H$16,12)=0)),1,0)</f>
        <v>0</v>
      </c>
      <c r="I8" s="90">
        <f>IF(OR('01 Major Assumptions'!I$14=12,AND('01 Major Assumptions'!I$15=1,MOD('01 Major Assumptions'!I$16,12)=0)),1,0)</f>
        <v>0</v>
      </c>
      <c r="J8" s="90">
        <f>IF(OR('01 Major Assumptions'!J$14=12,AND('01 Major Assumptions'!J$15=1,MOD('01 Major Assumptions'!J$16,12)=0)),1,0)</f>
        <v>0</v>
      </c>
      <c r="K8" s="90">
        <f>IF(OR('01 Major Assumptions'!K$14=12,AND('01 Major Assumptions'!K$15=1,MOD('01 Major Assumptions'!K$16,12)=0)),1,0)</f>
        <v>0</v>
      </c>
      <c r="L8" s="90">
        <f>IF(OR('01 Major Assumptions'!L$14=12,AND('01 Major Assumptions'!L$15=1,MOD('01 Major Assumptions'!L$16,12)=0)),1,0)</f>
        <v>0</v>
      </c>
      <c r="M8" s="90">
        <f>IF(OR('01 Major Assumptions'!M$14=12,AND('01 Major Assumptions'!M$15=1,MOD('01 Major Assumptions'!M$16,12)=0)),1,0)</f>
        <v>0</v>
      </c>
      <c r="N8" s="90">
        <f>IF(OR('01 Major Assumptions'!N$14=12,AND('01 Major Assumptions'!N$15=1,MOD('01 Major Assumptions'!N$16,12)=0)),1,0)</f>
        <v>0</v>
      </c>
      <c r="O8" s="90">
        <f>IF(OR('01 Major Assumptions'!O$14=12,AND('01 Major Assumptions'!O$15=1,MOD('01 Major Assumptions'!O$16,12)=0)),1,0)</f>
        <v>0</v>
      </c>
      <c r="P8" s="90">
        <f>IF(OR('01 Major Assumptions'!P$14=12,AND('01 Major Assumptions'!P$15=1,MOD('01 Major Assumptions'!P$16,12)=0)),1,0)</f>
        <v>0</v>
      </c>
      <c r="Q8" s="90">
        <f>IF(OR('01 Major Assumptions'!Q$14=12,AND('01 Major Assumptions'!Q$15=1,MOD('01 Major Assumptions'!Q$16,12)=0)),1,0)</f>
        <v>0</v>
      </c>
      <c r="R8" s="90">
        <f>IF(OR('01 Major Assumptions'!R$14=12,AND('01 Major Assumptions'!R$15=1,MOD('01 Major Assumptions'!R$16,12)=0)),1,0)</f>
        <v>0</v>
      </c>
      <c r="S8" s="90">
        <f>IF(OR('01 Major Assumptions'!S$14=12,AND('01 Major Assumptions'!S$15=1,MOD('01 Major Assumptions'!S$16,12)=0)),1,0)</f>
        <v>0</v>
      </c>
      <c r="T8" s="90">
        <f>IF(OR('01 Major Assumptions'!T$14=12,AND('01 Major Assumptions'!T$15=1,MOD('01 Major Assumptions'!T$16,12)=0)),1,0)</f>
        <v>0</v>
      </c>
      <c r="U8" s="90">
        <f>IF(OR('01 Major Assumptions'!U$14=12,AND('01 Major Assumptions'!U$15=1,MOD('01 Major Assumptions'!U$16,12)=0)),1,0)</f>
        <v>0</v>
      </c>
      <c r="V8" s="90">
        <f>IF(OR('01 Major Assumptions'!V$14=12,AND('01 Major Assumptions'!V$15=1,MOD('01 Major Assumptions'!V$16,12)=0)),1,0)</f>
        <v>0</v>
      </c>
      <c r="W8" s="90">
        <f>IF(OR('01 Major Assumptions'!W$14=12,AND('01 Major Assumptions'!W$15=1,MOD('01 Major Assumptions'!W$16,12)=0)),1,0)</f>
        <v>0</v>
      </c>
      <c r="X8" s="90">
        <f>IF(OR('01 Major Assumptions'!X$14=12,AND('01 Major Assumptions'!X$15=1,MOD('01 Major Assumptions'!X$16,12)=0)),1,0)</f>
        <v>0</v>
      </c>
      <c r="Y8" s="90">
        <f>IF(OR('01 Major Assumptions'!Y$14=12,AND('01 Major Assumptions'!Y$15=1,MOD('01 Major Assumptions'!Y$16,12)=0)),1,0)</f>
        <v>0</v>
      </c>
      <c r="Z8" s="90">
        <f>IF(OR('01 Major Assumptions'!Z$14=12,AND('01 Major Assumptions'!Z$15=1,MOD('01 Major Assumptions'!Z$16,12)=0)),1,0)</f>
        <v>0</v>
      </c>
      <c r="AA8" s="90">
        <f>IF(OR('01 Major Assumptions'!AA$14=12,AND('01 Major Assumptions'!AA$15=1,MOD('01 Major Assumptions'!AA$16,12)=0)),1,0)</f>
        <v>0</v>
      </c>
      <c r="AB8" s="90">
        <f>IF(OR('01 Major Assumptions'!AB$14=12,AND('01 Major Assumptions'!AB$15=1,MOD('01 Major Assumptions'!AB$16,12)=0)),1,0)</f>
        <v>0</v>
      </c>
      <c r="AC8" s="90">
        <f>IF(OR('01 Major Assumptions'!AC$14=12,AND('01 Major Assumptions'!AC$15=1,MOD('01 Major Assumptions'!AC$16,12)=0)),1,0)</f>
        <v>0</v>
      </c>
      <c r="AD8" s="90">
        <f>IF(OR('01 Major Assumptions'!AD$14=12,AND('01 Major Assumptions'!AD$15=1,MOD('01 Major Assumptions'!AD$16,12)=0)),1,0)</f>
        <v>0</v>
      </c>
      <c r="AE8" s="90">
        <f>IF(OR('01 Major Assumptions'!AE$14=12,AND('01 Major Assumptions'!AE$15=1,MOD('01 Major Assumptions'!AE$16,12)=0)),1,0)</f>
        <v>0</v>
      </c>
      <c r="AF8" s="90">
        <f>IF(OR('01 Major Assumptions'!AF$14=12,AND('01 Major Assumptions'!AF$15=1,MOD('01 Major Assumptions'!AF$16,12)=0)),1,0)</f>
        <v>0</v>
      </c>
      <c r="AG8" s="90">
        <f>IF(OR('01 Major Assumptions'!AG$14=12,AND('01 Major Assumptions'!AG$15=1,MOD('01 Major Assumptions'!AG$16,12)=0)),1,0)</f>
        <v>0</v>
      </c>
      <c r="AH8" s="90">
        <f>IF(OR('01 Major Assumptions'!AH$14=12,AND('01 Major Assumptions'!AH$15=1,MOD('01 Major Assumptions'!AH$16,12)=0)),1,0)</f>
        <v>0</v>
      </c>
      <c r="AI8" s="90">
        <f>IF(OR('01 Major Assumptions'!AI$14=12,AND('01 Major Assumptions'!AI$15=1,MOD('01 Major Assumptions'!AI$16,12)=0)),1,0)</f>
        <v>0</v>
      </c>
      <c r="AJ8" s="90">
        <f>IF(OR('01 Major Assumptions'!AJ$14=12,AND('01 Major Assumptions'!AJ$15=1,MOD('01 Major Assumptions'!AJ$16,12)=0)),1,0)</f>
        <v>0</v>
      </c>
      <c r="AK8" s="90">
        <f>IF(OR('01 Major Assumptions'!AK$14=12,AND('01 Major Assumptions'!AK$15=1,MOD('01 Major Assumptions'!AK$16,12)=0)),1,0)</f>
        <v>0</v>
      </c>
      <c r="AL8" s="90">
        <f>IF(OR('01 Major Assumptions'!AL$14=12,AND('01 Major Assumptions'!AL$15=1,MOD('01 Major Assumptions'!AL$16,12)=0)),1,0)</f>
        <v>0</v>
      </c>
      <c r="AM8" s="90">
        <f>IF(OR('01 Major Assumptions'!AM$14=12,AND('01 Major Assumptions'!AM$15=1,MOD('01 Major Assumptions'!AM$16,12)=0)),1,0)</f>
        <v>1</v>
      </c>
      <c r="AN8" s="90">
        <f>IF(OR('01 Major Assumptions'!AN$14=12,AND('01 Major Assumptions'!AN$15=1,MOD('01 Major Assumptions'!AN$16,12)=0)),1,0)</f>
        <v>0</v>
      </c>
      <c r="AO8" s="90">
        <f>IF(OR('01 Major Assumptions'!AO$14=12,AND('01 Major Assumptions'!AO$15=1,MOD('01 Major Assumptions'!AO$16,12)=0)),1,0)</f>
        <v>0</v>
      </c>
      <c r="AP8" s="90">
        <f>IF(OR('01 Major Assumptions'!AP$14=12,AND('01 Major Assumptions'!AP$15=1,MOD('01 Major Assumptions'!AP$16,12)=0)),1,0)</f>
        <v>0</v>
      </c>
      <c r="AQ8" s="90">
        <f>IF(OR('01 Major Assumptions'!AQ$14=12,AND('01 Major Assumptions'!AQ$15=1,MOD('01 Major Assumptions'!AQ$16,12)=0)),1,0)</f>
        <v>0</v>
      </c>
      <c r="AR8" s="90">
        <f>IF(OR('01 Major Assumptions'!AR$14=12,AND('01 Major Assumptions'!AR$15=1,MOD('01 Major Assumptions'!AR$16,12)=0)),1,0)</f>
        <v>0</v>
      </c>
      <c r="AS8" s="90">
        <f>IF(OR('01 Major Assumptions'!AS$14=12,AND('01 Major Assumptions'!AS$15=1,MOD('01 Major Assumptions'!AS$16,12)=0)),1,0)</f>
        <v>0</v>
      </c>
      <c r="AT8" s="90">
        <f>IF(OR('01 Major Assumptions'!AT$14=12,AND('01 Major Assumptions'!AT$15=1,MOD('01 Major Assumptions'!AT$16,12)=0)),1,0)</f>
        <v>0</v>
      </c>
      <c r="AU8" s="90">
        <f>IF(OR('01 Major Assumptions'!AU$14=12,AND('01 Major Assumptions'!AU$15=1,MOD('01 Major Assumptions'!AU$16,12)=0)),1,0)</f>
        <v>0</v>
      </c>
      <c r="AV8" s="90">
        <f>IF(OR('01 Major Assumptions'!AV$14=12,AND('01 Major Assumptions'!AV$15=1,MOD('01 Major Assumptions'!AV$16,12)=0)),1,0)</f>
        <v>0</v>
      </c>
      <c r="AW8" s="90">
        <f>IF(OR('01 Major Assumptions'!AW$14=12,AND('01 Major Assumptions'!AW$15=1,MOD('01 Major Assumptions'!AW$16,12)=0)),1,0)</f>
        <v>0</v>
      </c>
      <c r="AX8" s="90">
        <f>IF(OR('01 Major Assumptions'!AX$14=12,AND('01 Major Assumptions'!AX$15=1,MOD('01 Major Assumptions'!AX$16,12)=0)),1,0)</f>
        <v>0</v>
      </c>
      <c r="AY8" s="90">
        <f>IF(OR('01 Major Assumptions'!AY$14=12,AND('01 Major Assumptions'!AY$15=1,MOD('01 Major Assumptions'!AY$16,12)=0)),1,0)</f>
        <v>1</v>
      </c>
      <c r="AZ8" s="90">
        <f>IF(OR('01 Major Assumptions'!AZ$14=12,AND('01 Major Assumptions'!AZ$15=1,MOD('01 Major Assumptions'!AZ$16,12)=0)),1,0)</f>
        <v>0</v>
      </c>
      <c r="BA8" s="90">
        <f>IF(OR('01 Major Assumptions'!BA$14=12,AND('01 Major Assumptions'!BA$15=1,MOD('01 Major Assumptions'!BA$16,12)=0)),1,0)</f>
        <v>0</v>
      </c>
      <c r="BB8" s="90">
        <f>IF(OR('01 Major Assumptions'!BB$14=12,AND('01 Major Assumptions'!BB$15=1,MOD('01 Major Assumptions'!BB$16,12)=0)),1,0)</f>
        <v>0</v>
      </c>
      <c r="BC8" s="90">
        <f>IF(OR('01 Major Assumptions'!BC$14=12,AND('01 Major Assumptions'!BC$15=1,MOD('01 Major Assumptions'!BC$16,12)=0)),1,0)</f>
        <v>0</v>
      </c>
      <c r="BD8" s="90">
        <f>IF(OR('01 Major Assumptions'!BD$14=12,AND('01 Major Assumptions'!BD$15=1,MOD('01 Major Assumptions'!BD$16,12)=0)),1,0)</f>
        <v>0</v>
      </c>
      <c r="BE8" s="90">
        <f>IF(OR('01 Major Assumptions'!BE$14=12,AND('01 Major Assumptions'!BE$15=1,MOD('01 Major Assumptions'!BE$16,12)=0)),1,0)</f>
        <v>0</v>
      </c>
      <c r="BF8" s="90">
        <f>IF(OR('01 Major Assumptions'!BF$14=12,AND('01 Major Assumptions'!BF$15=1,MOD('01 Major Assumptions'!BF$16,12)=0)),1,0)</f>
        <v>0</v>
      </c>
      <c r="BG8" s="90">
        <f>IF(OR('01 Major Assumptions'!BG$14=12,AND('01 Major Assumptions'!BG$15=1,MOD('01 Major Assumptions'!BG$16,12)=0)),1,0)</f>
        <v>0</v>
      </c>
      <c r="BH8" s="90">
        <f>IF(OR('01 Major Assumptions'!BH$14=12,AND('01 Major Assumptions'!BH$15=1,MOD('01 Major Assumptions'!BH$16,12)=0)),1,0)</f>
        <v>0</v>
      </c>
      <c r="BI8" s="90">
        <f>IF(OR('01 Major Assumptions'!BI$14=12,AND('01 Major Assumptions'!BI$15=1,MOD('01 Major Assumptions'!BI$16,12)=0)),1,0)</f>
        <v>1</v>
      </c>
      <c r="BJ8" s="90">
        <f>IF(OR('01 Major Assumptions'!BJ$14=12,AND('01 Major Assumptions'!BJ$15=1,MOD('01 Major Assumptions'!BJ$16,12)=0)),1,0)</f>
        <v>1</v>
      </c>
      <c r="BK8" s="90">
        <f>IF(OR('01 Major Assumptions'!BK$14=12,AND('01 Major Assumptions'!BK$15=1,MOD('01 Major Assumptions'!BK$16,12)=0)),1,0)</f>
        <v>1</v>
      </c>
      <c r="BL8" s="90">
        <f>IF(OR('01 Major Assumptions'!BL$14=12,AND('01 Major Assumptions'!BL$15=1,MOD('01 Major Assumptions'!BL$16,12)=0)),1,0)</f>
        <v>1</v>
      </c>
      <c r="BM8" s="90">
        <f>IF(OR('01 Major Assumptions'!BM$14=12,AND('01 Major Assumptions'!BM$15=1,MOD('01 Major Assumptions'!BM$16,12)=0)),1,0)</f>
        <v>1</v>
      </c>
      <c r="BN8" s="90">
        <f>IF(OR('01 Major Assumptions'!BN$14=12,AND('01 Major Assumptions'!BN$15=1,MOD('01 Major Assumptions'!BN$16,12)=0)),1,0)</f>
        <v>1</v>
      </c>
      <c r="BO8" s="90">
        <f>IF(OR('01 Major Assumptions'!BO$14=12,AND('01 Major Assumptions'!BO$15=1,MOD('01 Major Assumptions'!BO$16,12)=0)),1,0)</f>
        <v>1</v>
      </c>
    </row>
    <row r="9" spans="1:67">
      <c r="A9" s="11"/>
      <c r="B9" s="11"/>
      <c r="C9" s="11" t="s">
        <v>487</v>
      </c>
      <c r="D9" s="33"/>
      <c r="E9" s="33"/>
      <c r="F9" s="33"/>
      <c r="G9" s="90">
        <f>'00 Summary'!G$22</f>
        <v>-354800</v>
      </c>
      <c r="H9" s="90">
        <f>'00 Summary'!H$22</f>
        <v>-354800</v>
      </c>
      <c r="I9" s="90">
        <f>'00 Summary'!I$22</f>
        <v>-354800</v>
      </c>
      <c r="J9" s="90">
        <f>'00 Summary'!J$22</f>
        <v>-354800</v>
      </c>
      <c r="K9" s="90">
        <f>'00 Summary'!K$22</f>
        <v>-354800</v>
      </c>
      <c r="L9" s="90">
        <f>'00 Summary'!L$22</f>
        <v>-354800</v>
      </c>
      <c r="M9" s="90">
        <f>'00 Summary'!M$22</f>
        <v>-354800</v>
      </c>
      <c r="N9" s="90">
        <f>'00 Summary'!N$22</f>
        <v>-354800</v>
      </c>
      <c r="O9" s="90">
        <f>'00 Summary'!O$22</f>
        <v>-354800</v>
      </c>
      <c r="P9" s="90">
        <f>'00 Summary'!P$22</f>
        <v>-448550</v>
      </c>
      <c r="Q9" s="90">
        <f>'00 Summary'!Q$22</f>
        <v>-448550</v>
      </c>
      <c r="R9" s="90">
        <f>'00 Summary'!R$22</f>
        <v>-704383.33333333337</v>
      </c>
      <c r="S9" s="90">
        <f>'00 Summary'!S$22</f>
        <v>-601246</v>
      </c>
      <c r="T9" s="90">
        <f>'00 Summary'!T$22</f>
        <v>-1184579.3333333333</v>
      </c>
      <c r="U9" s="90">
        <f>'00 Summary'!U$22</f>
        <v>-1184579.3333333333</v>
      </c>
      <c r="V9" s="90">
        <f>'00 Summary'!V$22</f>
        <v>-1290204.3333333335</v>
      </c>
      <c r="W9" s="90">
        <f>'00 Summary'!W$22</f>
        <v>-1290204.3333333335</v>
      </c>
      <c r="X9" s="90">
        <f>'00 Summary'!X$22</f>
        <v>-1279787.6666666667</v>
      </c>
      <c r="Y9" s="90">
        <f>'00 Summary'!Y$22</f>
        <v>-1279787.6666666667</v>
      </c>
      <c r="Z9" s="90">
        <f>'00 Summary'!Z$22</f>
        <v>-1355412.6666666667</v>
      </c>
      <c r="AA9" s="90">
        <f>'00 Summary'!AA$22</f>
        <v>-1355412.6666666667</v>
      </c>
      <c r="AB9" s="90">
        <f>'00 Summary'!AB$22</f>
        <v>-33183279.04799848</v>
      </c>
      <c r="AC9" s="90">
        <f>'00 Summary'!AC$22</f>
        <v>-14224107.739055265</v>
      </c>
      <c r="AD9" s="90">
        <f>'00 Summary'!AD$22</f>
        <v>-11883461.101893414</v>
      </c>
      <c r="AE9" s="90">
        <f>'00 Summary'!AE$22</f>
        <v>-9471181.0958542358</v>
      </c>
      <c r="AF9" s="90">
        <f>'00 Summary'!AF$22</f>
        <v>-6401080.9191445261</v>
      </c>
      <c r="AG9" s="90">
        <f>'00 Summary'!AG$22</f>
        <v>-4009295.2534911539</v>
      </c>
      <c r="AH9" s="90">
        <f>'00 Summary'!AH$22</f>
        <v>-1520263.6194417328</v>
      </c>
      <c r="AI9" s="90">
        <f>'00 Summary'!AI$22</f>
        <v>917180.40834800806</v>
      </c>
      <c r="AJ9" s="90">
        <f>'00 Summary'!AJ$22</f>
        <v>3387141.8378667766</v>
      </c>
      <c r="AK9" s="90">
        <f>'00 Summary'!AK$22</f>
        <v>5851475.1258781161</v>
      </c>
      <c r="AL9" s="90">
        <f>'00 Summary'!AL$22</f>
        <v>8352393.4471434951</v>
      </c>
      <c r="AM9" s="90">
        <f>'00 Summary'!AM$22</f>
        <v>10856883.688384838</v>
      </c>
      <c r="AN9" s="90">
        <f>'00 Summary'!AN$22</f>
        <v>13361882.6422382</v>
      </c>
      <c r="AO9" s="90">
        <f>'00 Summary'!AO$22</f>
        <v>13453672.238119666</v>
      </c>
      <c r="AP9" s="90">
        <f>'00 Summary'!AP$22</f>
        <v>13618537.233007617</v>
      </c>
      <c r="AQ9" s="90">
        <f>'00 Summary'!AQ$22</f>
        <v>14304232.964556919</v>
      </c>
      <c r="AR9" s="90">
        <f>'00 Summary'!AR$22</f>
        <v>14406554.287046215</v>
      </c>
      <c r="AS9" s="90">
        <f>'00 Summary'!AS$22</f>
        <v>14471561.701426068</v>
      </c>
      <c r="AT9" s="90">
        <f>'00 Summary'!AT$22</f>
        <v>14514547.595470317</v>
      </c>
      <c r="AU9" s="90">
        <f>'00 Summary'!AU$22</f>
        <v>14551159.170453001</v>
      </c>
      <c r="AV9" s="90">
        <f>'00 Summary'!AV$22</f>
        <v>14587770.745435679</v>
      </c>
      <c r="AW9" s="90">
        <f>'00 Summary'!AW$22</f>
        <v>14624382.320418363</v>
      </c>
      <c r="AX9" s="90">
        <f>'00 Summary'!AX$22</f>
        <v>14660993.895401053</v>
      </c>
      <c r="AY9" s="90">
        <f>'00 Summary'!AY$22</f>
        <v>14697605.470383734</v>
      </c>
      <c r="AZ9" s="90">
        <f ca="1">'00 Summary'!AZ$22</f>
        <v>14734217.045366423</v>
      </c>
      <c r="BA9" s="90">
        <f ca="1">'00 Summary'!BA$22</f>
        <v>14770828.620349107</v>
      </c>
      <c r="BB9" s="90">
        <f ca="1">'00 Summary'!BB$22</f>
        <v>14807440.195331786</v>
      </c>
      <c r="BC9" s="90">
        <f ca="1">'00 Summary'!BC$22</f>
        <v>15411437.590125959</v>
      </c>
      <c r="BD9" s="90">
        <f ca="1">'00 Summary'!BD$22</f>
        <v>15448002.479594575</v>
      </c>
      <c r="BE9" s="90">
        <f ca="1">'00 Summary'!BE$22</f>
        <v>15484567.369063197</v>
      </c>
      <c r="BF9" s="90">
        <f ca="1">'00 Summary'!BF$22</f>
        <v>15521132.258531824</v>
      </c>
      <c r="BG9" s="90">
        <f ca="1">'00 Summary'!BG$22</f>
        <v>15557697.14800044</v>
      </c>
      <c r="BH9" s="90">
        <f ca="1">'00 Summary'!BH$22</f>
        <v>15594262.037469069</v>
      </c>
      <c r="BI9" s="90">
        <f ca="1">'00 Summary'!BI$22</f>
        <v>192057939.57794985</v>
      </c>
      <c r="BJ9" s="90">
        <f ca="1">'00 Summary'!BJ$22</f>
        <v>204278758.68880963</v>
      </c>
      <c r="BK9" s="90">
        <f ca="1">'00 Summary'!BK$22</f>
        <v>228868306.35362518</v>
      </c>
      <c r="BL9" s="90">
        <f ca="1">'00 Summary'!BL$22</f>
        <v>245324472.67902416</v>
      </c>
      <c r="BM9" s="90">
        <f ca="1">'00 Summary'!BM$22</f>
        <v>257744914.91242033</v>
      </c>
      <c r="BN9" s="90">
        <f ca="1">'00 Summary'!BN$22</f>
        <v>235121936.65687171</v>
      </c>
      <c r="BO9" s="90">
        <f ca="1">'00 Summary'!BO$22</f>
        <v>215366378.20430723</v>
      </c>
    </row>
    <row r="10" spans="1:67">
      <c r="A10" s="11"/>
      <c r="B10" s="11"/>
      <c r="C10" s="11" t="s">
        <v>488</v>
      </c>
      <c r="D10" s="33"/>
      <c r="E10" s="33"/>
      <c r="F10" s="33"/>
      <c r="G10" s="90">
        <f ca="1">IF(G8=0,0,IF('01 Major Assumptions'!G$14=12,'00 Summary'!G$22,SUM(OFFSET('00 Summary'!G$22,0,-11):'00 Summary'!G$22)))</f>
        <v>0</v>
      </c>
      <c r="H10" s="90">
        <f ca="1">IF(H8=0,0,IF('01 Major Assumptions'!H$14=12,'00 Summary'!H$22,SUM(OFFSET('00 Summary'!H$22,0,-11):'00 Summary'!H$22)))</f>
        <v>0</v>
      </c>
      <c r="I10" s="90">
        <f ca="1">IF(I8=0,0,IF('01 Major Assumptions'!I$14=12,'00 Summary'!I$22,SUM(OFFSET('00 Summary'!I$22,0,-11):'00 Summary'!I$22)))</f>
        <v>0</v>
      </c>
      <c r="J10" s="90">
        <f ca="1">IF(J8=0,0,IF('01 Major Assumptions'!J$14=12,'00 Summary'!J$22,SUM(OFFSET('00 Summary'!J$22,0,-11):'00 Summary'!J$22)))</f>
        <v>0</v>
      </c>
      <c r="K10" s="90">
        <f ca="1">IF(K8=0,0,IF('01 Major Assumptions'!K$14=12,'00 Summary'!K$22,SUM(OFFSET('00 Summary'!K$22,0,-11):'00 Summary'!K$22)))</f>
        <v>0</v>
      </c>
      <c r="L10" s="90">
        <f ca="1">IF(L8=0,0,IF('01 Major Assumptions'!L$14=12,'00 Summary'!L$22,SUM(OFFSET('00 Summary'!L$22,0,-11):'00 Summary'!L$22)))</f>
        <v>0</v>
      </c>
      <c r="M10" s="90">
        <f ca="1">IF(M8=0,0,IF('01 Major Assumptions'!M$14=12,'00 Summary'!M$22,SUM(OFFSET('00 Summary'!M$22,0,-11):'00 Summary'!M$22)))</f>
        <v>0</v>
      </c>
      <c r="N10" s="90">
        <f ca="1">IF(N8=0,0,IF('01 Major Assumptions'!N$14=12,'00 Summary'!N$22,SUM(OFFSET('00 Summary'!N$22,0,-11):'00 Summary'!N$22)))</f>
        <v>0</v>
      </c>
      <c r="O10" s="90">
        <f ca="1">IF(O8=0,0,IF('01 Major Assumptions'!O$14=12,'00 Summary'!O$22,SUM(OFFSET('00 Summary'!O$22,0,-11):'00 Summary'!O$22)))</f>
        <v>0</v>
      </c>
      <c r="P10" s="90">
        <f ca="1">IF(P8=0,0,IF('01 Major Assumptions'!P$14=12,'00 Summary'!P$22,SUM(OFFSET('00 Summary'!P$22,0,-11):'00 Summary'!P$22)))</f>
        <v>0</v>
      </c>
      <c r="Q10" s="90">
        <f ca="1">IF(Q8=0,0,IF('01 Major Assumptions'!Q$14=12,'00 Summary'!Q$22,SUM(OFFSET('00 Summary'!Q$22,0,-11):'00 Summary'!Q$22)))</f>
        <v>0</v>
      </c>
      <c r="R10" s="90">
        <f ca="1">IF(R8=0,0,IF('01 Major Assumptions'!R$14=12,'00 Summary'!R$22,SUM(OFFSET('00 Summary'!R$22,0,-11):'00 Summary'!R$22)))</f>
        <v>0</v>
      </c>
      <c r="S10" s="90">
        <f ca="1">IF(S8=0,0,IF('01 Major Assumptions'!S$14=12,'00 Summary'!S$22,SUM(OFFSET('00 Summary'!S$22,0,-11):'00 Summary'!S$22)))</f>
        <v>0</v>
      </c>
      <c r="T10" s="90">
        <f ca="1">IF(T8=0,0,IF('01 Major Assumptions'!T$14=12,'00 Summary'!T$22,SUM(OFFSET('00 Summary'!T$22,0,-11):'00 Summary'!T$22)))</f>
        <v>0</v>
      </c>
      <c r="U10" s="90">
        <f ca="1">IF(U8=0,0,IF('01 Major Assumptions'!U$14=12,'00 Summary'!U$22,SUM(OFFSET('00 Summary'!U$22,0,-11):'00 Summary'!U$22)))</f>
        <v>0</v>
      </c>
      <c r="V10" s="90">
        <f ca="1">IF(V8=0,0,IF('01 Major Assumptions'!V$14=12,'00 Summary'!V$22,SUM(OFFSET('00 Summary'!V$22,0,-11):'00 Summary'!V$22)))</f>
        <v>0</v>
      </c>
      <c r="W10" s="90">
        <f ca="1">IF(W8=0,0,IF('01 Major Assumptions'!W$14=12,'00 Summary'!W$22,SUM(OFFSET('00 Summary'!W$22,0,-11):'00 Summary'!W$22)))</f>
        <v>0</v>
      </c>
      <c r="X10" s="90">
        <f ca="1">IF(X8=0,0,IF('01 Major Assumptions'!X$14=12,'00 Summary'!X$22,SUM(OFFSET('00 Summary'!X$22,0,-11):'00 Summary'!X$22)))</f>
        <v>0</v>
      </c>
      <c r="Y10" s="90">
        <f ca="1">IF(Y8=0,0,IF('01 Major Assumptions'!Y$14=12,'00 Summary'!Y$22,SUM(OFFSET('00 Summary'!Y$22,0,-11):'00 Summary'!Y$22)))</f>
        <v>0</v>
      </c>
      <c r="Z10" s="90">
        <f ca="1">IF(Z8=0,0,IF('01 Major Assumptions'!Z$14=12,'00 Summary'!Z$22,SUM(OFFSET('00 Summary'!Z$22,0,-11):'00 Summary'!Z$22)))</f>
        <v>0</v>
      </c>
      <c r="AA10" s="90">
        <f ca="1">IF(AA8=0,0,IF('01 Major Assumptions'!AA$14=12,'00 Summary'!AA$22,SUM(OFFSET('00 Summary'!AA$22,0,-11):'00 Summary'!AA$22)))</f>
        <v>0</v>
      </c>
      <c r="AB10" s="90">
        <f ca="1">IF(AB8=0,0,IF('01 Major Assumptions'!AB$14=12,'00 Summary'!AB$22,SUM(OFFSET('00 Summary'!AB$22,0,-11):'00 Summary'!AB$22)))</f>
        <v>0</v>
      </c>
      <c r="AC10" s="90">
        <f ca="1">IF(AC8=0,0,IF('01 Major Assumptions'!AC$14=12,'00 Summary'!AC$22,SUM(OFFSET('00 Summary'!AC$22,0,-11):'00 Summary'!AC$22)))</f>
        <v>0</v>
      </c>
      <c r="AD10" s="90">
        <f ca="1">IF(AD8=0,0,IF('01 Major Assumptions'!AD$14=12,'00 Summary'!AD$22,SUM(OFFSET('00 Summary'!AD$22,0,-11):'00 Summary'!AD$22)))</f>
        <v>0</v>
      </c>
      <c r="AE10" s="90">
        <f ca="1">IF(AE8=0,0,IF('01 Major Assumptions'!AE$14=12,'00 Summary'!AE$22,SUM(OFFSET('00 Summary'!AE$22,0,-11):'00 Summary'!AE$22)))</f>
        <v>0</v>
      </c>
      <c r="AF10" s="90">
        <f ca="1">IF(AF8=0,0,IF('01 Major Assumptions'!AF$14=12,'00 Summary'!AF$22,SUM(OFFSET('00 Summary'!AF$22,0,-11):'00 Summary'!AF$22)))</f>
        <v>0</v>
      </c>
      <c r="AG10" s="90">
        <f ca="1">IF(AG8=0,0,IF('01 Major Assumptions'!AG$14=12,'00 Summary'!AG$22,SUM(OFFSET('00 Summary'!AG$22,0,-11):'00 Summary'!AG$22)))</f>
        <v>0</v>
      </c>
      <c r="AH10" s="90">
        <f ca="1">IF(AH8=0,0,IF('01 Major Assumptions'!AH$14=12,'00 Summary'!AH$22,SUM(OFFSET('00 Summary'!AH$22,0,-11):'00 Summary'!AH$22)))</f>
        <v>0</v>
      </c>
      <c r="AI10" s="90">
        <f ca="1">IF(AI8=0,0,IF('01 Major Assumptions'!AI$14=12,'00 Summary'!AI$22,SUM(OFFSET('00 Summary'!AI$22,0,-11):'00 Summary'!AI$22)))</f>
        <v>0</v>
      </c>
      <c r="AJ10" s="90">
        <f ca="1">IF(AJ8=0,0,IF('01 Major Assumptions'!AJ$14=12,'00 Summary'!AJ$22,SUM(OFFSET('00 Summary'!AJ$22,0,-11):'00 Summary'!AJ$22)))</f>
        <v>0</v>
      </c>
      <c r="AK10" s="90">
        <f ca="1">IF(AK8=0,0,IF('01 Major Assumptions'!AK$14=12,'00 Summary'!AK$22,SUM(OFFSET('00 Summary'!AK$22,0,-11):'00 Summary'!AK$22)))</f>
        <v>0</v>
      </c>
      <c r="AL10" s="90">
        <f ca="1">IF(AL8=0,0,IF('01 Major Assumptions'!AL$14=12,'00 Summary'!AL$22,SUM(OFFSET('00 Summary'!AL$22,0,-11):'00 Summary'!AL$22)))</f>
        <v>0</v>
      </c>
      <c r="AM10" s="90">
        <f ca="1">IF(AM8=0,0,IF('01 Major Assumptions'!AM$14=12,'00 Summary'!AM$22,SUM(OFFSET('00 Summary'!AM$22,0,-11):'00 Summary'!AM$22)))</f>
        <v>-51327594.269257568</v>
      </c>
      <c r="AN10" s="90">
        <f ca="1">IF(AN8=0,0,IF('01 Major Assumptions'!AN$14=12,'00 Summary'!AN$22,SUM(OFFSET('00 Summary'!AN$22,0,-11):'00 Summary'!AN$22)))</f>
        <v>0</v>
      </c>
      <c r="AO10" s="90">
        <f ca="1">IF(AO8=0,0,IF('01 Major Assumptions'!AO$14=12,'00 Summary'!AO$22,SUM(OFFSET('00 Summary'!AO$22,0,-11):'00 Summary'!AO$22)))</f>
        <v>0</v>
      </c>
      <c r="AP10" s="90">
        <f ca="1">IF(AP8=0,0,IF('01 Major Assumptions'!AP$14=12,'00 Summary'!AP$22,SUM(OFFSET('00 Summary'!AP$22,0,-11):'00 Summary'!AP$22)))</f>
        <v>0</v>
      </c>
      <c r="AQ10" s="90">
        <f ca="1">IF(AQ8=0,0,IF('01 Major Assumptions'!AQ$14=12,'00 Summary'!AQ$22,SUM(OFFSET('00 Summary'!AQ$22,0,-11):'00 Summary'!AQ$22)))</f>
        <v>0</v>
      </c>
      <c r="AR10" s="90">
        <f ca="1">IF(AR8=0,0,IF('01 Major Assumptions'!AR$14=12,'00 Summary'!AR$22,SUM(OFFSET('00 Summary'!AR$22,0,-11):'00 Summary'!AR$22)))</f>
        <v>0</v>
      </c>
      <c r="AS10" s="90">
        <f ca="1">IF(AS8=0,0,IF('01 Major Assumptions'!AS$14=12,'00 Summary'!AS$22,SUM(OFFSET('00 Summary'!AS$22,0,-11):'00 Summary'!AS$22)))</f>
        <v>0</v>
      </c>
      <c r="AT10" s="90">
        <f ca="1">IF(AT8=0,0,IF('01 Major Assumptions'!AT$14=12,'00 Summary'!AT$22,SUM(OFFSET('00 Summary'!AT$22,0,-11):'00 Summary'!AT$22)))</f>
        <v>0</v>
      </c>
      <c r="AU10" s="90">
        <f ca="1">IF(AU8=0,0,IF('01 Major Assumptions'!AU$14=12,'00 Summary'!AU$22,SUM(OFFSET('00 Summary'!AU$22,0,-11):'00 Summary'!AU$22)))</f>
        <v>0</v>
      </c>
      <c r="AV10" s="90">
        <f ca="1">IF(AV8=0,0,IF('01 Major Assumptions'!AV$14=12,'00 Summary'!AV$22,SUM(OFFSET('00 Summary'!AV$22,0,-11):'00 Summary'!AV$22)))</f>
        <v>0</v>
      </c>
      <c r="AW10" s="90">
        <f ca="1">IF(AW8=0,0,IF('01 Major Assumptions'!AW$14=12,'00 Summary'!AW$22,SUM(OFFSET('00 Summary'!AW$22,0,-11):'00 Summary'!AW$22)))</f>
        <v>0</v>
      </c>
      <c r="AX10" s="90">
        <f ca="1">IF(AX8=0,0,IF('01 Major Assumptions'!AX$14=12,'00 Summary'!AX$22,SUM(OFFSET('00 Summary'!AX$22,0,-11):'00 Summary'!AX$22)))</f>
        <v>0</v>
      </c>
      <c r="AY10" s="90">
        <f ca="1">IF(AY8=0,0,IF('01 Major Assumptions'!AY$14=12,'00 Summary'!AY$22,SUM(OFFSET('00 Summary'!AY$22,0,-11):'00 Summary'!AY$22)))</f>
        <v>171252900.26395684</v>
      </c>
      <c r="AZ10" s="90">
        <f ca="1">IF(AZ8=0,0,IF('01 Major Assumptions'!AZ$14=12,'00 Summary'!AZ$22,SUM(OFFSET('00 Summary'!AZ$22,0,-11):'00 Summary'!AZ$22)))</f>
        <v>0</v>
      </c>
      <c r="BA10" s="90">
        <f ca="1">IF(BA8=0,0,IF('01 Major Assumptions'!BA$14=12,'00 Summary'!BA$22,SUM(OFFSET('00 Summary'!BA$22,0,-11):'00 Summary'!BA$22)))</f>
        <v>0</v>
      </c>
      <c r="BB10" s="90">
        <f ca="1">IF(BB8=0,0,IF('01 Major Assumptions'!BB$14=12,'00 Summary'!BB$22,SUM(OFFSET('00 Summary'!BB$22,0,-11):'00 Summary'!BB$22)))</f>
        <v>0</v>
      </c>
      <c r="BC10" s="90">
        <f ca="1">IF(BC8=0,0,IF('01 Major Assumptions'!BC$14=12,'00 Summary'!BC$22,SUM(OFFSET('00 Summary'!BC$22,0,-11):'00 Summary'!BC$22)))</f>
        <v>0</v>
      </c>
      <c r="BD10" s="90">
        <f ca="1">IF(BD8=0,0,IF('01 Major Assumptions'!BD$14=12,'00 Summary'!BD$22,SUM(OFFSET('00 Summary'!BD$22,0,-11):'00 Summary'!BD$22)))</f>
        <v>0</v>
      </c>
      <c r="BE10" s="90">
        <f ca="1">IF(BE8=0,0,IF('01 Major Assumptions'!BE$14=12,'00 Summary'!BE$22,SUM(OFFSET('00 Summary'!BE$22,0,-11):'00 Summary'!BE$22)))</f>
        <v>0</v>
      </c>
      <c r="BF10" s="90">
        <f ca="1">IF(BF8=0,0,IF('01 Major Assumptions'!BF$14=12,'00 Summary'!BF$22,SUM(OFFSET('00 Summary'!BF$22,0,-11):'00 Summary'!BF$22)))</f>
        <v>0</v>
      </c>
      <c r="BG10" s="90">
        <f ca="1">IF(BG8=0,0,IF('01 Major Assumptions'!BG$14=12,'00 Summary'!BG$22,SUM(OFFSET('00 Summary'!BG$22,0,-11):'00 Summary'!BG$22)))</f>
        <v>0</v>
      </c>
      <c r="BH10" s="90">
        <f ca="1">IF(BH8=0,0,IF('01 Major Assumptions'!BH$14=12,'00 Summary'!BH$22,SUM(OFFSET('00 Summary'!BH$22,0,-11):'00 Summary'!BH$22)))</f>
        <v>0</v>
      </c>
      <c r="BI10" s="90">
        <f ca="1">IF(BI8=0,0,IF('01 Major Assumptions'!BI$14=12,'00 Summary'!BI$22,SUM(OFFSET('00 Summary'!BI$22,0,-11):'00 Summary'!BI$22)))</f>
        <v>192057939.57794985</v>
      </c>
      <c r="BJ10" s="90">
        <f ca="1">IF(BJ8=0,0,IF('01 Major Assumptions'!BJ$14=12,'00 Summary'!BJ$22,SUM(OFFSET('00 Summary'!BJ$22,0,-11):'00 Summary'!BJ$22)))</f>
        <v>204278758.68880963</v>
      </c>
      <c r="BK10" s="90">
        <f ca="1">IF(BK8=0,0,IF('01 Major Assumptions'!BK$14=12,'00 Summary'!BK$22,SUM(OFFSET('00 Summary'!BK$22,0,-11):'00 Summary'!BK$22)))</f>
        <v>228868306.35362518</v>
      </c>
      <c r="BL10" s="90">
        <f ca="1">IF(BL8=0,0,IF('01 Major Assumptions'!BL$14=12,'00 Summary'!BL$22,SUM(OFFSET('00 Summary'!BL$22,0,-11):'00 Summary'!BL$22)))</f>
        <v>245324472.67902416</v>
      </c>
      <c r="BM10" s="90">
        <f ca="1">IF(BM8=0,0,IF('01 Major Assumptions'!BM$14=12,'00 Summary'!BM$22,SUM(OFFSET('00 Summary'!BM$22,0,-11):'00 Summary'!BM$22)))</f>
        <v>257744914.91242033</v>
      </c>
      <c r="BN10" s="90">
        <f ca="1">IF(BN8=0,0,IF('01 Major Assumptions'!BN$14=12,'00 Summary'!BN$22,SUM(OFFSET('00 Summary'!BN$22,0,-11):'00 Summary'!BN$22)))</f>
        <v>235121936.65687171</v>
      </c>
      <c r="BO10" s="90">
        <f ca="1">IF(BO8=0,0,IF('01 Major Assumptions'!BO$14=12,'00 Summary'!BO$22,SUM(OFFSET('00 Summary'!BO$22,0,-11):'00 Summary'!BO$22)))</f>
        <v>215366378.20430723</v>
      </c>
    </row>
    <row r="11" spans="1:67">
      <c r="A11" s="11"/>
      <c r="B11" s="11"/>
      <c r="C11" s="11"/>
      <c r="D11" s="33"/>
      <c r="E11" s="33"/>
      <c r="F11" s="3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row>
    <row r="12" spans="1:67">
      <c r="A12" s="18" t="s">
        <v>489</v>
      </c>
      <c r="B12" s="18"/>
      <c r="C12" s="18"/>
      <c r="D12" s="39"/>
      <c r="E12" s="39"/>
      <c r="F12" s="39"/>
      <c r="G12" s="40"/>
      <c r="H12" s="40"/>
      <c r="I12" s="40"/>
      <c r="J12" s="40"/>
      <c r="K12" s="40"/>
      <c r="L12" s="40"/>
      <c r="M12" s="40"/>
      <c r="N12" s="40"/>
      <c r="O12" s="40"/>
      <c r="P12" s="40"/>
      <c r="Q12" s="40"/>
      <c r="R12" s="40"/>
      <c r="S12" s="40"/>
      <c r="T12" s="40"/>
      <c r="U12" s="40"/>
      <c r="V12" s="40"/>
      <c r="W12" s="40"/>
      <c r="X12" s="40"/>
      <c r="Y12" s="40"/>
      <c r="Z12" s="40"/>
      <c r="AA12" s="40"/>
      <c r="AB12" s="40"/>
      <c r="AC12" s="40"/>
      <c r="AD12" s="40"/>
      <c r="AE12" s="40"/>
      <c r="AF12" s="40"/>
      <c r="AG12" s="40"/>
      <c r="AH12" s="40"/>
      <c r="AI12" s="40"/>
      <c r="AJ12" s="40"/>
      <c r="AK12" s="40"/>
      <c r="AL12" s="40"/>
      <c r="AM12" s="40"/>
      <c r="AN12" s="40"/>
      <c r="AO12" s="40"/>
      <c r="AP12" s="40"/>
      <c r="AQ12" s="40"/>
      <c r="AR12" s="40"/>
      <c r="AS12" s="40"/>
      <c r="AT12" s="40"/>
      <c r="AU12" s="40"/>
      <c r="AV12" s="40"/>
      <c r="AW12" s="40"/>
      <c r="AX12" s="40"/>
      <c r="AY12" s="40"/>
      <c r="AZ12" s="40"/>
      <c r="BA12" s="40"/>
      <c r="BB12" s="40"/>
      <c r="BC12" s="40"/>
      <c r="BD12" s="40"/>
      <c r="BE12" s="40"/>
      <c r="BF12" s="40"/>
      <c r="BG12" s="40"/>
      <c r="BH12" s="40"/>
      <c r="BI12" s="40"/>
      <c r="BJ12" s="40"/>
      <c r="BK12" s="40"/>
      <c r="BL12" s="40"/>
      <c r="BM12" s="40"/>
      <c r="BN12" s="40"/>
      <c r="BO12" s="40"/>
    </row>
    <row r="13" spans="1:67">
      <c r="A13" s="11"/>
      <c r="B13" s="11"/>
      <c r="C13" s="11" t="s">
        <v>490</v>
      </c>
      <c r="D13" s="33"/>
      <c r="E13" s="33"/>
      <c r="F13" s="33"/>
      <c r="G13" s="90">
        <f>'06 Debt &amp; WC'!G$12</f>
        <v>23922220.516129032</v>
      </c>
      <c r="H13" s="90">
        <f>'06 Debt &amp; WC'!H$12</f>
        <v>23726556.912442397</v>
      </c>
      <c r="I13" s="90">
        <f>'06 Debt &amp; WC'!I$12</f>
        <v>23797043.087557603</v>
      </c>
      <c r="J13" s="90">
        <f>'06 Debt &amp; WC'!J$12</f>
        <v>269880835.48387098</v>
      </c>
      <c r="K13" s="90">
        <f>'06 Debt &amp; WC'!K$12</f>
        <v>55079235.104364328</v>
      </c>
      <c r="L13" s="90">
        <f>'06 Debt &amp; WC'!L$12</f>
        <v>55057306.072106265</v>
      </c>
      <c r="M13" s="90">
        <f>'06 Debt &amp; WC'!M$12</f>
        <v>55089235.104364328</v>
      </c>
      <c r="N13" s="90">
        <f>'06 Debt &amp; WC'!N$12</f>
        <v>55078270.588235296</v>
      </c>
      <c r="O13" s="90">
        <f>'06 Debt &amp; WC'!O$12</f>
        <v>55067306.072106265</v>
      </c>
      <c r="P13" s="90">
        <f>'06 Debt &amp; WC'!P$12</f>
        <v>65856113.464579381</v>
      </c>
      <c r="Q13" s="90">
        <f>'06 Debt &amp; WC'!Q$12</f>
        <v>24439071.094244286</v>
      </c>
      <c r="R13" s="90">
        <f>'06 Debt &amp; WC'!R$12</f>
        <v>463116.39784946293</v>
      </c>
      <c r="S13" s="90">
        <f>'06 Debt &amp; WC'!S$12</f>
        <v>704438.82967741787</v>
      </c>
      <c r="T13" s="90">
        <f>'06 Debt &amp; WC'!T$12</f>
        <v>524517.73155358434</v>
      </c>
      <c r="U13" s="90">
        <f>'06 Debt &amp; WC'!U$12</f>
        <v>1262624.8060808331</v>
      </c>
      <c r="V13" s="90">
        <f>'06 Debt &amp; WC'!V$12</f>
        <v>1143688.604838714</v>
      </c>
      <c r="W13" s="90">
        <f>'06 Debt &amp; WC'!W$12</f>
        <v>1331333.5698924661</v>
      </c>
      <c r="X13" s="90">
        <f>'06 Debt &amp; WC'!X$12</f>
        <v>1249387.5967741907</v>
      </c>
      <c r="Y13" s="90">
        <f>'06 Debt &amp; WC'!Y$12</f>
        <v>1320580.8817204237</v>
      </c>
      <c r="Z13" s="90">
        <f>'06 Debt &amp; WC'!Z$12</f>
        <v>1279958.4327957034</v>
      </c>
      <c r="AA13" s="90">
        <f>'06 Debt &amp; WC'!AA$12</f>
        <v>1115859.9348286539</v>
      </c>
      <c r="AB13" s="90">
        <f>'06 Debt &amp; WC'!AB$12</f>
        <v>0</v>
      </c>
      <c r="AC13" s="90">
        <f>'06 Debt &amp; WC'!AC$12</f>
        <v>0</v>
      </c>
      <c r="AD13" s="90">
        <f>'06 Debt &amp; WC'!AD$12</f>
        <v>0</v>
      </c>
      <c r="AE13" s="90">
        <f>'06 Debt &amp; WC'!AE$12</f>
        <v>0</v>
      </c>
      <c r="AF13" s="90">
        <f>'06 Debt &amp; WC'!AF$12</f>
        <v>0</v>
      </c>
      <c r="AG13" s="90">
        <f>'06 Debt &amp; WC'!AG$12</f>
        <v>0</v>
      </c>
      <c r="AH13" s="90">
        <f>'06 Debt &amp; WC'!AH$12</f>
        <v>0</v>
      </c>
      <c r="AI13" s="90">
        <f>'06 Debt &amp; WC'!AI$12</f>
        <v>0</v>
      </c>
      <c r="AJ13" s="90">
        <f>'06 Debt &amp; WC'!AJ$12</f>
        <v>0</v>
      </c>
      <c r="AK13" s="90">
        <f>'06 Debt &amp; WC'!AK$12</f>
        <v>0</v>
      </c>
      <c r="AL13" s="90">
        <f>'06 Debt &amp; WC'!AL$12</f>
        <v>0</v>
      </c>
      <c r="AM13" s="90">
        <f>'06 Debt &amp; WC'!AM$12</f>
        <v>0</v>
      </c>
      <c r="AN13" s="90">
        <f>'06 Debt &amp; WC'!AN$12</f>
        <v>0</v>
      </c>
      <c r="AO13" s="90">
        <f>'06 Debt &amp; WC'!AO$12</f>
        <v>0</v>
      </c>
      <c r="AP13" s="90">
        <f>'06 Debt &amp; WC'!AP$12</f>
        <v>0</v>
      </c>
      <c r="AQ13" s="90">
        <f>'06 Debt &amp; WC'!AQ$12</f>
        <v>0</v>
      </c>
      <c r="AR13" s="90">
        <f>'06 Debt &amp; WC'!AR$12</f>
        <v>0</v>
      </c>
      <c r="AS13" s="90">
        <f>'06 Debt &amp; WC'!AS$12</f>
        <v>0</v>
      </c>
      <c r="AT13" s="90">
        <f>'06 Debt &amp; WC'!AT$12</f>
        <v>0</v>
      </c>
      <c r="AU13" s="90">
        <f>'06 Debt &amp; WC'!AU$12</f>
        <v>0</v>
      </c>
      <c r="AV13" s="90">
        <f>'06 Debt &amp; WC'!AV$12</f>
        <v>0</v>
      </c>
      <c r="AW13" s="90">
        <f>'06 Debt &amp; WC'!AW$12</f>
        <v>0</v>
      </c>
      <c r="AX13" s="90">
        <f>'06 Debt &amp; WC'!AX$12</f>
        <v>0</v>
      </c>
      <c r="AY13" s="90">
        <f>'06 Debt &amp; WC'!AY$12</f>
        <v>0</v>
      </c>
      <c r="AZ13" s="90">
        <f>'06 Debt &amp; WC'!AZ$12</f>
        <v>0</v>
      </c>
      <c r="BA13" s="90">
        <f>'06 Debt &amp; WC'!BA$12</f>
        <v>0</v>
      </c>
      <c r="BB13" s="90">
        <f>'06 Debt &amp; WC'!BB$12</f>
        <v>0</v>
      </c>
      <c r="BC13" s="90">
        <f>'06 Debt &amp; WC'!BC$12</f>
        <v>0</v>
      </c>
      <c r="BD13" s="90">
        <f>'06 Debt &amp; WC'!BD$12</f>
        <v>0</v>
      </c>
      <c r="BE13" s="90">
        <f>'06 Debt &amp; WC'!BE$12</f>
        <v>0</v>
      </c>
      <c r="BF13" s="90">
        <f>'06 Debt &amp; WC'!BF$12</f>
        <v>0</v>
      </c>
      <c r="BG13" s="90">
        <f>'06 Debt &amp; WC'!BG$12</f>
        <v>0</v>
      </c>
      <c r="BH13" s="90">
        <f>'06 Debt &amp; WC'!BH$12</f>
        <v>0</v>
      </c>
      <c r="BI13" s="90">
        <f>'06 Debt &amp; WC'!BI$12</f>
        <v>0</v>
      </c>
      <c r="BJ13" s="90">
        <f>'06 Debt &amp; WC'!BJ$12</f>
        <v>0</v>
      </c>
      <c r="BK13" s="90">
        <f>'06 Debt &amp; WC'!BK$12</f>
        <v>0</v>
      </c>
      <c r="BL13" s="90">
        <f>'06 Debt &amp; WC'!BL$12</f>
        <v>0</v>
      </c>
      <c r="BM13" s="90">
        <f>'06 Debt &amp; WC'!BM$12</f>
        <v>0</v>
      </c>
      <c r="BN13" s="90">
        <f>'06 Debt &amp; WC'!BN$12</f>
        <v>0</v>
      </c>
      <c r="BO13" s="90">
        <f>'06 Debt &amp; WC'!BO$12</f>
        <v>0</v>
      </c>
    </row>
    <row r="14" spans="1:67">
      <c r="A14" s="11"/>
      <c r="B14" s="11"/>
      <c r="C14" s="11" t="s">
        <v>491</v>
      </c>
      <c r="D14" s="33"/>
      <c r="E14" s="33"/>
      <c r="F14" s="33"/>
      <c r="G14" s="90">
        <f>0</f>
        <v>0</v>
      </c>
      <c r="H14" s="90">
        <f>G15</f>
        <v>23922220.516129032</v>
      </c>
      <c r="I14" s="90">
        <f t="shared" ref="I14:BO14" si="0">H15</f>
        <v>47648777.428571433</v>
      </c>
      <c r="J14" s="90">
        <f t="shared" si="0"/>
        <v>71445820.516129032</v>
      </c>
      <c r="K14" s="90">
        <f t="shared" si="0"/>
        <v>341326656</v>
      </c>
      <c r="L14" s="90">
        <f t="shared" si="0"/>
        <v>396405891.10436434</v>
      </c>
      <c r="M14" s="90">
        <f t="shared" si="0"/>
        <v>451463197.17647058</v>
      </c>
      <c r="N14" s="90">
        <f t="shared" si="0"/>
        <v>506552432.28083491</v>
      </c>
      <c r="O14" s="90">
        <f t="shared" si="0"/>
        <v>561630702.86907017</v>
      </c>
      <c r="P14" s="90">
        <f t="shared" si="0"/>
        <v>616698008.94117641</v>
      </c>
      <c r="Q14" s="90">
        <f t="shared" si="0"/>
        <v>682554122.40575576</v>
      </c>
      <c r="R14" s="90">
        <f t="shared" si="0"/>
        <v>706993193.5</v>
      </c>
      <c r="S14" s="90">
        <f t="shared" si="0"/>
        <v>707456309.89784944</v>
      </c>
      <c r="T14" s="90">
        <f t="shared" si="0"/>
        <v>708160748.7275269</v>
      </c>
      <c r="U14" s="90">
        <f t="shared" si="0"/>
        <v>708685266.45908046</v>
      </c>
      <c r="V14" s="90">
        <f t="shared" si="0"/>
        <v>709947891.26516128</v>
      </c>
      <c r="W14" s="90">
        <f t="shared" si="0"/>
        <v>711091579.87</v>
      </c>
      <c r="X14" s="90">
        <f t="shared" si="0"/>
        <v>712422913.43989253</v>
      </c>
      <c r="Y14" s="90">
        <f t="shared" si="0"/>
        <v>713672301.03666675</v>
      </c>
      <c r="Z14" s="90">
        <f t="shared" si="0"/>
        <v>714992881.91838717</v>
      </c>
      <c r="AA14" s="90">
        <f t="shared" si="0"/>
        <v>716272840.35118294</v>
      </c>
      <c r="AB14" s="90">
        <f t="shared" si="0"/>
        <v>717388700.28601158</v>
      </c>
      <c r="AC14" s="90">
        <f t="shared" si="0"/>
        <v>717388700.28601158</v>
      </c>
      <c r="AD14" s="90">
        <f t="shared" si="0"/>
        <v>717388700.28601158</v>
      </c>
      <c r="AE14" s="90">
        <f t="shared" si="0"/>
        <v>717388700.28601158</v>
      </c>
      <c r="AF14" s="90">
        <f t="shared" si="0"/>
        <v>717388700.28601158</v>
      </c>
      <c r="AG14" s="90">
        <f t="shared" si="0"/>
        <v>717388700.28601158</v>
      </c>
      <c r="AH14" s="90">
        <f t="shared" si="0"/>
        <v>717388700.28601158</v>
      </c>
      <c r="AI14" s="90">
        <f t="shared" si="0"/>
        <v>717388700.28601158</v>
      </c>
      <c r="AJ14" s="90">
        <f t="shared" si="0"/>
        <v>717388700.28601158</v>
      </c>
      <c r="AK14" s="90">
        <f t="shared" si="0"/>
        <v>717388700.28601158</v>
      </c>
      <c r="AL14" s="90">
        <f t="shared" si="0"/>
        <v>717388700.28601158</v>
      </c>
      <c r="AM14" s="90">
        <f t="shared" si="0"/>
        <v>717388700.28601158</v>
      </c>
      <c r="AN14" s="90">
        <f t="shared" si="0"/>
        <v>717388700.28601158</v>
      </c>
      <c r="AO14" s="90">
        <f t="shared" si="0"/>
        <v>717388700.28601158</v>
      </c>
      <c r="AP14" s="90">
        <f t="shared" si="0"/>
        <v>717388700.28601158</v>
      </c>
      <c r="AQ14" s="90">
        <f t="shared" si="0"/>
        <v>717388700.28601158</v>
      </c>
      <c r="AR14" s="90">
        <f t="shared" si="0"/>
        <v>717388700.28601158</v>
      </c>
      <c r="AS14" s="90">
        <f t="shared" si="0"/>
        <v>717388700.28601158</v>
      </c>
      <c r="AT14" s="90">
        <f t="shared" si="0"/>
        <v>717388700.28601158</v>
      </c>
      <c r="AU14" s="90">
        <f t="shared" si="0"/>
        <v>717388700.28601158</v>
      </c>
      <c r="AV14" s="90">
        <f t="shared" si="0"/>
        <v>717388700.28601158</v>
      </c>
      <c r="AW14" s="90">
        <f t="shared" si="0"/>
        <v>717388700.28601158</v>
      </c>
      <c r="AX14" s="90">
        <f t="shared" si="0"/>
        <v>717388700.28601158</v>
      </c>
      <c r="AY14" s="90">
        <f t="shared" si="0"/>
        <v>717388700.28601158</v>
      </c>
      <c r="AZ14" s="90">
        <f t="shared" si="0"/>
        <v>717388700.28601158</v>
      </c>
      <c r="BA14" s="90">
        <f t="shared" si="0"/>
        <v>717388700.28601158</v>
      </c>
      <c r="BB14" s="90">
        <f t="shared" si="0"/>
        <v>717388700.28601158</v>
      </c>
      <c r="BC14" s="90">
        <f t="shared" si="0"/>
        <v>717388700.28601158</v>
      </c>
      <c r="BD14" s="90">
        <f t="shared" si="0"/>
        <v>717388700.28601158</v>
      </c>
      <c r="BE14" s="90">
        <f t="shared" si="0"/>
        <v>717388700.28601158</v>
      </c>
      <c r="BF14" s="90">
        <f t="shared" si="0"/>
        <v>717388700.28601158</v>
      </c>
      <c r="BG14" s="90">
        <f t="shared" si="0"/>
        <v>717388700.28601158</v>
      </c>
      <c r="BH14" s="90">
        <f t="shared" si="0"/>
        <v>717388700.28601158</v>
      </c>
      <c r="BI14" s="90">
        <f t="shared" si="0"/>
        <v>717388700.28601158</v>
      </c>
      <c r="BJ14" s="90">
        <f t="shared" si="0"/>
        <v>717388700.28601158</v>
      </c>
      <c r="BK14" s="90">
        <f t="shared" si="0"/>
        <v>717388700.28601158</v>
      </c>
      <c r="BL14" s="90">
        <f t="shared" si="0"/>
        <v>717388700.28601158</v>
      </c>
      <c r="BM14" s="90">
        <f t="shared" si="0"/>
        <v>717388700.28601158</v>
      </c>
      <c r="BN14" s="90">
        <f t="shared" si="0"/>
        <v>717388700.28601158</v>
      </c>
      <c r="BO14" s="90">
        <f t="shared" si="0"/>
        <v>717388700.28601158</v>
      </c>
    </row>
    <row r="15" spans="1:67">
      <c r="A15" s="11"/>
      <c r="B15" s="11"/>
      <c r="C15" s="11" t="s">
        <v>492</v>
      </c>
      <c r="D15" s="33"/>
      <c r="E15" s="33"/>
      <c r="F15" s="33"/>
      <c r="G15" s="90">
        <f>G14+G13</f>
        <v>23922220.516129032</v>
      </c>
      <c r="H15" s="90">
        <f t="shared" ref="H15:BI15" si="1">H14+H13</f>
        <v>47648777.428571433</v>
      </c>
      <c r="I15" s="90">
        <f t="shared" si="1"/>
        <v>71445820.516129032</v>
      </c>
      <c r="J15" s="90">
        <f t="shared" si="1"/>
        <v>341326656</v>
      </c>
      <c r="K15" s="90">
        <f t="shared" si="1"/>
        <v>396405891.10436434</v>
      </c>
      <c r="L15" s="90">
        <f t="shared" si="1"/>
        <v>451463197.17647058</v>
      </c>
      <c r="M15" s="90">
        <f t="shared" si="1"/>
        <v>506552432.28083491</v>
      </c>
      <c r="N15" s="90">
        <f t="shared" si="1"/>
        <v>561630702.86907017</v>
      </c>
      <c r="O15" s="90">
        <f t="shared" si="1"/>
        <v>616698008.94117641</v>
      </c>
      <c r="P15" s="90">
        <f t="shared" si="1"/>
        <v>682554122.40575576</v>
      </c>
      <c r="Q15" s="90">
        <f t="shared" si="1"/>
        <v>706993193.5</v>
      </c>
      <c r="R15" s="90">
        <f t="shared" si="1"/>
        <v>707456309.89784944</v>
      </c>
      <c r="S15" s="90">
        <f t="shared" si="1"/>
        <v>708160748.7275269</v>
      </c>
      <c r="T15" s="90">
        <f t="shared" si="1"/>
        <v>708685266.45908046</v>
      </c>
      <c r="U15" s="90">
        <f t="shared" si="1"/>
        <v>709947891.26516128</v>
      </c>
      <c r="V15" s="90">
        <f t="shared" si="1"/>
        <v>711091579.87</v>
      </c>
      <c r="W15" s="90">
        <f t="shared" si="1"/>
        <v>712422913.43989253</v>
      </c>
      <c r="X15" s="90">
        <f t="shared" si="1"/>
        <v>713672301.03666675</v>
      </c>
      <c r="Y15" s="90">
        <f t="shared" si="1"/>
        <v>714992881.91838717</v>
      </c>
      <c r="Z15" s="90">
        <f t="shared" si="1"/>
        <v>716272840.35118294</v>
      </c>
      <c r="AA15" s="90">
        <f t="shared" si="1"/>
        <v>717388700.28601158</v>
      </c>
      <c r="AB15" s="90">
        <f t="shared" si="1"/>
        <v>717388700.28601158</v>
      </c>
      <c r="AC15" s="90">
        <f t="shared" si="1"/>
        <v>717388700.28601158</v>
      </c>
      <c r="AD15" s="90">
        <f t="shared" si="1"/>
        <v>717388700.28601158</v>
      </c>
      <c r="AE15" s="90">
        <f t="shared" si="1"/>
        <v>717388700.28601158</v>
      </c>
      <c r="AF15" s="90">
        <f t="shared" si="1"/>
        <v>717388700.28601158</v>
      </c>
      <c r="AG15" s="90">
        <f t="shared" si="1"/>
        <v>717388700.28601158</v>
      </c>
      <c r="AH15" s="90">
        <f t="shared" si="1"/>
        <v>717388700.28601158</v>
      </c>
      <c r="AI15" s="90">
        <f t="shared" si="1"/>
        <v>717388700.28601158</v>
      </c>
      <c r="AJ15" s="90">
        <f t="shared" si="1"/>
        <v>717388700.28601158</v>
      </c>
      <c r="AK15" s="90">
        <f t="shared" si="1"/>
        <v>717388700.28601158</v>
      </c>
      <c r="AL15" s="90">
        <f t="shared" si="1"/>
        <v>717388700.28601158</v>
      </c>
      <c r="AM15" s="90">
        <f t="shared" si="1"/>
        <v>717388700.28601158</v>
      </c>
      <c r="AN15" s="90">
        <f t="shared" si="1"/>
        <v>717388700.28601158</v>
      </c>
      <c r="AO15" s="90">
        <f t="shared" si="1"/>
        <v>717388700.28601158</v>
      </c>
      <c r="AP15" s="90">
        <f t="shared" si="1"/>
        <v>717388700.28601158</v>
      </c>
      <c r="AQ15" s="90">
        <f t="shared" si="1"/>
        <v>717388700.28601158</v>
      </c>
      <c r="AR15" s="90">
        <f t="shared" si="1"/>
        <v>717388700.28601158</v>
      </c>
      <c r="AS15" s="90">
        <f t="shared" si="1"/>
        <v>717388700.28601158</v>
      </c>
      <c r="AT15" s="90">
        <f t="shared" si="1"/>
        <v>717388700.28601158</v>
      </c>
      <c r="AU15" s="90">
        <f t="shared" si="1"/>
        <v>717388700.28601158</v>
      </c>
      <c r="AV15" s="90">
        <f t="shared" si="1"/>
        <v>717388700.28601158</v>
      </c>
      <c r="AW15" s="90">
        <f t="shared" si="1"/>
        <v>717388700.28601158</v>
      </c>
      <c r="AX15" s="90">
        <f t="shared" si="1"/>
        <v>717388700.28601158</v>
      </c>
      <c r="AY15" s="90">
        <f t="shared" si="1"/>
        <v>717388700.28601158</v>
      </c>
      <c r="AZ15" s="90">
        <f t="shared" si="1"/>
        <v>717388700.28601158</v>
      </c>
      <c r="BA15" s="90">
        <f t="shared" si="1"/>
        <v>717388700.28601158</v>
      </c>
      <c r="BB15" s="90">
        <f t="shared" si="1"/>
        <v>717388700.28601158</v>
      </c>
      <c r="BC15" s="90">
        <f t="shared" si="1"/>
        <v>717388700.28601158</v>
      </c>
      <c r="BD15" s="90">
        <f t="shared" si="1"/>
        <v>717388700.28601158</v>
      </c>
      <c r="BE15" s="90">
        <f t="shared" si="1"/>
        <v>717388700.28601158</v>
      </c>
      <c r="BF15" s="90">
        <f t="shared" si="1"/>
        <v>717388700.28601158</v>
      </c>
      <c r="BG15" s="90">
        <f t="shared" si="1"/>
        <v>717388700.28601158</v>
      </c>
      <c r="BH15" s="90">
        <f t="shared" si="1"/>
        <v>717388700.28601158</v>
      </c>
      <c r="BI15" s="90">
        <f t="shared" si="1"/>
        <v>717388700.28601158</v>
      </c>
      <c r="BJ15" s="90">
        <f t="shared" ref="BJ15" si="2">BJ14+BJ13</f>
        <v>717388700.28601158</v>
      </c>
      <c r="BK15" s="90">
        <f t="shared" ref="BK15" si="3">BK14+BK13</f>
        <v>717388700.28601158</v>
      </c>
      <c r="BL15" s="90">
        <f t="shared" ref="BL15" si="4">BL14+BL13</f>
        <v>717388700.28601158</v>
      </c>
      <c r="BM15" s="90">
        <f t="shared" ref="BM15" si="5">BM14+BM13</f>
        <v>717388700.28601158</v>
      </c>
      <c r="BN15" s="90">
        <f t="shared" ref="BN15" si="6">BN14+BN13</f>
        <v>717388700.28601158</v>
      </c>
      <c r="BO15" s="90">
        <f t="shared" ref="BO15" si="7">BO14+BO13</f>
        <v>717388700.28601158</v>
      </c>
    </row>
    <row r="16" spans="1:67">
      <c r="A16" s="11"/>
      <c r="B16" s="11"/>
      <c r="C16" s="11"/>
      <c r="D16" s="33"/>
      <c r="E16" s="33"/>
      <c r="F16" s="3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row>
    <row r="17" spans="1:67">
      <c r="A17" s="18" t="s">
        <v>493</v>
      </c>
      <c r="B17" s="18"/>
      <c r="C17" s="18"/>
      <c r="D17" s="39"/>
      <c r="E17" s="39"/>
      <c r="F17" s="39"/>
      <c r="G17" s="40"/>
      <c r="H17" s="40"/>
      <c r="I17" s="40"/>
      <c r="J17" s="40"/>
      <c r="K17" s="40"/>
      <c r="L17" s="40"/>
      <c r="M17" s="40"/>
      <c r="N17" s="40"/>
      <c r="O17" s="40"/>
      <c r="P17" s="40"/>
      <c r="Q17" s="40"/>
      <c r="R17" s="40"/>
      <c r="S17" s="40"/>
      <c r="T17" s="40"/>
      <c r="U17" s="40"/>
      <c r="V17" s="40"/>
      <c r="W17" s="40"/>
      <c r="X17" s="40"/>
      <c r="Y17" s="40"/>
      <c r="Z17" s="40"/>
      <c r="AA17" s="40"/>
      <c r="AB17" s="40"/>
      <c r="AC17" s="40"/>
      <c r="AD17" s="40"/>
      <c r="AE17" s="40"/>
      <c r="AF17" s="40"/>
      <c r="AG17" s="40"/>
      <c r="AH17" s="40"/>
      <c r="AI17" s="40"/>
      <c r="AJ17" s="40"/>
      <c r="AK17" s="40"/>
      <c r="AL17" s="40"/>
      <c r="AM17" s="40"/>
      <c r="AN17" s="40"/>
      <c r="AO17" s="40"/>
      <c r="AP17" s="40"/>
      <c r="AQ17" s="40"/>
      <c r="AR17" s="40"/>
      <c r="AS17" s="40"/>
      <c r="AT17" s="40"/>
      <c r="AU17" s="40"/>
      <c r="AV17" s="40"/>
      <c r="AW17" s="40"/>
      <c r="AX17" s="40"/>
      <c r="AY17" s="40"/>
      <c r="AZ17" s="40"/>
      <c r="BA17" s="40"/>
      <c r="BB17" s="40"/>
      <c r="BC17" s="40"/>
      <c r="BD17" s="40"/>
      <c r="BE17" s="40"/>
      <c r="BF17" s="40"/>
      <c r="BG17" s="40"/>
      <c r="BH17" s="40"/>
      <c r="BI17" s="40"/>
      <c r="BJ17" s="40"/>
      <c r="BK17" s="40"/>
      <c r="BL17" s="40"/>
      <c r="BM17" s="40"/>
      <c r="BN17" s="40"/>
      <c r="BO17" s="40"/>
    </row>
    <row r="18" spans="1:67">
      <c r="A18" s="11"/>
      <c r="B18" s="11"/>
      <c r="C18" s="11" t="s">
        <v>494</v>
      </c>
      <c r="D18" s="33"/>
      <c r="E18" s="33"/>
      <c r="F18" s="33"/>
      <c r="G18" s="90">
        <f>G15*'01 Major Assumptions'!$D$146</f>
        <v>2392222.0516129034</v>
      </c>
      <c r="H18" s="90">
        <f>H15*'01 Major Assumptions'!$D$146</f>
        <v>4764877.7428571433</v>
      </c>
      <c r="I18" s="90">
        <f>I15*'01 Major Assumptions'!$D$146</f>
        <v>7144582.0516129034</v>
      </c>
      <c r="J18" s="90">
        <f>J15*'01 Major Assumptions'!$D$146</f>
        <v>34132665.600000001</v>
      </c>
      <c r="K18" s="90">
        <f>K15*'01 Major Assumptions'!$D$146</f>
        <v>39640589.110436432</v>
      </c>
      <c r="L18" s="90">
        <f>L15*'01 Major Assumptions'!$D$146</f>
        <v>45146319.717647061</v>
      </c>
      <c r="M18" s="90">
        <f>M15*'01 Major Assumptions'!$D$146</f>
        <v>50655243.228083491</v>
      </c>
      <c r="N18" s="90">
        <f>N15*'01 Major Assumptions'!$D$146</f>
        <v>56163070.286907017</v>
      </c>
      <c r="O18" s="90">
        <f>O15*'01 Major Assumptions'!$D$146</f>
        <v>61669800.894117646</v>
      </c>
      <c r="P18" s="90">
        <f>P15*'01 Major Assumptions'!$D$146</f>
        <v>68255412.240575582</v>
      </c>
      <c r="Q18" s="90">
        <f>Q15*'01 Major Assumptions'!$D$146</f>
        <v>70699319.350000009</v>
      </c>
      <c r="R18" s="90">
        <f>R15*'01 Major Assumptions'!$D$146</f>
        <v>70745630.989784941</v>
      </c>
      <c r="S18" s="90">
        <f>S15*'01 Major Assumptions'!$D$146</f>
        <v>70816074.872752696</v>
      </c>
      <c r="T18" s="90">
        <f>T15*'01 Major Assumptions'!$D$146</f>
        <v>70868526.645908043</v>
      </c>
      <c r="U18" s="90">
        <f>U15*'01 Major Assumptions'!$D$146</f>
        <v>70994789.126516134</v>
      </c>
      <c r="V18" s="90">
        <f>V15*'01 Major Assumptions'!$D$146</f>
        <v>71109157.987000003</v>
      </c>
      <c r="W18" s="90">
        <f>W15*'01 Major Assumptions'!$D$146</f>
        <v>71242291.343989253</v>
      </c>
      <c r="X18" s="90">
        <f>X15*'01 Major Assumptions'!$D$146</f>
        <v>71367230.103666678</v>
      </c>
      <c r="Y18" s="90">
        <f>Y15*'01 Major Assumptions'!$D$146</f>
        <v>71499288.191838726</v>
      </c>
      <c r="Z18" s="90">
        <f>Z15*'01 Major Assumptions'!$D$146</f>
        <v>71627284.035118297</v>
      </c>
      <c r="AA18" s="90">
        <f>AA15*'01 Major Assumptions'!$D$146</f>
        <v>71738870.028601155</v>
      </c>
      <c r="AB18" s="90">
        <f>AB15*'01 Major Assumptions'!$D$146</f>
        <v>71738870.028601155</v>
      </c>
      <c r="AC18" s="90">
        <f>AC15*'01 Major Assumptions'!$D$146</f>
        <v>71738870.028601155</v>
      </c>
      <c r="AD18" s="90">
        <f>AD15*'01 Major Assumptions'!$D$146</f>
        <v>71738870.028601155</v>
      </c>
      <c r="AE18" s="90">
        <f>AE15*'01 Major Assumptions'!$D$146</f>
        <v>71738870.028601155</v>
      </c>
      <c r="AF18" s="90">
        <f>AF15*'01 Major Assumptions'!$D$146</f>
        <v>71738870.028601155</v>
      </c>
      <c r="AG18" s="90">
        <f>AG15*'01 Major Assumptions'!$D$146</f>
        <v>71738870.028601155</v>
      </c>
      <c r="AH18" s="90">
        <f>AH15*'01 Major Assumptions'!$D$146</f>
        <v>71738870.028601155</v>
      </c>
      <c r="AI18" s="90">
        <f>AI15*'01 Major Assumptions'!$D$146</f>
        <v>71738870.028601155</v>
      </c>
      <c r="AJ18" s="90">
        <f>AJ15*'01 Major Assumptions'!$D$146</f>
        <v>71738870.028601155</v>
      </c>
      <c r="AK18" s="90">
        <f>AK15*'01 Major Assumptions'!$D$146</f>
        <v>71738870.028601155</v>
      </c>
      <c r="AL18" s="90">
        <f>AL15*'01 Major Assumptions'!$D$146</f>
        <v>71738870.028601155</v>
      </c>
      <c r="AM18" s="90">
        <f>AM15*'01 Major Assumptions'!$D$146</f>
        <v>71738870.028601155</v>
      </c>
      <c r="AN18" s="90">
        <f>AN15*'01 Major Assumptions'!$D$146</f>
        <v>71738870.028601155</v>
      </c>
      <c r="AO18" s="90">
        <f>AO15*'01 Major Assumptions'!$D$146</f>
        <v>71738870.028601155</v>
      </c>
      <c r="AP18" s="90">
        <f>AP15*'01 Major Assumptions'!$D$146</f>
        <v>71738870.028601155</v>
      </c>
      <c r="AQ18" s="90">
        <f>AQ15*'01 Major Assumptions'!$D$146</f>
        <v>71738870.028601155</v>
      </c>
      <c r="AR18" s="90">
        <f>AR15*'01 Major Assumptions'!$D$146</f>
        <v>71738870.028601155</v>
      </c>
      <c r="AS18" s="90">
        <f>AS15*'01 Major Assumptions'!$D$146</f>
        <v>71738870.028601155</v>
      </c>
      <c r="AT18" s="90">
        <f>AT15*'01 Major Assumptions'!$D$146</f>
        <v>71738870.028601155</v>
      </c>
      <c r="AU18" s="90">
        <f>AU15*'01 Major Assumptions'!$D$146</f>
        <v>71738870.028601155</v>
      </c>
      <c r="AV18" s="90">
        <f>AV15*'01 Major Assumptions'!$D$146</f>
        <v>71738870.028601155</v>
      </c>
      <c r="AW18" s="90">
        <f>AW15*'01 Major Assumptions'!$D$146</f>
        <v>71738870.028601155</v>
      </c>
      <c r="AX18" s="90">
        <f>AX15*'01 Major Assumptions'!$D$146</f>
        <v>71738870.028601155</v>
      </c>
      <c r="AY18" s="90">
        <f>AY15*'01 Major Assumptions'!$D$146</f>
        <v>71738870.028601155</v>
      </c>
      <c r="AZ18" s="90">
        <f>AZ15*'01 Major Assumptions'!$D$146</f>
        <v>71738870.028601155</v>
      </c>
      <c r="BA18" s="90">
        <f>BA15*'01 Major Assumptions'!$D$146</f>
        <v>71738870.028601155</v>
      </c>
      <c r="BB18" s="90">
        <f>BB15*'01 Major Assumptions'!$D$146</f>
        <v>71738870.028601155</v>
      </c>
      <c r="BC18" s="90">
        <f>BC15*'01 Major Assumptions'!$D$146</f>
        <v>71738870.028601155</v>
      </c>
      <c r="BD18" s="90">
        <f>BD15*'01 Major Assumptions'!$D$146</f>
        <v>71738870.028601155</v>
      </c>
      <c r="BE18" s="90">
        <f>BE15*'01 Major Assumptions'!$D$146</f>
        <v>71738870.028601155</v>
      </c>
      <c r="BF18" s="90">
        <f>BF15*'01 Major Assumptions'!$D$146</f>
        <v>71738870.028601155</v>
      </c>
      <c r="BG18" s="90">
        <f>BG15*'01 Major Assumptions'!$D$146</f>
        <v>71738870.028601155</v>
      </c>
      <c r="BH18" s="90">
        <f>BH15*'01 Major Assumptions'!$D$146</f>
        <v>71738870.028601155</v>
      </c>
      <c r="BI18" s="90">
        <f>BI15*'01 Major Assumptions'!$D$146</f>
        <v>71738870.028601155</v>
      </c>
      <c r="BJ18" s="90">
        <f>BJ15*'01 Major Assumptions'!$D$146</f>
        <v>71738870.028601155</v>
      </c>
      <c r="BK18" s="90">
        <f>BK15*'01 Major Assumptions'!$D$146</f>
        <v>71738870.028601155</v>
      </c>
      <c r="BL18" s="90">
        <f>BL15*'01 Major Assumptions'!$D$146</f>
        <v>71738870.028601155</v>
      </c>
      <c r="BM18" s="90">
        <f>BM15*'01 Major Assumptions'!$D$146</f>
        <v>71738870.028601155</v>
      </c>
      <c r="BN18" s="90">
        <f>BN15*'01 Major Assumptions'!$D$146</f>
        <v>71738870.028601155</v>
      </c>
      <c r="BO18" s="90">
        <f>BO15*'01 Major Assumptions'!$D$146</f>
        <v>71738870.028601155</v>
      </c>
    </row>
    <row r="19" spans="1:67">
      <c r="A19" s="11"/>
      <c r="B19" s="11"/>
      <c r="C19" s="11" t="s">
        <v>495</v>
      </c>
      <c r="D19" s="33"/>
      <c r="E19" s="33"/>
      <c r="F19" s="33"/>
      <c r="G19" s="90">
        <f>0</f>
        <v>0</v>
      </c>
      <c r="H19" s="90">
        <f>G21</f>
        <v>0</v>
      </c>
      <c r="I19" s="90">
        <f t="shared" ref="I19:BI19" si="8">H21</f>
        <v>0</v>
      </c>
      <c r="J19" s="90">
        <f t="shared" si="8"/>
        <v>0</v>
      </c>
      <c r="K19" s="90">
        <f t="shared" si="8"/>
        <v>0</v>
      </c>
      <c r="L19" s="90">
        <f t="shared" si="8"/>
        <v>0</v>
      </c>
      <c r="M19" s="90">
        <f t="shared" si="8"/>
        <v>0</v>
      </c>
      <c r="N19" s="90">
        <f t="shared" si="8"/>
        <v>0</v>
      </c>
      <c r="O19" s="90">
        <f t="shared" si="8"/>
        <v>0</v>
      </c>
      <c r="P19" s="90">
        <f t="shared" si="8"/>
        <v>0</v>
      </c>
      <c r="Q19" s="90">
        <f t="shared" si="8"/>
        <v>0</v>
      </c>
      <c r="R19" s="90">
        <f t="shared" si="8"/>
        <v>0</v>
      </c>
      <c r="S19" s="90">
        <f t="shared" si="8"/>
        <v>0</v>
      </c>
      <c r="T19" s="90">
        <f t="shared" si="8"/>
        <v>0</v>
      </c>
      <c r="U19" s="90">
        <f t="shared" si="8"/>
        <v>0</v>
      </c>
      <c r="V19" s="90">
        <f t="shared" si="8"/>
        <v>0</v>
      </c>
      <c r="W19" s="90">
        <f t="shared" si="8"/>
        <v>0</v>
      </c>
      <c r="X19" s="90">
        <f t="shared" si="8"/>
        <v>0</v>
      </c>
      <c r="Y19" s="90">
        <f t="shared" si="8"/>
        <v>0</v>
      </c>
      <c r="Z19" s="90">
        <f t="shared" si="8"/>
        <v>0</v>
      </c>
      <c r="AA19" s="90">
        <f t="shared" si="8"/>
        <v>0</v>
      </c>
      <c r="AB19" s="90">
        <f t="shared" si="8"/>
        <v>0</v>
      </c>
      <c r="AC19" s="90">
        <f t="shared" si="8"/>
        <v>0</v>
      </c>
      <c r="AD19" s="90">
        <f t="shared" si="8"/>
        <v>0</v>
      </c>
      <c r="AE19" s="90">
        <f t="shared" si="8"/>
        <v>0</v>
      </c>
      <c r="AF19" s="90">
        <f t="shared" si="8"/>
        <v>0</v>
      </c>
      <c r="AG19" s="90">
        <f t="shared" si="8"/>
        <v>0</v>
      </c>
      <c r="AH19" s="90">
        <f t="shared" si="8"/>
        <v>0</v>
      </c>
      <c r="AI19" s="90">
        <f t="shared" si="8"/>
        <v>0</v>
      </c>
      <c r="AJ19" s="90">
        <f t="shared" si="8"/>
        <v>0</v>
      </c>
      <c r="AK19" s="90">
        <f t="shared" si="8"/>
        <v>0</v>
      </c>
      <c r="AL19" s="90">
        <f t="shared" si="8"/>
        <v>0</v>
      </c>
      <c r="AM19" s="90">
        <f t="shared" si="8"/>
        <v>0</v>
      </c>
      <c r="AN19" s="90">
        <f t="shared" ca="1" si="8"/>
        <v>0</v>
      </c>
      <c r="AO19" s="90">
        <f t="shared" ca="1" si="8"/>
        <v>0</v>
      </c>
      <c r="AP19" s="90">
        <f t="shared" ca="1" si="8"/>
        <v>0</v>
      </c>
      <c r="AQ19" s="90">
        <f t="shared" ca="1" si="8"/>
        <v>0</v>
      </c>
      <c r="AR19" s="90">
        <f t="shared" ca="1" si="8"/>
        <v>0</v>
      </c>
      <c r="AS19" s="90">
        <f t="shared" ca="1" si="8"/>
        <v>0</v>
      </c>
      <c r="AT19" s="90">
        <f t="shared" ca="1" si="8"/>
        <v>0</v>
      </c>
      <c r="AU19" s="90">
        <f t="shared" ca="1" si="8"/>
        <v>0</v>
      </c>
      <c r="AV19" s="90">
        <f t="shared" ca="1" si="8"/>
        <v>0</v>
      </c>
      <c r="AW19" s="90">
        <f t="shared" ca="1" si="8"/>
        <v>0</v>
      </c>
      <c r="AX19" s="90">
        <f t="shared" ca="1" si="8"/>
        <v>0</v>
      </c>
      <c r="AY19" s="90">
        <f t="shared" ca="1" si="8"/>
        <v>0</v>
      </c>
      <c r="AZ19" s="90">
        <f t="shared" ca="1" si="8"/>
        <v>71738870.028601155</v>
      </c>
      <c r="BA19" s="90">
        <f t="shared" ca="1" si="8"/>
        <v>71738870.028601155</v>
      </c>
      <c r="BB19" s="90">
        <f t="shared" ca="1" si="8"/>
        <v>71738870.028601155</v>
      </c>
      <c r="BC19" s="90">
        <f t="shared" ca="1" si="8"/>
        <v>71738870.028601155</v>
      </c>
      <c r="BD19" s="90">
        <f t="shared" ca="1" si="8"/>
        <v>71738870.028601155</v>
      </c>
      <c r="BE19" s="90">
        <f t="shared" ca="1" si="8"/>
        <v>71738870.028601155</v>
      </c>
      <c r="BF19" s="90">
        <f t="shared" ca="1" si="8"/>
        <v>71738870.028601155</v>
      </c>
      <c r="BG19" s="90">
        <f t="shared" ca="1" si="8"/>
        <v>71738870.028601155</v>
      </c>
      <c r="BH19" s="90">
        <f t="shared" ca="1" si="8"/>
        <v>71738870.028601155</v>
      </c>
      <c r="BI19" s="90">
        <f t="shared" ca="1" si="8"/>
        <v>71738870.028601155</v>
      </c>
      <c r="BJ19" s="90">
        <f t="shared" ref="BJ19:BO19" ca="1" si="9">BI21</f>
        <v>71738870.028601155</v>
      </c>
      <c r="BK19" s="90">
        <f t="shared" ca="1" si="9"/>
        <v>71738870.028601155</v>
      </c>
      <c r="BL19" s="90">
        <f t="shared" ca="1" si="9"/>
        <v>71738870.028601155</v>
      </c>
      <c r="BM19" s="90">
        <f t="shared" ca="1" si="9"/>
        <v>71738870.028601155</v>
      </c>
      <c r="BN19" s="90">
        <f t="shared" ca="1" si="9"/>
        <v>71738870.028601155</v>
      </c>
      <c r="BO19" s="90">
        <f t="shared" ca="1" si="9"/>
        <v>71738870.028601155</v>
      </c>
    </row>
    <row r="20" spans="1:67">
      <c r="A20" s="11"/>
      <c r="B20" s="11"/>
      <c r="C20" s="11" t="s">
        <v>496</v>
      </c>
      <c r="D20" s="33"/>
      <c r="E20" s="33"/>
      <c r="F20" s="33"/>
      <c r="G20" s="90">
        <f>IF(G8=0,0,MIN(MAX(0,G18-G19),MAX(0,G10)))</f>
        <v>0</v>
      </c>
      <c r="H20" s="90">
        <f t="shared" ref="H20:BI20" si="10">IF(H8=0,0,MIN(MAX(0,H18-H19),MAX(0,H10)))</f>
        <v>0</v>
      </c>
      <c r="I20" s="90">
        <f t="shared" si="10"/>
        <v>0</v>
      </c>
      <c r="J20" s="90">
        <f t="shared" si="10"/>
        <v>0</v>
      </c>
      <c r="K20" s="90">
        <f t="shared" si="10"/>
        <v>0</v>
      </c>
      <c r="L20" s="90">
        <f t="shared" si="10"/>
        <v>0</v>
      </c>
      <c r="M20" s="90">
        <f t="shared" si="10"/>
        <v>0</v>
      </c>
      <c r="N20" s="90">
        <f t="shared" si="10"/>
        <v>0</v>
      </c>
      <c r="O20" s="90">
        <f t="shared" si="10"/>
        <v>0</v>
      </c>
      <c r="P20" s="90">
        <f t="shared" si="10"/>
        <v>0</v>
      </c>
      <c r="Q20" s="90">
        <f t="shared" si="10"/>
        <v>0</v>
      </c>
      <c r="R20" s="90">
        <f t="shared" si="10"/>
        <v>0</v>
      </c>
      <c r="S20" s="90">
        <f t="shared" si="10"/>
        <v>0</v>
      </c>
      <c r="T20" s="90">
        <f t="shared" si="10"/>
        <v>0</v>
      </c>
      <c r="U20" s="90">
        <f t="shared" si="10"/>
        <v>0</v>
      </c>
      <c r="V20" s="90">
        <f t="shared" si="10"/>
        <v>0</v>
      </c>
      <c r="W20" s="90">
        <f t="shared" si="10"/>
        <v>0</v>
      </c>
      <c r="X20" s="90">
        <f t="shared" si="10"/>
        <v>0</v>
      </c>
      <c r="Y20" s="90">
        <f t="shared" si="10"/>
        <v>0</v>
      </c>
      <c r="Z20" s="90">
        <f t="shared" si="10"/>
        <v>0</v>
      </c>
      <c r="AA20" s="90">
        <f t="shared" si="10"/>
        <v>0</v>
      </c>
      <c r="AB20" s="90">
        <f t="shared" si="10"/>
        <v>0</v>
      </c>
      <c r="AC20" s="90">
        <f t="shared" si="10"/>
        <v>0</v>
      </c>
      <c r="AD20" s="90">
        <f t="shared" si="10"/>
        <v>0</v>
      </c>
      <c r="AE20" s="90">
        <f t="shared" si="10"/>
        <v>0</v>
      </c>
      <c r="AF20" s="90">
        <f t="shared" si="10"/>
        <v>0</v>
      </c>
      <c r="AG20" s="90">
        <f t="shared" si="10"/>
        <v>0</v>
      </c>
      <c r="AH20" s="90">
        <f t="shared" si="10"/>
        <v>0</v>
      </c>
      <c r="AI20" s="90">
        <f t="shared" si="10"/>
        <v>0</v>
      </c>
      <c r="AJ20" s="90">
        <f t="shared" si="10"/>
        <v>0</v>
      </c>
      <c r="AK20" s="90">
        <f t="shared" si="10"/>
        <v>0</v>
      </c>
      <c r="AL20" s="90">
        <f t="shared" si="10"/>
        <v>0</v>
      </c>
      <c r="AM20" s="90">
        <f t="shared" ca="1" si="10"/>
        <v>0</v>
      </c>
      <c r="AN20" s="90">
        <f t="shared" si="10"/>
        <v>0</v>
      </c>
      <c r="AO20" s="90">
        <f t="shared" si="10"/>
        <v>0</v>
      </c>
      <c r="AP20" s="90">
        <f t="shared" si="10"/>
        <v>0</v>
      </c>
      <c r="AQ20" s="90">
        <f t="shared" si="10"/>
        <v>0</v>
      </c>
      <c r="AR20" s="90">
        <f t="shared" si="10"/>
        <v>0</v>
      </c>
      <c r="AS20" s="90">
        <f t="shared" si="10"/>
        <v>0</v>
      </c>
      <c r="AT20" s="90">
        <f t="shared" si="10"/>
        <v>0</v>
      </c>
      <c r="AU20" s="90">
        <f t="shared" si="10"/>
        <v>0</v>
      </c>
      <c r="AV20" s="90">
        <f t="shared" si="10"/>
        <v>0</v>
      </c>
      <c r="AW20" s="90">
        <f t="shared" si="10"/>
        <v>0</v>
      </c>
      <c r="AX20" s="90">
        <f t="shared" si="10"/>
        <v>0</v>
      </c>
      <c r="AY20" s="90">
        <f t="shared" ca="1" si="10"/>
        <v>71738870.028601155</v>
      </c>
      <c r="AZ20" s="90">
        <f t="shared" si="10"/>
        <v>0</v>
      </c>
      <c r="BA20" s="90">
        <f t="shared" si="10"/>
        <v>0</v>
      </c>
      <c r="BB20" s="90">
        <f t="shared" si="10"/>
        <v>0</v>
      </c>
      <c r="BC20" s="90">
        <f t="shared" si="10"/>
        <v>0</v>
      </c>
      <c r="BD20" s="90">
        <f t="shared" si="10"/>
        <v>0</v>
      </c>
      <c r="BE20" s="90">
        <f t="shared" si="10"/>
        <v>0</v>
      </c>
      <c r="BF20" s="90">
        <f t="shared" si="10"/>
        <v>0</v>
      </c>
      <c r="BG20" s="90">
        <f t="shared" si="10"/>
        <v>0</v>
      </c>
      <c r="BH20" s="90">
        <f t="shared" si="10"/>
        <v>0</v>
      </c>
      <c r="BI20" s="90">
        <f t="shared" ca="1" si="10"/>
        <v>0</v>
      </c>
      <c r="BJ20" s="90">
        <f t="shared" ref="BJ20" ca="1" si="11">IF(BJ8=0,0,MIN(MAX(0,BJ18-BJ19),MAX(0,BJ10)))</f>
        <v>0</v>
      </c>
      <c r="BK20" s="90">
        <f t="shared" ref="BK20" ca="1" si="12">IF(BK8=0,0,MIN(MAX(0,BK18-BK19),MAX(0,BK10)))</f>
        <v>0</v>
      </c>
      <c r="BL20" s="90">
        <f t="shared" ref="BL20" ca="1" si="13">IF(BL8=0,0,MIN(MAX(0,BL18-BL19),MAX(0,BL10)))</f>
        <v>0</v>
      </c>
      <c r="BM20" s="90">
        <f t="shared" ref="BM20" ca="1" si="14">IF(BM8=0,0,MIN(MAX(0,BM18-BM19),MAX(0,BM10)))</f>
        <v>0</v>
      </c>
      <c r="BN20" s="90">
        <f t="shared" ref="BN20" ca="1" si="15">IF(BN8=0,0,MIN(MAX(0,BN18-BN19),MAX(0,BN10)))</f>
        <v>0</v>
      </c>
      <c r="BO20" s="90">
        <f t="shared" ref="BO20" ca="1" si="16">IF(BO8=0,0,MIN(MAX(0,BO18-BO19),MAX(0,BO10)))</f>
        <v>0</v>
      </c>
    </row>
    <row r="21" spans="1:67">
      <c r="A21" s="11"/>
      <c r="B21" s="11"/>
      <c r="C21" s="11" t="s">
        <v>497</v>
      </c>
      <c r="D21" s="33"/>
      <c r="E21" s="33"/>
      <c r="F21" s="33"/>
      <c r="G21" s="90">
        <f>G19+G20</f>
        <v>0</v>
      </c>
      <c r="H21" s="90">
        <f t="shared" ref="H21:BI21" si="17">H19+H20</f>
        <v>0</v>
      </c>
      <c r="I21" s="90">
        <f t="shared" si="17"/>
        <v>0</v>
      </c>
      <c r="J21" s="90">
        <f t="shared" si="17"/>
        <v>0</v>
      </c>
      <c r="K21" s="90">
        <f t="shared" si="17"/>
        <v>0</v>
      </c>
      <c r="L21" s="90">
        <f t="shared" si="17"/>
        <v>0</v>
      </c>
      <c r="M21" s="90">
        <f t="shared" si="17"/>
        <v>0</v>
      </c>
      <c r="N21" s="90">
        <f t="shared" si="17"/>
        <v>0</v>
      </c>
      <c r="O21" s="90">
        <f t="shared" si="17"/>
        <v>0</v>
      </c>
      <c r="P21" s="90">
        <f t="shared" si="17"/>
        <v>0</v>
      </c>
      <c r="Q21" s="90">
        <f t="shared" si="17"/>
        <v>0</v>
      </c>
      <c r="R21" s="90">
        <f t="shared" si="17"/>
        <v>0</v>
      </c>
      <c r="S21" s="90">
        <f t="shared" si="17"/>
        <v>0</v>
      </c>
      <c r="T21" s="90">
        <f t="shared" si="17"/>
        <v>0</v>
      </c>
      <c r="U21" s="90">
        <f t="shared" si="17"/>
        <v>0</v>
      </c>
      <c r="V21" s="90">
        <f t="shared" si="17"/>
        <v>0</v>
      </c>
      <c r="W21" s="90">
        <f t="shared" si="17"/>
        <v>0</v>
      </c>
      <c r="X21" s="90">
        <f t="shared" si="17"/>
        <v>0</v>
      </c>
      <c r="Y21" s="90">
        <f t="shared" si="17"/>
        <v>0</v>
      </c>
      <c r="Z21" s="90">
        <f t="shared" si="17"/>
        <v>0</v>
      </c>
      <c r="AA21" s="90">
        <f t="shared" si="17"/>
        <v>0</v>
      </c>
      <c r="AB21" s="90">
        <f t="shared" si="17"/>
        <v>0</v>
      </c>
      <c r="AC21" s="90">
        <f t="shared" si="17"/>
        <v>0</v>
      </c>
      <c r="AD21" s="90">
        <f t="shared" si="17"/>
        <v>0</v>
      </c>
      <c r="AE21" s="90">
        <f t="shared" si="17"/>
        <v>0</v>
      </c>
      <c r="AF21" s="90">
        <f t="shared" si="17"/>
        <v>0</v>
      </c>
      <c r="AG21" s="90">
        <f t="shared" si="17"/>
        <v>0</v>
      </c>
      <c r="AH21" s="90">
        <f t="shared" si="17"/>
        <v>0</v>
      </c>
      <c r="AI21" s="90">
        <f t="shared" si="17"/>
        <v>0</v>
      </c>
      <c r="AJ21" s="90">
        <f t="shared" si="17"/>
        <v>0</v>
      </c>
      <c r="AK21" s="90">
        <f t="shared" si="17"/>
        <v>0</v>
      </c>
      <c r="AL21" s="90">
        <f t="shared" si="17"/>
        <v>0</v>
      </c>
      <c r="AM21" s="90">
        <f t="shared" ca="1" si="17"/>
        <v>0</v>
      </c>
      <c r="AN21" s="90">
        <f t="shared" ca="1" si="17"/>
        <v>0</v>
      </c>
      <c r="AO21" s="90">
        <f t="shared" ca="1" si="17"/>
        <v>0</v>
      </c>
      <c r="AP21" s="90">
        <f t="shared" ca="1" si="17"/>
        <v>0</v>
      </c>
      <c r="AQ21" s="90">
        <f t="shared" ca="1" si="17"/>
        <v>0</v>
      </c>
      <c r="AR21" s="90">
        <f t="shared" ca="1" si="17"/>
        <v>0</v>
      </c>
      <c r="AS21" s="90">
        <f t="shared" ca="1" si="17"/>
        <v>0</v>
      </c>
      <c r="AT21" s="90">
        <f t="shared" ca="1" si="17"/>
        <v>0</v>
      </c>
      <c r="AU21" s="90">
        <f t="shared" ca="1" si="17"/>
        <v>0</v>
      </c>
      <c r="AV21" s="90">
        <f t="shared" ca="1" si="17"/>
        <v>0</v>
      </c>
      <c r="AW21" s="90">
        <f t="shared" ca="1" si="17"/>
        <v>0</v>
      </c>
      <c r="AX21" s="90">
        <f t="shared" ca="1" si="17"/>
        <v>0</v>
      </c>
      <c r="AY21" s="90">
        <f t="shared" ca="1" si="17"/>
        <v>71738870.028601155</v>
      </c>
      <c r="AZ21" s="90">
        <f t="shared" ca="1" si="17"/>
        <v>71738870.028601155</v>
      </c>
      <c r="BA21" s="90">
        <f t="shared" ca="1" si="17"/>
        <v>71738870.028601155</v>
      </c>
      <c r="BB21" s="90">
        <f t="shared" ca="1" si="17"/>
        <v>71738870.028601155</v>
      </c>
      <c r="BC21" s="90">
        <f t="shared" ca="1" si="17"/>
        <v>71738870.028601155</v>
      </c>
      <c r="BD21" s="90">
        <f t="shared" ca="1" si="17"/>
        <v>71738870.028601155</v>
      </c>
      <c r="BE21" s="90">
        <f t="shared" ca="1" si="17"/>
        <v>71738870.028601155</v>
      </c>
      <c r="BF21" s="90">
        <f t="shared" ca="1" si="17"/>
        <v>71738870.028601155</v>
      </c>
      <c r="BG21" s="90">
        <f t="shared" ca="1" si="17"/>
        <v>71738870.028601155</v>
      </c>
      <c r="BH21" s="90">
        <f t="shared" ca="1" si="17"/>
        <v>71738870.028601155</v>
      </c>
      <c r="BI21" s="90">
        <f t="shared" ca="1" si="17"/>
        <v>71738870.028601155</v>
      </c>
      <c r="BJ21" s="90">
        <f t="shared" ref="BJ21" ca="1" si="18">BJ19+BJ20</f>
        <v>71738870.028601155</v>
      </c>
      <c r="BK21" s="90">
        <f t="shared" ref="BK21" ca="1" si="19">BK19+BK20</f>
        <v>71738870.028601155</v>
      </c>
      <c r="BL21" s="90">
        <f t="shared" ref="BL21" ca="1" si="20">BL19+BL20</f>
        <v>71738870.028601155</v>
      </c>
      <c r="BM21" s="90">
        <f t="shared" ref="BM21" ca="1" si="21">BM19+BM20</f>
        <v>71738870.028601155</v>
      </c>
      <c r="BN21" s="90">
        <f t="shared" ref="BN21" ca="1" si="22">BN19+BN20</f>
        <v>71738870.028601155</v>
      </c>
      <c r="BO21" s="90">
        <f t="shared" ref="BO21" ca="1" si="23">BO19+BO20</f>
        <v>71738870.028601155</v>
      </c>
    </row>
    <row r="22" spans="1:67">
      <c r="A22" s="11"/>
      <c r="B22" s="11"/>
      <c r="C22" s="11" t="s">
        <v>498</v>
      </c>
      <c r="D22" s="33"/>
      <c r="E22" s="33"/>
      <c r="F22" s="33"/>
      <c r="G22" s="90">
        <f>IF(AND(G18&gt;0,G21&gt;=G18-0.5),1,0)</f>
        <v>0</v>
      </c>
      <c r="H22" s="90">
        <f t="shared" ref="H22:BI22" si="24">IF(AND(H18&gt;0,H21&gt;=H18-0.5),1,0)</f>
        <v>0</v>
      </c>
      <c r="I22" s="90">
        <f t="shared" si="24"/>
        <v>0</v>
      </c>
      <c r="J22" s="90">
        <f t="shared" si="24"/>
        <v>0</v>
      </c>
      <c r="K22" s="90">
        <f t="shared" si="24"/>
        <v>0</v>
      </c>
      <c r="L22" s="90">
        <f t="shared" si="24"/>
        <v>0</v>
      </c>
      <c r="M22" s="90">
        <f t="shared" si="24"/>
        <v>0</v>
      </c>
      <c r="N22" s="90">
        <f t="shared" si="24"/>
        <v>0</v>
      </c>
      <c r="O22" s="90">
        <f t="shared" si="24"/>
        <v>0</v>
      </c>
      <c r="P22" s="90">
        <f t="shared" si="24"/>
        <v>0</v>
      </c>
      <c r="Q22" s="90">
        <f t="shared" si="24"/>
        <v>0</v>
      </c>
      <c r="R22" s="90">
        <f t="shared" si="24"/>
        <v>0</v>
      </c>
      <c r="S22" s="90">
        <f t="shared" si="24"/>
        <v>0</v>
      </c>
      <c r="T22" s="90">
        <f t="shared" si="24"/>
        <v>0</v>
      </c>
      <c r="U22" s="90">
        <f t="shared" si="24"/>
        <v>0</v>
      </c>
      <c r="V22" s="90">
        <f t="shared" si="24"/>
        <v>0</v>
      </c>
      <c r="W22" s="90">
        <f t="shared" si="24"/>
        <v>0</v>
      </c>
      <c r="X22" s="90">
        <f t="shared" si="24"/>
        <v>0</v>
      </c>
      <c r="Y22" s="90">
        <f t="shared" si="24"/>
        <v>0</v>
      </c>
      <c r="Z22" s="90">
        <f t="shared" si="24"/>
        <v>0</v>
      </c>
      <c r="AA22" s="90">
        <f t="shared" si="24"/>
        <v>0</v>
      </c>
      <c r="AB22" s="90">
        <f t="shared" si="24"/>
        <v>0</v>
      </c>
      <c r="AC22" s="90">
        <f t="shared" si="24"/>
        <v>0</v>
      </c>
      <c r="AD22" s="90">
        <f t="shared" si="24"/>
        <v>0</v>
      </c>
      <c r="AE22" s="90">
        <f t="shared" si="24"/>
        <v>0</v>
      </c>
      <c r="AF22" s="90">
        <f t="shared" si="24"/>
        <v>0</v>
      </c>
      <c r="AG22" s="90">
        <f t="shared" si="24"/>
        <v>0</v>
      </c>
      <c r="AH22" s="90">
        <f t="shared" si="24"/>
        <v>0</v>
      </c>
      <c r="AI22" s="90">
        <f t="shared" si="24"/>
        <v>0</v>
      </c>
      <c r="AJ22" s="90">
        <f t="shared" si="24"/>
        <v>0</v>
      </c>
      <c r="AK22" s="90">
        <f t="shared" si="24"/>
        <v>0</v>
      </c>
      <c r="AL22" s="90">
        <f t="shared" si="24"/>
        <v>0</v>
      </c>
      <c r="AM22" s="90">
        <f t="shared" ca="1" si="24"/>
        <v>0</v>
      </c>
      <c r="AN22" s="90">
        <f t="shared" ca="1" si="24"/>
        <v>0</v>
      </c>
      <c r="AO22" s="90">
        <f t="shared" ca="1" si="24"/>
        <v>0</v>
      </c>
      <c r="AP22" s="90">
        <f t="shared" ca="1" si="24"/>
        <v>0</v>
      </c>
      <c r="AQ22" s="90">
        <f t="shared" ca="1" si="24"/>
        <v>0</v>
      </c>
      <c r="AR22" s="90">
        <f t="shared" ca="1" si="24"/>
        <v>0</v>
      </c>
      <c r="AS22" s="90">
        <f t="shared" ca="1" si="24"/>
        <v>0</v>
      </c>
      <c r="AT22" s="90">
        <f t="shared" ca="1" si="24"/>
        <v>0</v>
      </c>
      <c r="AU22" s="90">
        <f t="shared" ca="1" si="24"/>
        <v>0</v>
      </c>
      <c r="AV22" s="90">
        <f t="shared" ca="1" si="24"/>
        <v>0</v>
      </c>
      <c r="AW22" s="90">
        <f t="shared" ca="1" si="24"/>
        <v>0</v>
      </c>
      <c r="AX22" s="90">
        <f t="shared" ca="1" si="24"/>
        <v>0</v>
      </c>
      <c r="AY22" s="90">
        <f t="shared" ca="1" si="24"/>
        <v>1</v>
      </c>
      <c r="AZ22" s="90">
        <f t="shared" ca="1" si="24"/>
        <v>1</v>
      </c>
      <c r="BA22" s="90">
        <f t="shared" ca="1" si="24"/>
        <v>1</v>
      </c>
      <c r="BB22" s="90">
        <f t="shared" ca="1" si="24"/>
        <v>1</v>
      </c>
      <c r="BC22" s="90">
        <f t="shared" ca="1" si="24"/>
        <v>1</v>
      </c>
      <c r="BD22" s="90">
        <f t="shared" ca="1" si="24"/>
        <v>1</v>
      </c>
      <c r="BE22" s="90">
        <f t="shared" ca="1" si="24"/>
        <v>1</v>
      </c>
      <c r="BF22" s="90">
        <f t="shared" ca="1" si="24"/>
        <v>1</v>
      </c>
      <c r="BG22" s="90">
        <f t="shared" ca="1" si="24"/>
        <v>1</v>
      </c>
      <c r="BH22" s="90">
        <f t="shared" ca="1" si="24"/>
        <v>1</v>
      </c>
      <c r="BI22" s="90">
        <f t="shared" ca="1" si="24"/>
        <v>1</v>
      </c>
      <c r="BJ22" s="90">
        <f t="shared" ref="BJ22" ca="1" si="25">IF(AND(BJ18&gt;0,BJ21&gt;=BJ18-0.5),1,0)</f>
        <v>1</v>
      </c>
      <c r="BK22" s="90">
        <f t="shared" ref="BK22" ca="1" si="26">IF(AND(BK18&gt;0,BK21&gt;=BK18-0.5),1,0)</f>
        <v>1</v>
      </c>
      <c r="BL22" s="90">
        <f t="shared" ref="BL22" ca="1" si="27">IF(AND(BL18&gt;0,BL21&gt;=BL18-0.5),1,0)</f>
        <v>1</v>
      </c>
      <c r="BM22" s="90">
        <f t="shared" ref="BM22" ca="1" si="28">IF(AND(BM18&gt;0,BM21&gt;=BM18-0.5),1,0)</f>
        <v>1</v>
      </c>
      <c r="BN22" s="90">
        <f t="shared" ref="BN22" ca="1" si="29">IF(AND(BN18&gt;0,BN21&gt;=BN18-0.5),1,0)</f>
        <v>1</v>
      </c>
      <c r="BO22" s="90">
        <f t="shared" ref="BO22" ca="1" si="30">IF(AND(BO18&gt;0,BO21&gt;=BO18-0.5),1,0)</f>
        <v>1</v>
      </c>
    </row>
    <row r="23" spans="1:67">
      <c r="A23" s="11"/>
      <c r="B23" s="11"/>
      <c r="C23" s="11"/>
      <c r="D23" s="33"/>
      <c r="E23" s="33"/>
      <c r="F23" s="3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row>
    <row r="24" spans="1:67">
      <c r="A24" s="18" t="s">
        <v>499</v>
      </c>
      <c r="B24" s="18"/>
      <c r="C24" s="18"/>
      <c r="D24" s="39"/>
      <c r="E24" s="39"/>
      <c r="F24" s="39"/>
      <c r="G24" s="40"/>
      <c r="H24" s="40"/>
      <c r="I24" s="40"/>
      <c r="J24" s="40"/>
      <c r="K24" s="40"/>
      <c r="L24" s="40"/>
      <c r="M24" s="40"/>
      <c r="N24" s="40"/>
      <c r="O24" s="40"/>
      <c r="P24" s="40"/>
      <c r="Q24" s="40"/>
      <c r="R24" s="40"/>
      <c r="S24" s="40"/>
      <c r="T24" s="40"/>
      <c r="U24" s="40"/>
      <c r="V24" s="40"/>
      <c r="W24" s="40"/>
      <c r="X24" s="40"/>
      <c r="Y24" s="40"/>
      <c r="Z24" s="40"/>
      <c r="AA24" s="40"/>
      <c r="AB24" s="40"/>
      <c r="AC24" s="40"/>
      <c r="AD24" s="40"/>
      <c r="AE24" s="40"/>
      <c r="AF24" s="40"/>
      <c r="AG24" s="40"/>
      <c r="AH24" s="40"/>
      <c r="AI24" s="40"/>
      <c r="AJ24" s="40"/>
      <c r="AK24" s="40"/>
      <c r="AL24" s="40"/>
      <c r="AM24" s="40"/>
      <c r="AN24" s="40"/>
      <c r="AO24" s="40"/>
      <c r="AP24" s="40"/>
      <c r="AQ24" s="40"/>
      <c r="AR24" s="40"/>
      <c r="AS24" s="40"/>
      <c r="AT24" s="40"/>
      <c r="AU24" s="40"/>
      <c r="AV24" s="40"/>
      <c r="AW24" s="40"/>
      <c r="AX24" s="40"/>
      <c r="AY24" s="40"/>
      <c r="AZ24" s="40"/>
      <c r="BA24" s="40"/>
      <c r="BB24" s="40"/>
      <c r="BC24" s="40"/>
      <c r="BD24" s="40"/>
      <c r="BE24" s="40"/>
      <c r="BF24" s="40"/>
      <c r="BG24" s="40"/>
      <c r="BH24" s="40"/>
      <c r="BI24" s="40"/>
      <c r="BJ24" s="40"/>
      <c r="BK24" s="40"/>
      <c r="BL24" s="40"/>
      <c r="BM24" s="40"/>
      <c r="BN24" s="40"/>
      <c r="BO24" s="40"/>
    </row>
    <row r="25" spans="1:67">
      <c r="A25" s="11"/>
      <c r="B25" s="11"/>
      <c r="C25" s="11" t="s">
        <v>500</v>
      </c>
      <c r="D25" s="33"/>
      <c r="E25" s="33"/>
      <c r="F25" s="33"/>
      <c r="G25" s="90">
        <f>0</f>
        <v>0</v>
      </c>
      <c r="H25" s="90">
        <f>G30</f>
        <v>-354800</v>
      </c>
      <c r="I25" s="90">
        <f t="shared" ref="I25:BI25" si="31">H30</f>
        <v>-709600</v>
      </c>
      <c r="J25" s="90">
        <f t="shared" si="31"/>
        <v>-1064400</v>
      </c>
      <c r="K25" s="90">
        <f t="shared" si="31"/>
        <v>-1419200</v>
      </c>
      <c r="L25" s="90">
        <f t="shared" si="31"/>
        <v>-1774000</v>
      </c>
      <c r="M25" s="90">
        <f t="shared" si="31"/>
        <v>-2128800</v>
      </c>
      <c r="N25" s="90">
        <f t="shared" si="31"/>
        <v>-2483600</v>
      </c>
      <c r="O25" s="90">
        <f t="shared" si="31"/>
        <v>-2838400</v>
      </c>
      <c r="P25" s="90">
        <f t="shared" si="31"/>
        <v>-3193200</v>
      </c>
      <c r="Q25" s="90">
        <f t="shared" si="31"/>
        <v>-3641750</v>
      </c>
      <c r="R25" s="90">
        <f t="shared" si="31"/>
        <v>-4090300</v>
      </c>
      <c r="S25" s="90">
        <f t="shared" si="31"/>
        <v>-4794683.333333333</v>
      </c>
      <c r="T25" s="90">
        <f t="shared" si="31"/>
        <v>-5395929.333333333</v>
      </c>
      <c r="U25" s="90">
        <f t="shared" si="31"/>
        <v>-6580508.666666666</v>
      </c>
      <c r="V25" s="90">
        <f t="shared" si="31"/>
        <v>-7765087.9999999991</v>
      </c>
      <c r="W25" s="90">
        <f t="shared" si="31"/>
        <v>-9055292.3333333321</v>
      </c>
      <c r="X25" s="90">
        <f t="shared" si="31"/>
        <v>-10345496.666666666</v>
      </c>
      <c r="Y25" s="90">
        <f t="shared" si="31"/>
        <v>-11625284.333333332</v>
      </c>
      <c r="Z25" s="90">
        <f t="shared" si="31"/>
        <v>-12905071.999999998</v>
      </c>
      <c r="AA25" s="90">
        <f t="shared" si="31"/>
        <v>-14260484.666666664</v>
      </c>
      <c r="AB25" s="90">
        <f t="shared" si="31"/>
        <v>-15615897.33333333</v>
      </c>
      <c r="AC25" s="90">
        <f t="shared" si="31"/>
        <v>-48799176.381331809</v>
      </c>
      <c r="AD25" s="90">
        <f t="shared" si="31"/>
        <v>-63023284.120387077</v>
      </c>
      <c r="AE25" s="90">
        <f t="shared" si="31"/>
        <v>-74906745.222280487</v>
      </c>
      <c r="AF25" s="90">
        <f t="shared" si="31"/>
        <v>-84377926.318134725</v>
      </c>
      <c r="AG25" s="90">
        <f t="shared" si="31"/>
        <v>-90779007.237279251</v>
      </c>
      <c r="AH25" s="90">
        <f t="shared" si="31"/>
        <v>-94788302.4907704</v>
      </c>
      <c r="AI25" s="90">
        <f t="shared" si="31"/>
        <v>-96308566.110212132</v>
      </c>
      <c r="AJ25" s="90">
        <f t="shared" si="31"/>
        <v>-95391385.701864123</v>
      </c>
      <c r="AK25" s="90">
        <f t="shared" si="31"/>
        <v>-92004243.86399734</v>
      </c>
      <c r="AL25" s="90">
        <f t="shared" si="31"/>
        <v>-86152768.73811923</v>
      </c>
      <c r="AM25" s="90">
        <f t="shared" si="31"/>
        <v>-77800375.290975735</v>
      </c>
      <c r="AN25" s="90">
        <f t="shared" ca="1" si="31"/>
        <v>-66943491.602590896</v>
      </c>
      <c r="AO25" s="90">
        <f t="shared" ca="1" si="31"/>
        <v>-53581608.960352696</v>
      </c>
      <c r="AP25" s="90">
        <f t="shared" ca="1" si="31"/>
        <v>-40127936.722233027</v>
      </c>
      <c r="AQ25" s="90">
        <f t="shared" ca="1" si="31"/>
        <v>-26509399.48922541</v>
      </c>
      <c r="AR25" s="90">
        <f t="shared" ca="1" si="31"/>
        <v>-12205166.524668491</v>
      </c>
      <c r="AS25" s="90">
        <f t="shared" ca="1" si="31"/>
        <v>2201387.7623777241</v>
      </c>
      <c r="AT25" s="90">
        <f t="shared" ca="1" si="31"/>
        <v>16672949.463803792</v>
      </c>
      <c r="AU25" s="90">
        <f t="shared" ca="1" si="31"/>
        <v>31187497.059274107</v>
      </c>
      <c r="AV25" s="90">
        <f t="shared" ca="1" si="31"/>
        <v>45738656.229727104</v>
      </c>
      <c r="AW25" s="90">
        <f t="shared" ca="1" si="31"/>
        <v>60326426.975162782</v>
      </c>
      <c r="AX25" s="90">
        <f t="shared" ca="1" si="31"/>
        <v>74950809.295581147</v>
      </c>
      <c r="AY25" s="90">
        <f t="shared" ca="1" si="31"/>
        <v>89611803.190982193</v>
      </c>
      <c r="AZ25" s="90">
        <f t="shared" ca="1" si="31"/>
        <v>0</v>
      </c>
      <c r="BA25" s="90">
        <f t="shared" ca="1" si="31"/>
        <v>14734217.045366423</v>
      </c>
      <c r="BB25" s="90">
        <f t="shared" ca="1" si="31"/>
        <v>29505045.665715531</v>
      </c>
      <c r="BC25" s="90">
        <f t="shared" ca="1" si="31"/>
        <v>44312485.861047313</v>
      </c>
      <c r="BD25" s="90">
        <f t="shared" ca="1" si="31"/>
        <v>59723923.451173276</v>
      </c>
      <c r="BE25" s="90">
        <f t="shared" ca="1" si="31"/>
        <v>75171925.930767849</v>
      </c>
      <c r="BF25" s="90">
        <f t="shared" ca="1" si="31"/>
        <v>90656493.299831048</v>
      </c>
      <c r="BG25" s="90">
        <f t="shared" ca="1" si="31"/>
        <v>106177625.55836287</v>
      </c>
      <c r="BH25" s="90">
        <f t="shared" ca="1" si="31"/>
        <v>121735322.70636331</v>
      </c>
      <c r="BI25" s="90">
        <f t="shared" ca="1" si="31"/>
        <v>137329584.74383238</v>
      </c>
      <c r="BJ25" s="90">
        <f t="shared" ref="BJ25:BO25" ca="1" si="32">BI30</f>
        <v>233358554.53280729</v>
      </c>
      <c r="BK25" s="90">
        <f t="shared" ca="1" si="32"/>
        <v>335497933.87721211</v>
      </c>
      <c r="BL25" s="90">
        <f t="shared" ca="1" si="32"/>
        <v>449932087.05402476</v>
      </c>
      <c r="BM25" s="90">
        <f t="shared" ca="1" si="32"/>
        <v>572594323.39353681</v>
      </c>
      <c r="BN25" s="90">
        <f t="shared" ca="1" si="32"/>
        <v>701466780.84974694</v>
      </c>
      <c r="BO25" s="90">
        <f t="shared" ca="1" si="32"/>
        <v>819027749.17818272</v>
      </c>
    </row>
    <row r="26" spans="1:67">
      <c r="A26" s="11"/>
      <c r="B26" s="11"/>
      <c r="C26" s="11" t="s">
        <v>487</v>
      </c>
      <c r="D26" s="33"/>
      <c r="E26" s="33"/>
      <c r="F26" s="33"/>
      <c r="G26" s="90">
        <f>G9</f>
        <v>-354800</v>
      </c>
      <c r="H26" s="90">
        <f t="shared" ref="H26:BI26" si="33">H9</f>
        <v>-354800</v>
      </c>
      <c r="I26" s="90">
        <f t="shared" si="33"/>
        <v>-354800</v>
      </c>
      <c r="J26" s="90">
        <f t="shared" si="33"/>
        <v>-354800</v>
      </c>
      <c r="K26" s="90">
        <f t="shared" si="33"/>
        <v>-354800</v>
      </c>
      <c r="L26" s="90">
        <f t="shared" si="33"/>
        <v>-354800</v>
      </c>
      <c r="M26" s="90">
        <f t="shared" si="33"/>
        <v>-354800</v>
      </c>
      <c r="N26" s="90">
        <f t="shared" si="33"/>
        <v>-354800</v>
      </c>
      <c r="O26" s="90">
        <f t="shared" si="33"/>
        <v>-354800</v>
      </c>
      <c r="P26" s="90">
        <f t="shared" si="33"/>
        <v>-448550</v>
      </c>
      <c r="Q26" s="90">
        <f t="shared" si="33"/>
        <v>-448550</v>
      </c>
      <c r="R26" s="90">
        <f t="shared" si="33"/>
        <v>-704383.33333333337</v>
      </c>
      <c r="S26" s="90">
        <f t="shared" si="33"/>
        <v>-601246</v>
      </c>
      <c r="T26" s="90">
        <f t="shared" si="33"/>
        <v>-1184579.3333333333</v>
      </c>
      <c r="U26" s="90">
        <f t="shared" si="33"/>
        <v>-1184579.3333333333</v>
      </c>
      <c r="V26" s="90">
        <f t="shared" si="33"/>
        <v>-1290204.3333333335</v>
      </c>
      <c r="W26" s="90">
        <f t="shared" si="33"/>
        <v>-1290204.3333333335</v>
      </c>
      <c r="X26" s="90">
        <f t="shared" si="33"/>
        <v>-1279787.6666666667</v>
      </c>
      <c r="Y26" s="90">
        <f t="shared" si="33"/>
        <v>-1279787.6666666667</v>
      </c>
      <c r="Z26" s="90">
        <f t="shared" si="33"/>
        <v>-1355412.6666666667</v>
      </c>
      <c r="AA26" s="90">
        <f t="shared" si="33"/>
        <v>-1355412.6666666667</v>
      </c>
      <c r="AB26" s="90">
        <f t="shared" si="33"/>
        <v>-33183279.04799848</v>
      </c>
      <c r="AC26" s="90">
        <f t="shared" si="33"/>
        <v>-14224107.739055265</v>
      </c>
      <c r="AD26" s="90">
        <f t="shared" si="33"/>
        <v>-11883461.101893414</v>
      </c>
      <c r="AE26" s="90">
        <f t="shared" si="33"/>
        <v>-9471181.0958542358</v>
      </c>
      <c r="AF26" s="90">
        <f t="shared" si="33"/>
        <v>-6401080.9191445261</v>
      </c>
      <c r="AG26" s="90">
        <f t="shared" si="33"/>
        <v>-4009295.2534911539</v>
      </c>
      <c r="AH26" s="90">
        <f t="shared" si="33"/>
        <v>-1520263.6194417328</v>
      </c>
      <c r="AI26" s="90">
        <f t="shared" si="33"/>
        <v>917180.40834800806</v>
      </c>
      <c r="AJ26" s="90">
        <f t="shared" si="33"/>
        <v>3387141.8378667766</v>
      </c>
      <c r="AK26" s="90">
        <f t="shared" si="33"/>
        <v>5851475.1258781161</v>
      </c>
      <c r="AL26" s="90">
        <f t="shared" si="33"/>
        <v>8352393.4471434951</v>
      </c>
      <c r="AM26" s="90">
        <f t="shared" si="33"/>
        <v>10856883.688384838</v>
      </c>
      <c r="AN26" s="90">
        <f t="shared" si="33"/>
        <v>13361882.6422382</v>
      </c>
      <c r="AO26" s="90">
        <f t="shared" si="33"/>
        <v>13453672.238119666</v>
      </c>
      <c r="AP26" s="90">
        <f t="shared" si="33"/>
        <v>13618537.233007617</v>
      </c>
      <c r="AQ26" s="90">
        <f t="shared" si="33"/>
        <v>14304232.964556919</v>
      </c>
      <c r="AR26" s="90">
        <f t="shared" si="33"/>
        <v>14406554.287046215</v>
      </c>
      <c r="AS26" s="90">
        <f t="shared" si="33"/>
        <v>14471561.701426068</v>
      </c>
      <c r="AT26" s="90">
        <f t="shared" si="33"/>
        <v>14514547.595470317</v>
      </c>
      <c r="AU26" s="90">
        <f t="shared" si="33"/>
        <v>14551159.170453001</v>
      </c>
      <c r="AV26" s="90">
        <f t="shared" si="33"/>
        <v>14587770.745435679</v>
      </c>
      <c r="AW26" s="90">
        <f t="shared" si="33"/>
        <v>14624382.320418363</v>
      </c>
      <c r="AX26" s="90">
        <f t="shared" si="33"/>
        <v>14660993.895401053</v>
      </c>
      <c r="AY26" s="90">
        <f t="shared" si="33"/>
        <v>14697605.470383734</v>
      </c>
      <c r="AZ26" s="90">
        <f t="shared" ca="1" si="33"/>
        <v>14734217.045366423</v>
      </c>
      <c r="BA26" s="90">
        <f t="shared" ca="1" si="33"/>
        <v>14770828.620349107</v>
      </c>
      <c r="BB26" s="90">
        <f t="shared" ca="1" si="33"/>
        <v>14807440.195331786</v>
      </c>
      <c r="BC26" s="90">
        <f t="shared" ca="1" si="33"/>
        <v>15411437.590125959</v>
      </c>
      <c r="BD26" s="90">
        <f t="shared" ca="1" si="33"/>
        <v>15448002.479594575</v>
      </c>
      <c r="BE26" s="90">
        <f t="shared" ca="1" si="33"/>
        <v>15484567.369063197</v>
      </c>
      <c r="BF26" s="90">
        <f t="shared" ca="1" si="33"/>
        <v>15521132.258531824</v>
      </c>
      <c r="BG26" s="90">
        <f t="shared" ca="1" si="33"/>
        <v>15557697.14800044</v>
      </c>
      <c r="BH26" s="90">
        <f t="shared" ca="1" si="33"/>
        <v>15594262.037469069</v>
      </c>
      <c r="BI26" s="90">
        <f t="shared" ca="1" si="33"/>
        <v>192057939.57794985</v>
      </c>
      <c r="BJ26" s="90">
        <f t="shared" ref="BJ26:BO26" ca="1" si="34">BJ9</f>
        <v>204278758.68880963</v>
      </c>
      <c r="BK26" s="90">
        <f t="shared" ca="1" si="34"/>
        <v>228868306.35362518</v>
      </c>
      <c r="BL26" s="90">
        <f t="shared" ca="1" si="34"/>
        <v>245324472.67902416</v>
      </c>
      <c r="BM26" s="90">
        <f t="shared" ca="1" si="34"/>
        <v>257744914.91242033</v>
      </c>
      <c r="BN26" s="90">
        <f t="shared" ca="1" si="34"/>
        <v>235121936.65687171</v>
      </c>
      <c r="BO26" s="90">
        <f t="shared" ca="1" si="34"/>
        <v>215366378.20430723</v>
      </c>
    </row>
    <row r="27" spans="1:67">
      <c r="A27" s="11"/>
      <c r="B27" s="11"/>
      <c r="C27" s="11" t="s">
        <v>501</v>
      </c>
      <c r="D27" s="33"/>
      <c r="E27" s="33"/>
      <c r="F27" s="33"/>
      <c r="G27" s="90">
        <f>-G20</f>
        <v>0</v>
      </c>
      <c r="H27" s="90">
        <f t="shared" ref="H27:BI27" si="35">-H20</f>
        <v>0</v>
      </c>
      <c r="I27" s="90">
        <f t="shared" si="35"/>
        <v>0</v>
      </c>
      <c r="J27" s="90">
        <f t="shared" si="35"/>
        <v>0</v>
      </c>
      <c r="K27" s="90">
        <f t="shared" si="35"/>
        <v>0</v>
      </c>
      <c r="L27" s="90">
        <f t="shared" si="35"/>
        <v>0</v>
      </c>
      <c r="M27" s="90">
        <f t="shared" si="35"/>
        <v>0</v>
      </c>
      <c r="N27" s="90">
        <f t="shared" si="35"/>
        <v>0</v>
      </c>
      <c r="O27" s="90">
        <f t="shared" si="35"/>
        <v>0</v>
      </c>
      <c r="P27" s="90">
        <f t="shared" si="35"/>
        <v>0</v>
      </c>
      <c r="Q27" s="90">
        <f t="shared" si="35"/>
        <v>0</v>
      </c>
      <c r="R27" s="90">
        <f t="shared" si="35"/>
        <v>0</v>
      </c>
      <c r="S27" s="90">
        <f t="shared" si="35"/>
        <v>0</v>
      </c>
      <c r="T27" s="90">
        <f t="shared" si="35"/>
        <v>0</v>
      </c>
      <c r="U27" s="90">
        <f t="shared" si="35"/>
        <v>0</v>
      </c>
      <c r="V27" s="90">
        <f t="shared" si="35"/>
        <v>0</v>
      </c>
      <c r="W27" s="90">
        <f t="shared" si="35"/>
        <v>0</v>
      </c>
      <c r="X27" s="90">
        <f t="shared" si="35"/>
        <v>0</v>
      </c>
      <c r="Y27" s="90">
        <f t="shared" si="35"/>
        <v>0</v>
      </c>
      <c r="Z27" s="90">
        <f t="shared" si="35"/>
        <v>0</v>
      </c>
      <c r="AA27" s="90">
        <f t="shared" si="35"/>
        <v>0</v>
      </c>
      <c r="AB27" s="90">
        <f t="shared" si="35"/>
        <v>0</v>
      </c>
      <c r="AC27" s="90">
        <f t="shared" si="35"/>
        <v>0</v>
      </c>
      <c r="AD27" s="90">
        <f t="shared" si="35"/>
        <v>0</v>
      </c>
      <c r="AE27" s="90">
        <f t="shared" si="35"/>
        <v>0</v>
      </c>
      <c r="AF27" s="90">
        <f t="shared" si="35"/>
        <v>0</v>
      </c>
      <c r="AG27" s="90">
        <f t="shared" si="35"/>
        <v>0</v>
      </c>
      <c r="AH27" s="90">
        <f t="shared" si="35"/>
        <v>0</v>
      </c>
      <c r="AI27" s="90">
        <f t="shared" si="35"/>
        <v>0</v>
      </c>
      <c r="AJ27" s="90">
        <f t="shared" si="35"/>
        <v>0</v>
      </c>
      <c r="AK27" s="90">
        <f t="shared" si="35"/>
        <v>0</v>
      </c>
      <c r="AL27" s="90">
        <f t="shared" si="35"/>
        <v>0</v>
      </c>
      <c r="AM27" s="90">
        <f t="shared" ca="1" si="35"/>
        <v>0</v>
      </c>
      <c r="AN27" s="90">
        <f t="shared" si="35"/>
        <v>0</v>
      </c>
      <c r="AO27" s="90">
        <f t="shared" si="35"/>
        <v>0</v>
      </c>
      <c r="AP27" s="90">
        <f t="shared" si="35"/>
        <v>0</v>
      </c>
      <c r="AQ27" s="90">
        <f t="shared" si="35"/>
        <v>0</v>
      </c>
      <c r="AR27" s="90">
        <f t="shared" si="35"/>
        <v>0</v>
      </c>
      <c r="AS27" s="90">
        <f t="shared" si="35"/>
        <v>0</v>
      </c>
      <c r="AT27" s="90">
        <f t="shared" si="35"/>
        <v>0</v>
      </c>
      <c r="AU27" s="90">
        <f t="shared" si="35"/>
        <v>0</v>
      </c>
      <c r="AV27" s="90">
        <f t="shared" si="35"/>
        <v>0</v>
      </c>
      <c r="AW27" s="90">
        <f t="shared" si="35"/>
        <v>0</v>
      </c>
      <c r="AX27" s="90">
        <f t="shared" si="35"/>
        <v>0</v>
      </c>
      <c r="AY27" s="90">
        <f t="shared" ca="1" si="35"/>
        <v>-71738870.028601155</v>
      </c>
      <c r="AZ27" s="90">
        <f t="shared" si="35"/>
        <v>0</v>
      </c>
      <c r="BA27" s="90">
        <f t="shared" si="35"/>
        <v>0</v>
      </c>
      <c r="BB27" s="90">
        <f t="shared" si="35"/>
        <v>0</v>
      </c>
      <c r="BC27" s="90">
        <f t="shared" si="35"/>
        <v>0</v>
      </c>
      <c r="BD27" s="90">
        <f t="shared" si="35"/>
        <v>0</v>
      </c>
      <c r="BE27" s="90">
        <f t="shared" si="35"/>
        <v>0</v>
      </c>
      <c r="BF27" s="90">
        <f t="shared" si="35"/>
        <v>0</v>
      </c>
      <c r="BG27" s="90">
        <f t="shared" si="35"/>
        <v>0</v>
      </c>
      <c r="BH27" s="90">
        <f t="shared" si="35"/>
        <v>0</v>
      </c>
      <c r="BI27" s="90">
        <f t="shared" ca="1" si="35"/>
        <v>0</v>
      </c>
      <c r="BJ27" s="90">
        <f t="shared" ref="BJ27:BO27" ca="1" si="36">-BJ20</f>
        <v>0</v>
      </c>
      <c r="BK27" s="90">
        <f t="shared" ca="1" si="36"/>
        <v>0</v>
      </c>
      <c r="BL27" s="90">
        <f t="shared" ca="1" si="36"/>
        <v>0</v>
      </c>
      <c r="BM27" s="90">
        <f t="shared" ca="1" si="36"/>
        <v>0</v>
      </c>
      <c r="BN27" s="90">
        <f t="shared" ca="1" si="36"/>
        <v>0</v>
      </c>
      <c r="BO27" s="90">
        <f t="shared" ca="1" si="36"/>
        <v>0</v>
      </c>
    </row>
    <row r="28" spans="1:67">
      <c r="A28" s="11"/>
      <c r="B28" s="11"/>
      <c r="C28" s="11" t="s">
        <v>502</v>
      </c>
      <c r="D28" s="33"/>
      <c r="E28" s="33"/>
      <c r="F28" s="33"/>
      <c r="G28" s="90">
        <f>G25+G26+G27</f>
        <v>-354800</v>
      </c>
      <c r="H28" s="90">
        <f t="shared" ref="H28:BI28" si="37">H25+H26+H27</f>
        <v>-709600</v>
      </c>
      <c r="I28" s="90">
        <f t="shared" si="37"/>
        <v>-1064400</v>
      </c>
      <c r="J28" s="90">
        <f t="shared" si="37"/>
        <v>-1419200</v>
      </c>
      <c r="K28" s="90">
        <f t="shared" si="37"/>
        <v>-1774000</v>
      </c>
      <c r="L28" s="90">
        <f t="shared" si="37"/>
        <v>-2128800</v>
      </c>
      <c r="M28" s="90">
        <f t="shared" si="37"/>
        <v>-2483600</v>
      </c>
      <c r="N28" s="90">
        <f t="shared" si="37"/>
        <v>-2838400</v>
      </c>
      <c r="O28" s="90">
        <f t="shared" si="37"/>
        <v>-3193200</v>
      </c>
      <c r="P28" s="90">
        <f t="shared" si="37"/>
        <v>-3641750</v>
      </c>
      <c r="Q28" s="90">
        <f t="shared" si="37"/>
        <v>-4090300</v>
      </c>
      <c r="R28" s="90">
        <f t="shared" si="37"/>
        <v>-4794683.333333333</v>
      </c>
      <c r="S28" s="90">
        <f t="shared" si="37"/>
        <v>-5395929.333333333</v>
      </c>
      <c r="T28" s="90">
        <f t="shared" si="37"/>
        <v>-6580508.666666666</v>
      </c>
      <c r="U28" s="90">
        <f t="shared" si="37"/>
        <v>-7765087.9999999991</v>
      </c>
      <c r="V28" s="90">
        <f t="shared" si="37"/>
        <v>-9055292.3333333321</v>
      </c>
      <c r="W28" s="90">
        <f t="shared" si="37"/>
        <v>-10345496.666666666</v>
      </c>
      <c r="X28" s="90">
        <f t="shared" si="37"/>
        <v>-11625284.333333332</v>
      </c>
      <c r="Y28" s="90">
        <f t="shared" si="37"/>
        <v>-12905071.999999998</v>
      </c>
      <c r="Z28" s="90">
        <f t="shared" si="37"/>
        <v>-14260484.666666664</v>
      </c>
      <c r="AA28" s="90">
        <f t="shared" si="37"/>
        <v>-15615897.33333333</v>
      </c>
      <c r="AB28" s="90">
        <f t="shared" si="37"/>
        <v>-48799176.381331809</v>
      </c>
      <c r="AC28" s="90">
        <f t="shared" si="37"/>
        <v>-63023284.120387077</v>
      </c>
      <c r="AD28" s="90">
        <f t="shared" si="37"/>
        <v>-74906745.222280487</v>
      </c>
      <c r="AE28" s="90">
        <f t="shared" si="37"/>
        <v>-84377926.318134725</v>
      </c>
      <c r="AF28" s="90">
        <f t="shared" si="37"/>
        <v>-90779007.237279251</v>
      </c>
      <c r="AG28" s="90">
        <f t="shared" si="37"/>
        <v>-94788302.4907704</v>
      </c>
      <c r="AH28" s="90">
        <f t="shared" si="37"/>
        <v>-96308566.110212132</v>
      </c>
      <c r="AI28" s="90">
        <f t="shared" si="37"/>
        <v>-95391385.701864123</v>
      </c>
      <c r="AJ28" s="90">
        <f t="shared" si="37"/>
        <v>-92004243.86399734</v>
      </c>
      <c r="AK28" s="90">
        <f t="shared" si="37"/>
        <v>-86152768.73811923</v>
      </c>
      <c r="AL28" s="90">
        <f t="shared" si="37"/>
        <v>-77800375.290975735</v>
      </c>
      <c r="AM28" s="90">
        <f t="shared" ca="1" si="37"/>
        <v>-66943491.602590896</v>
      </c>
      <c r="AN28" s="90">
        <f t="shared" ca="1" si="37"/>
        <v>-53581608.960352696</v>
      </c>
      <c r="AO28" s="90">
        <f t="shared" ca="1" si="37"/>
        <v>-40127936.722233027</v>
      </c>
      <c r="AP28" s="90">
        <f t="shared" ca="1" si="37"/>
        <v>-26509399.48922541</v>
      </c>
      <c r="AQ28" s="90">
        <f t="shared" ca="1" si="37"/>
        <v>-12205166.524668491</v>
      </c>
      <c r="AR28" s="90">
        <f t="shared" ca="1" si="37"/>
        <v>2201387.7623777241</v>
      </c>
      <c r="AS28" s="90">
        <f t="shared" ca="1" si="37"/>
        <v>16672949.463803792</v>
      </c>
      <c r="AT28" s="90">
        <f t="shared" ca="1" si="37"/>
        <v>31187497.059274107</v>
      </c>
      <c r="AU28" s="90">
        <f t="shared" ca="1" si="37"/>
        <v>45738656.229727104</v>
      </c>
      <c r="AV28" s="90">
        <f t="shared" ca="1" si="37"/>
        <v>60326426.975162782</v>
      </c>
      <c r="AW28" s="90">
        <f t="shared" ca="1" si="37"/>
        <v>74950809.295581147</v>
      </c>
      <c r="AX28" s="90">
        <f t="shared" ca="1" si="37"/>
        <v>89611803.190982193</v>
      </c>
      <c r="AY28" s="90">
        <f t="shared" ca="1" si="37"/>
        <v>32570538.632764772</v>
      </c>
      <c r="AZ28" s="90">
        <f t="shared" ca="1" si="37"/>
        <v>14734217.045366423</v>
      </c>
      <c r="BA28" s="90">
        <f t="shared" ca="1" si="37"/>
        <v>29505045.665715531</v>
      </c>
      <c r="BB28" s="90">
        <f t="shared" ca="1" si="37"/>
        <v>44312485.861047313</v>
      </c>
      <c r="BC28" s="90">
        <f t="shared" ca="1" si="37"/>
        <v>59723923.451173276</v>
      </c>
      <c r="BD28" s="90">
        <f t="shared" ca="1" si="37"/>
        <v>75171925.930767849</v>
      </c>
      <c r="BE28" s="90">
        <f t="shared" ca="1" si="37"/>
        <v>90656493.299831048</v>
      </c>
      <c r="BF28" s="90">
        <f t="shared" ca="1" si="37"/>
        <v>106177625.55836287</v>
      </c>
      <c r="BG28" s="90">
        <f t="shared" ca="1" si="37"/>
        <v>121735322.70636331</v>
      </c>
      <c r="BH28" s="90">
        <f t="shared" ca="1" si="37"/>
        <v>137329584.74383238</v>
      </c>
      <c r="BI28" s="90">
        <f t="shared" ca="1" si="37"/>
        <v>329387524.32178223</v>
      </c>
      <c r="BJ28" s="90">
        <f t="shared" ref="BJ28" ca="1" si="38">BJ25+BJ26+BJ27</f>
        <v>437637313.22161692</v>
      </c>
      <c r="BK28" s="90">
        <f t="shared" ref="BK28" ca="1" si="39">BK25+BK26+BK27</f>
        <v>564366240.23083735</v>
      </c>
      <c r="BL28" s="90">
        <f t="shared" ref="BL28" ca="1" si="40">BL25+BL26+BL27</f>
        <v>695256559.73304892</v>
      </c>
      <c r="BM28" s="90">
        <f t="shared" ref="BM28" ca="1" si="41">BM25+BM26+BM27</f>
        <v>830339238.30595708</v>
      </c>
      <c r="BN28" s="90">
        <f t="shared" ref="BN28" ca="1" si="42">BN25+BN26+BN27</f>
        <v>936588717.50661862</v>
      </c>
      <c r="BO28" s="90">
        <f t="shared" ref="BO28" ca="1" si="43">BO25+BO26+BO27</f>
        <v>1034394127.3824899</v>
      </c>
    </row>
    <row r="29" spans="1:67">
      <c r="A29" s="11"/>
      <c r="B29" s="11"/>
      <c r="C29" s="11" t="s">
        <v>503</v>
      </c>
      <c r="D29" s="33"/>
      <c r="E29" s="33"/>
      <c r="F29" s="33"/>
      <c r="G29" s="90">
        <f>IF(AND(G8=1,G22=1),MIN('01 Major Assumptions'!$D$147*MAX(0,G10),MAX(0,G28)),0)</f>
        <v>0</v>
      </c>
      <c r="H29" s="90">
        <f>IF(AND(H8=1,H22=1),MIN('01 Major Assumptions'!$D$147*MAX(0,H10),MAX(0,H28)),0)</f>
        <v>0</v>
      </c>
      <c r="I29" s="90">
        <f>IF(AND(I8=1,I22=1),MIN('01 Major Assumptions'!$D$147*MAX(0,I10),MAX(0,I28)),0)</f>
        <v>0</v>
      </c>
      <c r="J29" s="90">
        <f>IF(AND(J8=1,J22=1),MIN('01 Major Assumptions'!$D$147*MAX(0,J10),MAX(0,J28)),0)</f>
        <v>0</v>
      </c>
      <c r="K29" s="90">
        <f>IF(AND(K8=1,K22=1),MIN('01 Major Assumptions'!$D$147*MAX(0,K10),MAX(0,K28)),0)</f>
        <v>0</v>
      </c>
      <c r="L29" s="90">
        <f>IF(AND(L8=1,L22=1),MIN('01 Major Assumptions'!$D$147*MAX(0,L10),MAX(0,L28)),0)</f>
        <v>0</v>
      </c>
      <c r="M29" s="90">
        <f>IF(AND(M8=1,M22=1),MIN('01 Major Assumptions'!$D$147*MAX(0,M10),MAX(0,M28)),0)</f>
        <v>0</v>
      </c>
      <c r="N29" s="90">
        <f>IF(AND(N8=1,N22=1),MIN('01 Major Assumptions'!$D$147*MAX(0,N10),MAX(0,N28)),0)</f>
        <v>0</v>
      </c>
      <c r="O29" s="90">
        <f>IF(AND(O8=1,O22=1),MIN('01 Major Assumptions'!$D$147*MAX(0,O10),MAX(0,O28)),0)</f>
        <v>0</v>
      </c>
      <c r="P29" s="90">
        <f>IF(AND(P8=1,P22=1),MIN('01 Major Assumptions'!$D$147*MAX(0,P10),MAX(0,P28)),0)</f>
        <v>0</v>
      </c>
      <c r="Q29" s="90">
        <f>IF(AND(Q8=1,Q22=1),MIN('01 Major Assumptions'!$D$147*MAX(0,Q10),MAX(0,Q28)),0)</f>
        <v>0</v>
      </c>
      <c r="R29" s="90">
        <f>IF(AND(R8=1,R22=1),MIN('01 Major Assumptions'!$D$147*MAX(0,R10),MAX(0,R28)),0)</f>
        <v>0</v>
      </c>
      <c r="S29" s="90">
        <f>IF(AND(S8=1,S22=1),MIN('01 Major Assumptions'!$D$147*MAX(0,S10),MAX(0,S28)),0)</f>
        <v>0</v>
      </c>
      <c r="T29" s="90">
        <f>IF(AND(T8=1,T22=1),MIN('01 Major Assumptions'!$D$147*MAX(0,T10),MAX(0,T28)),0)</f>
        <v>0</v>
      </c>
      <c r="U29" s="90">
        <f>IF(AND(U8=1,U22=1),MIN('01 Major Assumptions'!$D$147*MAX(0,U10),MAX(0,U28)),0)</f>
        <v>0</v>
      </c>
      <c r="V29" s="90">
        <f>IF(AND(V8=1,V22=1),MIN('01 Major Assumptions'!$D$147*MAX(0,V10),MAX(0,V28)),0)</f>
        <v>0</v>
      </c>
      <c r="W29" s="90">
        <f>IF(AND(W8=1,W22=1),MIN('01 Major Assumptions'!$D$147*MAX(0,W10),MAX(0,W28)),0)</f>
        <v>0</v>
      </c>
      <c r="X29" s="90">
        <f>IF(AND(X8=1,X22=1),MIN('01 Major Assumptions'!$D$147*MAX(0,X10),MAX(0,X28)),0)</f>
        <v>0</v>
      </c>
      <c r="Y29" s="90">
        <f>IF(AND(Y8=1,Y22=1),MIN('01 Major Assumptions'!$D$147*MAX(0,Y10),MAX(0,Y28)),0)</f>
        <v>0</v>
      </c>
      <c r="Z29" s="90">
        <f>IF(AND(Z8=1,Z22=1),MIN('01 Major Assumptions'!$D$147*MAX(0,Z10),MAX(0,Z28)),0)</f>
        <v>0</v>
      </c>
      <c r="AA29" s="90">
        <f>IF(AND(AA8=1,AA22=1),MIN('01 Major Assumptions'!$D$147*MAX(0,AA10),MAX(0,AA28)),0)</f>
        <v>0</v>
      </c>
      <c r="AB29" s="90">
        <f>IF(AND(AB8=1,AB22=1),MIN('01 Major Assumptions'!$D$147*MAX(0,AB10),MAX(0,AB28)),0)</f>
        <v>0</v>
      </c>
      <c r="AC29" s="90">
        <f>IF(AND(AC8=1,AC22=1),MIN('01 Major Assumptions'!$D$147*MAX(0,AC10),MAX(0,AC28)),0)</f>
        <v>0</v>
      </c>
      <c r="AD29" s="90">
        <f>IF(AND(AD8=1,AD22=1),MIN('01 Major Assumptions'!$D$147*MAX(0,AD10),MAX(0,AD28)),0)</f>
        <v>0</v>
      </c>
      <c r="AE29" s="90">
        <f>IF(AND(AE8=1,AE22=1),MIN('01 Major Assumptions'!$D$147*MAX(0,AE10),MAX(0,AE28)),0)</f>
        <v>0</v>
      </c>
      <c r="AF29" s="90">
        <f>IF(AND(AF8=1,AF22=1),MIN('01 Major Assumptions'!$D$147*MAX(0,AF10),MAX(0,AF28)),0)</f>
        <v>0</v>
      </c>
      <c r="AG29" s="90">
        <f>IF(AND(AG8=1,AG22=1),MIN('01 Major Assumptions'!$D$147*MAX(0,AG10),MAX(0,AG28)),0)</f>
        <v>0</v>
      </c>
      <c r="AH29" s="90">
        <f>IF(AND(AH8=1,AH22=1),MIN('01 Major Assumptions'!$D$147*MAX(0,AH10),MAX(0,AH28)),0)</f>
        <v>0</v>
      </c>
      <c r="AI29" s="90">
        <f>IF(AND(AI8=1,AI22=1),MIN('01 Major Assumptions'!$D$147*MAX(0,AI10),MAX(0,AI28)),0)</f>
        <v>0</v>
      </c>
      <c r="AJ29" s="90">
        <f>IF(AND(AJ8=1,AJ22=1),MIN('01 Major Assumptions'!$D$147*MAX(0,AJ10),MAX(0,AJ28)),0)</f>
        <v>0</v>
      </c>
      <c r="AK29" s="90">
        <f>IF(AND(AK8=1,AK22=1),MIN('01 Major Assumptions'!$D$147*MAX(0,AK10),MAX(0,AK28)),0)</f>
        <v>0</v>
      </c>
      <c r="AL29" s="90">
        <f>IF(AND(AL8=1,AL22=1),MIN('01 Major Assumptions'!$D$147*MAX(0,AL10),MAX(0,AL28)),0)</f>
        <v>0</v>
      </c>
      <c r="AM29" s="90">
        <f ca="1">IF(AND(AM8=1,AM22=1),MIN('01 Major Assumptions'!$D$147*MAX(0,AM10),MAX(0,AM28)),0)</f>
        <v>0</v>
      </c>
      <c r="AN29" s="90">
        <f ca="1">IF(AND(AN8=1,AN22=1),MIN('01 Major Assumptions'!$D$147*MAX(0,AN10),MAX(0,AN28)),0)</f>
        <v>0</v>
      </c>
      <c r="AO29" s="90">
        <f ca="1">IF(AND(AO8=1,AO22=1),MIN('01 Major Assumptions'!$D$147*MAX(0,AO10),MAX(0,AO28)),0)</f>
        <v>0</v>
      </c>
      <c r="AP29" s="90">
        <f ca="1">IF(AND(AP8=1,AP22=1),MIN('01 Major Assumptions'!$D$147*MAX(0,AP10),MAX(0,AP28)),0)</f>
        <v>0</v>
      </c>
      <c r="AQ29" s="90">
        <f ca="1">IF(AND(AQ8=1,AQ22=1),MIN('01 Major Assumptions'!$D$147*MAX(0,AQ10),MAX(0,AQ28)),0)</f>
        <v>0</v>
      </c>
      <c r="AR29" s="90">
        <f ca="1">IF(AND(AR8=1,AR22=1),MIN('01 Major Assumptions'!$D$147*MAX(0,AR10),MAX(0,AR28)),0)</f>
        <v>0</v>
      </c>
      <c r="AS29" s="90">
        <f ca="1">IF(AND(AS8=1,AS22=1),MIN('01 Major Assumptions'!$D$147*MAX(0,AS10),MAX(0,AS28)),0)</f>
        <v>0</v>
      </c>
      <c r="AT29" s="90">
        <f ca="1">IF(AND(AT8=1,AT22=1),MIN('01 Major Assumptions'!$D$147*MAX(0,AT10),MAX(0,AT28)),0)</f>
        <v>0</v>
      </c>
      <c r="AU29" s="90">
        <f ca="1">IF(AND(AU8=1,AU22=1),MIN('01 Major Assumptions'!$D$147*MAX(0,AU10),MAX(0,AU28)),0)</f>
        <v>0</v>
      </c>
      <c r="AV29" s="90">
        <f ca="1">IF(AND(AV8=1,AV22=1),MIN('01 Major Assumptions'!$D$147*MAX(0,AV10),MAX(0,AV28)),0)</f>
        <v>0</v>
      </c>
      <c r="AW29" s="90">
        <f ca="1">IF(AND(AW8=1,AW22=1),MIN('01 Major Assumptions'!$D$147*MAX(0,AW10),MAX(0,AW28)),0)</f>
        <v>0</v>
      </c>
      <c r="AX29" s="90">
        <f ca="1">IF(AND(AX8=1,AX22=1),MIN('01 Major Assumptions'!$D$147*MAX(0,AX10),MAX(0,AX28)),0)</f>
        <v>0</v>
      </c>
      <c r="AY29" s="90">
        <f ca="1">IF(AND(AY8=1,AY22=1),MIN('01 Major Assumptions'!$D$147*MAX(0,AY10),MAX(0,AY28)),0)</f>
        <v>32570538.632764772</v>
      </c>
      <c r="AZ29" s="90">
        <f ca="1">IF(AND(AZ8=1,AZ22=1),MIN('01 Major Assumptions'!$D$147*MAX(0,AZ10),MAX(0,AZ28)),0)</f>
        <v>0</v>
      </c>
      <c r="BA29" s="90">
        <f ca="1">IF(AND(BA8=1,BA22=1),MIN('01 Major Assumptions'!$D$147*MAX(0,BA10),MAX(0,BA28)),0)</f>
        <v>0</v>
      </c>
      <c r="BB29" s="90">
        <f ca="1">IF(AND(BB8=1,BB22=1),MIN('01 Major Assumptions'!$D$147*MAX(0,BB10),MAX(0,BB28)),0)</f>
        <v>0</v>
      </c>
      <c r="BC29" s="90">
        <f ca="1">IF(AND(BC8=1,BC22=1),MIN('01 Major Assumptions'!$D$147*MAX(0,BC10),MAX(0,BC28)),0)</f>
        <v>0</v>
      </c>
      <c r="BD29" s="90">
        <f ca="1">IF(AND(BD8=1,BD22=1),MIN('01 Major Assumptions'!$D$147*MAX(0,BD10),MAX(0,BD28)),0)</f>
        <v>0</v>
      </c>
      <c r="BE29" s="90">
        <f ca="1">IF(AND(BE8=1,BE22=1),MIN('01 Major Assumptions'!$D$147*MAX(0,BE10),MAX(0,BE28)),0)</f>
        <v>0</v>
      </c>
      <c r="BF29" s="90">
        <f ca="1">IF(AND(BF8=1,BF22=1),MIN('01 Major Assumptions'!$D$147*MAX(0,BF10),MAX(0,BF28)),0)</f>
        <v>0</v>
      </c>
      <c r="BG29" s="90">
        <f ca="1">IF(AND(BG8=1,BG22=1),MIN('01 Major Assumptions'!$D$147*MAX(0,BG10),MAX(0,BG28)),0)</f>
        <v>0</v>
      </c>
      <c r="BH29" s="90">
        <f ca="1">IF(AND(BH8=1,BH22=1),MIN('01 Major Assumptions'!$D$147*MAX(0,BH10),MAX(0,BH28)),0)</f>
        <v>0</v>
      </c>
      <c r="BI29" s="90">
        <f ca="1">IF(AND(BI8=1,BI22=1),MIN('01 Major Assumptions'!$D$147*MAX(0,BI10),MAX(0,BI28)),0)</f>
        <v>96028969.788974926</v>
      </c>
      <c r="BJ29" s="90">
        <f ca="1">IF(AND(BJ8=1,BJ22=1),MIN('01 Major Assumptions'!$D$147*MAX(0,BJ10),MAX(0,BJ28)),0)</f>
        <v>102139379.34440482</v>
      </c>
      <c r="BK29" s="90">
        <f ca="1">IF(AND(BK8=1,BK22=1),MIN('01 Major Assumptions'!$D$147*MAX(0,BK10),MAX(0,BK28)),0)</f>
        <v>114434153.17681259</v>
      </c>
      <c r="BL29" s="90">
        <f ca="1">IF(AND(BL8=1,BL22=1),MIN('01 Major Assumptions'!$D$147*MAX(0,BL10),MAX(0,BL28)),0)</f>
        <v>122662236.33951208</v>
      </c>
      <c r="BM29" s="90">
        <f ca="1">IF(AND(BM8=1,BM22=1),MIN('01 Major Assumptions'!$D$147*MAX(0,BM10),MAX(0,BM28)),0)</f>
        <v>128872457.45621017</v>
      </c>
      <c r="BN29" s="90">
        <f ca="1">IF(AND(BN8=1,BN22=1),MIN('01 Major Assumptions'!$D$147*MAX(0,BN10),MAX(0,BN28)),0)</f>
        <v>117560968.32843585</v>
      </c>
      <c r="BO29" s="90">
        <f ca="1">IF(AND(BO8=1,BO22=1),MIN('01 Major Assumptions'!$D$147*MAX(0,BO10),MAX(0,BO28)),0)</f>
        <v>107683189.10215361</v>
      </c>
    </row>
    <row r="30" spans="1:67">
      <c r="A30" s="11"/>
      <c r="B30" s="11"/>
      <c r="C30" s="11" t="s">
        <v>504</v>
      </c>
      <c r="D30" s="33"/>
      <c r="E30" s="33"/>
      <c r="F30" s="33"/>
      <c r="G30" s="90">
        <f>G28-G29</f>
        <v>-354800</v>
      </c>
      <c r="H30" s="90">
        <f t="shared" ref="H30:BI30" si="44">H28-H29</f>
        <v>-709600</v>
      </c>
      <c r="I30" s="90">
        <f t="shared" si="44"/>
        <v>-1064400</v>
      </c>
      <c r="J30" s="90">
        <f t="shared" si="44"/>
        <v>-1419200</v>
      </c>
      <c r="K30" s="90">
        <f t="shared" si="44"/>
        <v>-1774000</v>
      </c>
      <c r="L30" s="90">
        <f t="shared" si="44"/>
        <v>-2128800</v>
      </c>
      <c r="M30" s="90">
        <f t="shared" si="44"/>
        <v>-2483600</v>
      </c>
      <c r="N30" s="90">
        <f t="shared" si="44"/>
        <v>-2838400</v>
      </c>
      <c r="O30" s="90">
        <f t="shared" si="44"/>
        <v>-3193200</v>
      </c>
      <c r="P30" s="90">
        <f t="shared" si="44"/>
        <v>-3641750</v>
      </c>
      <c r="Q30" s="90">
        <f t="shared" si="44"/>
        <v>-4090300</v>
      </c>
      <c r="R30" s="90">
        <f t="shared" si="44"/>
        <v>-4794683.333333333</v>
      </c>
      <c r="S30" s="90">
        <f t="shared" si="44"/>
        <v>-5395929.333333333</v>
      </c>
      <c r="T30" s="90">
        <f t="shared" si="44"/>
        <v>-6580508.666666666</v>
      </c>
      <c r="U30" s="90">
        <f t="shared" si="44"/>
        <v>-7765087.9999999991</v>
      </c>
      <c r="V30" s="90">
        <f t="shared" si="44"/>
        <v>-9055292.3333333321</v>
      </c>
      <c r="W30" s="90">
        <f t="shared" si="44"/>
        <v>-10345496.666666666</v>
      </c>
      <c r="X30" s="90">
        <f t="shared" si="44"/>
        <v>-11625284.333333332</v>
      </c>
      <c r="Y30" s="90">
        <f t="shared" si="44"/>
        <v>-12905071.999999998</v>
      </c>
      <c r="Z30" s="90">
        <f t="shared" si="44"/>
        <v>-14260484.666666664</v>
      </c>
      <c r="AA30" s="90">
        <f t="shared" si="44"/>
        <v>-15615897.33333333</v>
      </c>
      <c r="AB30" s="90">
        <f t="shared" si="44"/>
        <v>-48799176.381331809</v>
      </c>
      <c r="AC30" s="90">
        <f t="shared" si="44"/>
        <v>-63023284.120387077</v>
      </c>
      <c r="AD30" s="90">
        <f t="shared" si="44"/>
        <v>-74906745.222280487</v>
      </c>
      <c r="AE30" s="90">
        <f t="shared" si="44"/>
        <v>-84377926.318134725</v>
      </c>
      <c r="AF30" s="90">
        <f t="shared" si="44"/>
        <v>-90779007.237279251</v>
      </c>
      <c r="AG30" s="90">
        <f t="shared" si="44"/>
        <v>-94788302.4907704</v>
      </c>
      <c r="AH30" s="90">
        <f t="shared" si="44"/>
        <v>-96308566.110212132</v>
      </c>
      <c r="AI30" s="90">
        <f t="shared" si="44"/>
        <v>-95391385.701864123</v>
      </c>
      <c r="AJ30" s="90">
        <f t="shared" si="44"/>
        <v>-92004243.86399734</v>
      </c>
      <c r="AK30" s="90">
        <f t="shared" si="44"/>
        <v>-86152768.73811923</v>
      </c>
      <c r="AL30" s="90">
        <f t="shared" si="44"/>
        <v>-77800375.290975735</v>
      </c>
      <c r="AM30" s="90">
        <f t="shared" ca="1" si="44"/>
        <v>-66943491.602590896</v>
      </c>
      <c r="AN30" s="90">
        <f t="shared" ca="1" si="44"/>
        <v>-53581608.960352696</v>
      </c>
      <c r="AO30" s="90">
        <f t="shared" ca="1" si="44"/>
        <v>-40127936.722233027</v>
      </c>
      <c r="AP30" s="90">
        <f t="shared" ca="1" si="44"/>
        <v>-26509399.48922541</v>
      </c>
      <c r="AQ30" s="90">
        <f t="shared" ca="1" si="44"/>
        <v>-12205166.524668491</v>
      </c>
      <c r="AR30" s="90">
        <f t="shared" ca="1" si="44"/>
        <v>2201387.7623777241</v>
      </c>
      <c r="AS30" s="90">
        <f t="shared" ca="1" si="44"/>
        <v>16672949.463803792</v>
      </c>
      <c r="AT30" s="90">
        <f t="shared" ca="1" si="44"/>
        <v>31187497.059274107</v>
      </c>
      <c r="AU30" s="90">
        <f t="shared" ca="1" si="44"/>
        <v>45738656.229727104</v>
      </c>
      <c r="AV30" s="90">
        <f t="shared" ca="1" si="44"/>
        <v>60326426.975162782</v>
      </c>
      <c r="AW30" s="90">
        <f t="shared" ca="1" si="44"/>
        <v>74950809.295581147</v>
      </c>
      <c r="AX30" s="90">
        <f t="shared" ca="1" si="44"/>
        <v>89611803.190982193</v>
      </c>
      <c r="AY30" s="90">
        <f t="shared" ca="1" si="44"/>
        <v>0</v>
      </c>
      <c r="AZ30" s="90">
        <f t="shared" ca="1" si="44"/>
        <v>14734217.045366423</v>
      </c>
      <c r="BA30" s="90">
        <f t="shared" ca="1" si="44"/>
        <v>29505045.665715531</v>
      </c>
      <c r="BB30" s="90">
        <f t="shared" ca="1" si="44"/>
        <v>44312485.861047313</v>
      </c>
      <c r="BC30" s="90">
        <f t="shared" ca="1" si="44"/>
        <v>59723923.451173276</v>
      </c>
      <c r="BD30" s="90">
        <f t="shared" ca="1" si="44"/>
        <v>75171925.930767849</v>
      </c>
      <c r="BE30" s="90">
        <f t="shared" ca="1" si="44"/>
        <v>90656493.299831048</v>
      </c>
      <c r="BF30" s="90">
        <f t="shared" ca="1" si="44"/>
        <v>106177625.55836287</v>
      </c>
      <c r="BG30" s="90">
        <f t="shared" ca="1" si="44"/>
        <v>121735322.70636331</v>
      </c>
      <c r="BH30" s="90">
        <f t="shared" ca="1" si="44"/>
        <v>137329584.74383238</v>
      </c>
      <c r="BI30" s="90">
        <f t="shared" ca="1" si="44"/>
        <v>233358554.53280729</v>
      </c>
      <c r="BJ30" s="90">
        <f t="shared" ref="BJ30" ca="1" si="45">BJ28-BJ29</f>
        <v>335497933.87721211</v>
      </c>
      <c r="BK30" s="90">
        <f t="shared" ref="BK30" ca="1" si="46">BK28-BK29</f>
        <v>449932087.05402476</v>
      </c>
      <c r="BL30" s="90">
        <f t="shared" ref="BL30" ca="1" si="47">BL28-BL29</f>
        <v>572594323.39353681</v>
      </c>
      <c r="BM30" s="90">
        <f t="shared" ref="BM30" ca="1" si="48">BM28-BM29</f>
        <v>701466780.84974694</v>
      </c>
      <c r="BN30" s="90">
        <f t="shared" ref="BN30" ca="1" si="49">BN28-BN29</f>
        <v>819027749.17818272</v>
      </c>
      <c r="BO30" s="90">
        <f t="shared" ref="BO30" ca="1" si="50">BO28-BO29</f>
        <v>926710938.28033626</v>
      </c>
    </row>
    <row r="31" spans="1:67">
      <c r="A31" s="11"/>
      <c r="B31" s="11"/>
      <c r="C31" s="11" t="s">
        <v>505</v>
      </c>
      <c r="D31" s="33"/>
      <c r="E31" s="33"/>
      <c r="F31" s="33"/>
      <c r="G31" s="90">
        <f>0</f>
        <v>0</v>
      </c>
      <c r="H31" s="90">
        <f>G33</f>
        <v>0</v>
      </c>
      <c r="I31" s="90">
        <f t="shared" ref="I31:BI31" si="51">H33</f>
        <v>0</v>
      </c>
      <c r="J31" s="90">
        <f t="shared" si="51"/>
        <v>0</v>
      </c>
      <c r="K31" s="90">
        <f t="shared" si="51"/>
        <v>0</v>
      </c>
      <c r="L31" s="90">
        <f t="shared" si="51"/>
        <v>0</v>
      </c>
      <c r="M31" s="90">
        <f t="shared" si="51"/>
        <v>0</v>
      </c>
      <c r="N31" s="90">
        <f t="shared" si="51"/>
        <v>0</v>
      </c>
      <c r="O31" s="90">
        <f t="shared" si="51"/>
        <v>0</v>
      </c>
      <c r="P31" s="90">
        <f t="shared" si="51"/>
        <v>0</v>
      </c>
      <c r="Q31" s="90">
        <f t="shared" si="51"/>
        <v>0</v>
      </c>
      <c r="R31" s="90">
        <f t="shared" si="51"/>
        <v>0</v>
      </c>
      <c r="S31" s="90">
        <f t="shared" si="51"/>
        <v>0</v>
      </c>
      <c r="T31" s="90">
        <f t="shared" si="51"/>
        <v>0</v>
      </c>
      <c r="U31" s="90">
        <f t="shared" si="51"/>
        <v>0</v>
      </c>
      <c r="V31" s="90">
        <f t="shared" si="51"/>
        <v>0</v>
      </c>
      <c r="W31" s="90">
        <f t="shared" si="51"/>
        <v>0</v>
      </c>
      <c r="X31" s="90">
        <f t="shared" si="51"/>
        <v>0</v>
      </c>
      <c r="Y31" s="90">
        <f t="shared" si="51"/>
        <v>0</v>
      </c>
      <c r="Z31" s="90">
        <f t="shared" si="51"/>
        <v>0</v>
      </c>
      <c r="AA31" s="90">
        <f t="shared" si="51"/>
        <v>0</v>
      </c>
      <c r="AB31" s="90">
        <f t="shared" si="51"/>
        <v>0</v>
      </c>
      <c r="AC31" s="90">
        <f t="shared" si="51"/>
        <v>0</v>
      </c>
      <c r="AD31" s="90">
        <f t="shared" si="51"/>
        <v>0</v>
      </c>
      <c r="AE31" s="90">
        <f t="shared" si="51"/>
        <v>0</v>
      </c>
      <c r="AF31" s="90">
        <f t="shared" si="51"/>
        <v>0</v>
      </c>
      <c r="AG31" s="90">
        <f t="shared" si="51"/>
        <v>0</v>
      </c>
      <c r="AH31" s="90">
        <f t="shared" si="51"/>
        <v>0</v>
      </c>
      <c r="AI31" s="90">
        <f t="shared" si="51"/>
        <v>0</v>
      </c>
      <c r="AJ31" s="90">
        <f t="shared" si="51"/>
        <v>0</v>
      </c>
      <c r="AK31" s="90">
        <f t="shared" si="51"/>
        <v>0</v>
      </c>
      <c r="AL31" s="90">
        <f t="shared" si="51"/>
        <v>0</v>
      </c>
      <c r="AM31" s="90">
        <f t="shared" si="51"/>
        <v>0</v>
      </c>
      <c r="AN31" s="90">
        <f t="shared" ca="1" si="51"/>
        <v>0</v>
      </c>
      <c r="AO31" s="90">
        <f t="shared" ca="1" si="51"/>
        <v>0</v>
      </c>
      <c r="AP31" s="90">
        <f t="shared" ca="1" si="51"/>
        <v>0</v>
      </c>
      <c r="AQ31" s="90">
        <f t="shared" ca="1" si="51"/>
        <v>0</v>
      </c>
      <c r="AR31" s="90">
        <f t="shared" ca="1" si="51"/>
        <v>0</v>
      </c>
      <c r="AS31" s="90">
        <f t="shared" ca="1" si="51"/>
        <v>0</v>
      </c>
      <c r="AT31" s="90">
        <f t="shared" ca="1" si="51"/>
        <v>0</v>
      </c>
      <c r="AU31" s="90">
        <f t="shared" ca="1" si="51"/>
        <v>0</v>
      </c>
      <c r="AV31" s="90">
        <f t="shared" ca="1" si="51"/>
        <v>0</v>
      </c>
      <c r="AW31" s="90">
        <f t="shared" ca="1" si="51"/>
        <v>0</v>
      </c>
      <c r="AX31" s="90">
        <f t="shared" ca="1" si="51"/>
        <v>0</v>
      </c>
      <c r="AY31" s="90">
        <f t="shared" ca="1" si="51"/>
        <v>0</v>
      </c>
      <c r="AZ31" s="90">
        <f t="shared" ca="1" si="51"/>
        <v>32570538.632764772</v>
      </c>
      <c r="BA31" s="90">
        <f t="shared" ca="1" si="51"/>
        <v>32570538.632764772</v>
      </c>
      <c r="BB31" s="90">
        <f t="shared" ca="1" si="51"/>
        <v>32570538.632764772</v>
      </c>
      <c r="BC31" s="90">
        <f t="shared" ca="1" si="51"/>
        <v>32570538.632764772</v>
      </c>
      <c r="BD31" s="90">
        <f t="shared" ca="1" si="51"/>
        <v>32570538.632764772</v>
      </c>
      <c r="BE31" s="90">
        <f t="shared" ca="1" si="51"/>
        <v>32570538.632764772</v>
      </c>
      <c r="BF31" s="90">
        <f t="shared" ca="1" si="51"/>
        <v>32570538.632764772</v>
      </c>
      <c r="BG31" s="90">
        <f t="shared" ca="1" si="51"/>
        <v>32570538.632764772</v>
      </c>
      <c r="BH31" s="90">
        <f t="shared" ca="1" si="51"/>
        <v>32570538.632764772</v>
      </c>
      <c r="BI31" s="90">
        <f t="shared" ca="1" si="51"/>
        <v>32570538.632764772</v>
      </c>
      <c r="BJ31" s="90">
        <f t="shared" ref="BJ31:BO31" ca="1" si="52">BI33</f>
        <v>96028969.788974926</v>
      </c>
      <c r="BK31" s="90">
        <f t="shared" ca="1" si="52"/>
        <v>102139379.34440483</v>
      </c>
      <c r="BL31" s="90">
        <f t="shared" ca="1" si="52"/>
        <v>114434153.17681257</v>
      </c>
      <c r="BM31" s="90">
        <f t="shared" ca="1" si="52"/>
        <v>122662236.33951207</v>
      </c>
      <c r="BN31" s="90">
        <f t="shared" ca="1" si="52"/>
        <v>128872457.45621018</v>
      </c>
      <c r="BO31" s="90">
        <f t="shared" ca="1" si="52"/>
        <v>117560968.32843585</v>
      </c>
    </row>
    <row r="32" spans="1:67">
      <c r="A32" s="11"/>
      <c r="B32" s="11"/>
      <c r="C32" s="11" t="s">
        <v>506</v>
      </c>
      <c r="D32" s="33"/>
      <c r="E32" s="33"/>
      <c r="F32" s="33"/>
      <c r="G32" s="90">
        <f>IF(G8=1,G31,0)</f>
        <v>0</v>
      </c>
      <c r="H32" s="90">
        <f t="shared" ref="H32:BI32" si="53">IF(H8=1,H31,0)</f>
        <v>0</v>
      </c>
      <c r="I32" s="90">
        <f t="shared" si="53"/>
        <v>0</v>
      </c>
      <c r="J32" s="90">
        <f t="shared" si="53"/>
        <v>0</v>
      </c>
      <c r="K32" s="90">
        <f t="shared" si="53"/>
        <v>0</v>
      </c>
      <c r="L32" s="90">
        <f t="shared" si="53"/>
        <v>0</v>
      </c>
      <c r="M32" s="90">
        <f t="shared" si="53"/>
        <v>0</v>
      </c>
      <c r="N32" s="90">
        <f t="shared" si="53"/>
        <v>0</v>
      </c>
      <c r="O32" s="90">
        <f t="shared" si="53"/>
        <v>0</v>
      </c>
      <c r="P32" s="90">
        <f t="shared" si="53"/>
        <v>0</v>
      </c>
      <c r="Q32" s="90">
        <f t="shared" si="53"/>
        <v>0</v>
      </c>
      <c r="R32" s="90">
        <f t="shared" si="53"/>
        <v>0</v>
      </c>
      <c r="S32" s="90">
        <f t="shared" si="53"/>
        <v>0</v>
      </c>
      <c r="T32" s="90">
        <f t="shared" si="53"/>
        <v>0</v>
      </c>
      <c r="U32" s="90">
        <f t="shared" si="53"/>
        <v>0</v>
      </c>
      <c r="V32" s="90">
        <f t="shared" si="53"/>
        <v>0</v>
      </c>
      <c r="W32" s="90">
        <f t="shared" si="53"/>
        <v>0</v>
      </c>
      <c r="X32" s="90">
        <f t="shared" si="53"/>
        <v>0</v>
      </c>
      <c r="Y32" s="90">
        <f t="shared" si="53"/>
        <v>0</v>
      </c>
      <c r="Z32" s="90">
        <f t="shared" si="53"/>
        <v>0</v>
      </c>
      <c r="AA32" s="90">
        <f t="shared" si="53"/>
        <v>0</v>
      </c>
      <c r="AB32" s="90">
        <f t="shared" si="53"/>
        <v>0</v>
      </c>
      <c r="AC32" s="90">
        <f t="shared" si="53"/>
        <v>0</v>
      </c>
      <c r="AD32" s="90">
        <f t="shared" si="53"/>
        <v>0</v>
      </c>
      <c r="AE32" s="90">
        <f t="shared" si="53"/>
        <v>0</v>
      </c>
      <c r="AF32" s="90">
        <f t="shared" si="53"/>
        <v>0</v>
      </c>
      <c r="AG32" s="90">
        <f t="shared" si="53"/>
        <v>0</v>
      </c>
      <c r="AH32" s="90">
        <f t="shared" si="53"/>
        <v>0</v>
      </c>
      <c r="AI32" s="90">
        <f t="shared" si="53"/>
        <v>0</v>
      </c>
      <c r="AJ32" s="90">
        <f t="shared" si="53"/>
        <v>0</v>
      </c>
      <c r="AK32" s="90">
        <f t="shared" si="53"/>
        <v>0</v>
      </c>
      <c r="AL32" s="90">
        <f t="shared" si="53"/>
        <v>0</v>
      </c>
      <c r="AM32" s="90">
        <f t="shared" si="53"/>
        <v>0</v>
      </c>
      <c r="AN32" s="90">
        <f t="shared" si="53"/>
        <v>0</v>
      </c>
      <c r="AO32" s="90">
        <f t="shared" si="53"/>
        <v>0</v>
      </c>
      <c r="AP32" s="90">
        <f t="shared" si="53"/>
        <v>0</v>
      </c>
      <c r="AQ32" s="90">
        <f t="shared" si="53"/>
        <v>0</v>
      </c>
      <c r="AR32" s="90">
        <f t="shared" si="53"/>
        <v>0</v>
      </c>
      <c r="AS32" s="90">
        <f t="shared" si="53"/>
        <v>0</v>
      </c>
      <c r="AT32" s="90">
        <f t="shared" si="53"/>
        <v>0</v>
      </c>
      <c r="AU32" s="90">
        <f t="shared" si="53"/>
        <v>0</v>
      </c>
      <c r="AV32" s="90">
        <f t="shared" si="53"/>
        <v>0</v>
      </c>
      <c r="AW32" s="90">
        <f t="shared" si="53"/>
        <v>0</v>
      </c>
      <c r="AX32" s="90">
        <f t="shared" si="53"/>
        <v>0</v>
      </c>
      <c r="AY32" s="90">
        <f t="shared" ca="1" si="53"/>
        <v>0</v>
      </c>
      <c r="AZ32" s="90">
        <f t="shared" si="53"/>
        <v>0</v>
      </c>
      <c r="BA32" s="90">
        <f t="shared" si="53"/>
        <v>0</v>
      </c>
      <c r="BB32" s="90">
        <f t="shared" si="53"/>
        <v>0</v>
      </c>
      <c r="BC32" s="90">
        <f t="shared" si="53"/>
        <v>0</v>
      </c>
      <c r="BD32" s="90">
        <f t="shared" si="53"/>
        <v>0</v>
      </c>
      <c r="BE32" s="90">
        <f t="shared" si="53"/>
        <v>0</v>
      </c>
      <c r="BF32" s="90">
        <f t="shared" si="53"/>
        <v>0</v>
      </c>
      <c r="BG32" s="90">
        <f t="shared" si="53"/>
        <v>0</v>
      </c>
      <c r="BH32" s="90">
        <f t="shared" si="53"/>
        <v>0</v>
      </c>
      <c r="BI32" s="90">
        <f t="shared" ca="1" si="53"/>
        <v>32570538.632764772</v>
      </c>
      <c r="BJ32" s="90">
        <f t="shared" ref="BJ32" ca="1" si="54">IF(BJ8=1,BJ31,0)</f>
        <v>96028969.788974926</v>
      </c>
      <c r="BK32" s="90">
        <f t="shared" ref="BK32" ca="1" si="55">IF(BK8=1,BK31,0)</f>
        <v>102139379.34440483</v>
      </c>
      <c r="BL32" s="90">
        <f t="shared" ref="BL32" ca="1" si="56">IF(BL8=1,BL31,0)</f>
        <v>114434153.17681257</v>
      </c>
      <c r="BM32" s="90">
        <f t="shared" ref="BM32" ca="1" si="57">IF(BM8=1,BM31,0)</f>
        <v>122662236.33951207</v>
      </c>
      <c r="BN32" s="90">
        <f t="shared" ref="BN32" ca="1" si="58">IF(BN8=1,BN31,0)</f>
        <v>128872457.45621018</v>
      </c>
      <c r="BO32" s="90">
        <f t="shared" ref="BO32" ca="1" si="59">IF(BO8=1,BO31,0)</f>
        <v>117560968.32843585</v>
      </c>
    </row>
    <row r="33" spans="1:67">
      <c r="A33" s="11"/>
      <c r="B33" s="11"/>
      <c r="C33" s="11" t="s">
        <v>507</v>
      </c>
      <c r="D33" s="33"/>
      <c r="E33" s="33"/>
      <c r="F33" s="33"/>
      <c r="G33" s="90">
        <f>G31+G29-G32</f>
        <v>0</v>
      </c>
      <c r="H33" s="90">
        <f t="shared" ref="H33:BI33" si="60">H31+H29-H32</f>
        <v>0</v>
      </c>
      <c r="I33" s="90">
        <f t="shared" si="60"/>
        <v>0</v>
      </c>
      <c r="J33" s="90">
        <f t="shared" si="60"/>
        <v>0</v>
      </c>
      <c r="K33" s="90">
        <f t="shared" si="60"/>
        <v>0</v>
      </c>
      <c r="L33" s="90">
        <f t="shared" si="60"/>
        <v>0</v>
      </c>
      <c r="M33" s="90">
        <f t="shared" si="60"/>
        <v>0</v>
      </c>
      <c r="N33" s="90">
        <f t="shared" si="60"/>
        <v>0</v>
      </c>
      <c r="O33" s="90">
        <f t="shared" si="60"/>
        <v>0</v>
      </c>
      <c r="P33" s="90">
        <f t="shared" si="60"/>
        <v>0</v>
      </c>
      <c r="Q33" s="90">
        <f t="shared" si="60"/>
        <v>0</v>
      </c>
      <c r="R33" s="90">
        <f t="shared" si="60"/>
        <v>0</v>
      </c>
      <c r="S33" s="90">
        <f t="shared" si="60"/>
        <v>0</v>
      </c>
      <c r="T33" s="90">
        <f t="shared" si="60"/>
        <v>0</v>
      </c>
      <c r="U33" s="90">
        <f t="shared" si="60"/>
        <v>0</v>
      </c>
      <c r="V33" s="90">
        <f t="shared" si="60"/>
        <v>0</v>
      </c>
      <c r="W33" s="90">
        <f t="shared" si="60"/>
        <v>0</v>
      </c>
      <c r="X33" s="90">
        <f t="shared" si="60"/>
        <v>0</v>
      </c>
      <c r="Y33" s="90">
        <f t="shared" si="60"/>
        <v>0</v>
      </c>
      <c r="Z33" s="90">
        <f t="shared" si="60"/>
        <v>0</v>
      </c>
      <c r="AA33" s="90">
        <f t="shared" si="60"/>
        <v>0</v>
      </c>
      <c r="AB33" s="90">
        <f t="shared" si="60"/>
        <v>0</v>
      </c>
      <c r="AC33" s="90">
        <f t="shared" si="60"/>
        <v>0</v>
      </c>
      <c r="AD33" s="90">
        <f t="shared" si="60"/>
        <v>0</v>
      </c>
      <c r="AE33" s="90">
        <f t="shared" si="60"/>
        <v>0</v>
      </c>
      <c r="AF33" s="90">
        <f t="shared" si="60"/>
        <v>0</v>
      </c>
      <c r="AG33" s="90">
        <f t="shared" si="60"/>
        <v>0</v>
      </c>
      <c r="AH33" s="90">
        <f t="shared" si="60"/>
        <v>0</v>
      </c>
      <c r="AI33" s="90">
        <f t="shared" si="60"/>
        <v>0</v>
      </c>
      <c r="AJ33" s="90">
        <f t="shared" si="60"/>
        <v>0</v>
      </c>
      <c r="AK33" s="90">
        <f t="shared" si="60"/>
        <v>0</v>
      </c>
      <c r="AL33" s="90">
        <f t="shared" si="60"/>
        <v>0</v>
      </c>
      <c r="AM33" s="90">
        <f t="shared" ca="1" si="60"/>
        <v>0</v>
      </c>
      <c r="AN33" s="90">
        <f t="shared" ca="1" si="60"/>
        <v>0</v>
      </c>
      <c r="AO33" s="90">
        <f t="shared" ca="1" si="60"/>
        <v>0</v>
      </c>
      <c r="AP33" s="90">
        <f t="shared" ca="1" si="60"/>
        <v>0</v>
      </c>
      <c r="AQ33" s="90">
        <f t="shared" ca="1" si="60"/>
        <v>0</v>
      </c>
      <c r="AR33" s="90">
        <f t="shared" ca="1" si="60"/>
        <v>0</v>
      </c>
      <c r="AS33" s="90">
        <f t="shared" ca="1" si="60"/>
        <v>0</v>
      </c>
      <c r="AT33" s="90">
        <f t="shared" ca="1" si="60"/>
        <v>0</v>
      </c>
      <c r="AU33" s="90">
        <f t="shared" ca="1" si="60"/>
        <v>0</v>
      </c>
      <c r="AV33" s="90">
        <f t="shared" ca="1" si="60"/>
        <v>0</v>
      </c>
      <c r="AW33" s="90">
        <f t="shared" ca="1" si="60"/>
        <v>0</v>
      </c>
      <c r="AX33" s="90">
        <f t="shared" ca="1" si="60"/>
        <v>0</v>
      </c>
      <c r="AY33" s="90">
        <f t="shared" ca="1" si="60"/>
        <v>32570538.632764772</v>
      </c>
      <c r="AZ33" s="90">
        <f t="shared" ca="1" si="60"/>
        <v>32570538.632764772</v>
      </c>
      <c r="BA33" s="90">
        <f t="shared" ca="1" si="60"/>
        <v>32570538.632764772</v>
      </c>
      <c r="BB33" s="90">
        <f t="shared" ca="1" si="60"/>
        <v>32570538.632764772</v>
      </c>
      <c r="BC33" s="90">
        <f t="shared" ca="1" si="60"/>
        <v>32570538.632764772</v>
      </c>
      <c r="BD33" s="90">
        <f t="shared" ca="1" si="60"/>
        <v>32570538.632764772</v>
      </c>
      <c r="BE33" s="90">
        <f t="shared" ca="1" si="60"/>
        <v>32570538.632764772</v>
      </c>
      <c r="BF33" s="90">
        <f t="shared" ca="1" si="60"/>
        <v>32570538.632764772</v>
      </c>
      <c r="BG33" s="90">
        <f t="shared" ca="1" si="60"/>
        <v>32570538.632764772</v>
      </c>
      <c r="BH33" s="90">
        <f t="shared" ca="1" si="60"/>
        <v>32570538.632764772</v>
      </c>
      <c r="BI33" s="90">
        <f t="shared" ca="1" si="60"/>
        <v>96028969.788974926</v>
      </c>
      <c r="BJ33" s="90">
        <f t="shared" ref="BJ33" ca="1" si="61">BJ31+BJ29-BJ32</f>
        <v>102139379.34440483</v>
      </c>
      <c r="BK33" s="90">
        <f t="shared" ref="BK33" ca="1" si="62">BK31+BK29-BK32</f>
        <v>114434153.17681257</v>
      </c>
      <c r="BL33" s="90">
        <f t="shared" ref="BL33" ca="1" si="63">BL31+BL29-BL32</f>
        <v>122662236.33951207</v>
      </c>
      <c r="BM33" s="90">
        <f t="shared" ref="BM33" ca="1" si="64">BM31+BM29-BM32</f>
        <v>128872457.45621018</v>
      </c>
      <c r="BN33" s="90">
        <f t="shared" ref="BN33" ca="1" si="65">BN31+BN29-BN32</f>
        <v>117560968.32843585</v>
      </c>
      <c r="BO33" s="90">
        <f t="shared" ref="BO33" ca="1" si="66">BO31+BO29-BO32</f>
        <v>107683189.10215361</v>
      </c>
    </row>
    <row r="34" spans="1:67">
      <c r="A34" s="11"/>
      <c r="B34" s="11"/>
      <c r="C34" s="11"/>
      <c r="D34" s="33"/>
      <c r="E34" s="33"/>
      <c r="F34" s="3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row>
    <row r="35" spans="1:67">
      <c r="A35" s="18" t="s">
        <v>508</v>
      </c>
      <c r="B35" s="18"/>
      <c r="C35" s="18"/>
      <c r="D35" s="39"/>
      <c r="E35" s="39"/>
      <c r="F35" s="39"/>
      <c r="G35" s="40"/>
      <c r="H35" s="40"/>
      <c r="I35" s="40"/>
      <c r="J35" s="40"/>
      <c r="K35" s="40"/>
      <c r="L35" s="40"/>
      <c r="M35" s="40"/>
      <c r="N35" s="40"/>
      <c r="O35" s="40"/>
      <c r="P35" s="40"/>
      <c r="Q35" s="40"/>
      <c r="R35" s="40"/>
      <c r="S35" s="40"/>
      <c r="T35" s="40"/>
      <c r="U35" s="40"/>
      <c r="V35" s="40"/>
      <c r="W35" s="40"/>
      <c r="X35" s="40"/>
      <c r="Y35" s="40"/>
      <c r="Z35" s="40"/>
      <c r="AA35" s="40"/>
      <c r="AB35" s="40"/>
      <c r="AC35" s="40"/>
      <c r="AD35" s="40"/>
      <c r="AE35" s="40"/>
      <c r="AF35" s="40"/>
      <c r="AG35" s="40"/>
      <c r="AH35" s="40"/>
      <c r="AI35" s="40"/>
      <c r="AJ35" s="40"/>
      <c r="AK35" s="40"/>
      <c r="AL35" s="40"/>
      <c r="AM35" s="40"/>
      <c r="AN35" s="40"/>
      <c r="AO35" s="40"/>
      <c r="AP35" s="40"/>
      <c r="AQ35" s="40"/>
      <c r="AR35" s="40"/>
      <c r="AS35" s="40"/>
      <c r="AT35" s="40"/>
      <c r="AU35" s="40"/>
      <c r="AV35" s="40"/>
      <c r="AW35" s="40"/>
      <c r="AX35" s="40"/>
      <c r="AY35" s="40"/>
      <c r="AZ35" s="40"/>
      <c r="BA35" s="40"/>
      <c r="BB35" s="40"/>
      <c r="BC35" s="40"/>
      <c r="BD35" s="40"/>
      <c r="BE35" s="40"/>
      <c r="BF35" s="40"/>
      <c r="BG35" s="40"/>
      <c r="BH35" s="40"/>
      <c r="BI35" s="40"/>
      <c r="BJ35" s="40"/>
      <c r="BK35" s="40"/>
      <c r="BL35" s="40"/>
      <c r="BM35" s="40"/>
      <c r="BN35" s="40"/>
      <c r="BO35" s="40"/>
    </row>
    <row r="36" spans="1:67">
      <c r="A36" s="11"/>
      <c r="B36" s="11"/>
      <c r="C36" s="11" t="s">
        <v>509</v>
      </c>
      <c r="D36" s="33"/>
      <c r="E36" s="33"/>
      <c r="F36" s="33"/>
      <c r="G36" s="90">
        <f>G15</f>
        <v>23922220.516129032</v>
      </c>
      <c r="H36" s="90">
        <f t="shared" ref="H36:BI36" si="67">H15</f>
        <v>47648777.428571433</v>
      </c>
      <c r="I36" s="90">
        <f t="shared" si="67"/>
        <v>71445820.516129032</v>
      </c>
      <c r="J36" s="90">
        <f t="shared" si="67"/>
        <v>341326656</v>
      </c>
      <c r="K36" s="90">
        <f t="shared" si="67"/>
        <v>396405891.10436434</v>
      </c>
      <c r="L36" s="90">
        <f t="shared" si="67"/>
        <v>451463197.17647058</v>
      </c>
      <c r="M36" s="90">
        <f t="shared" si="67"/>
        <v>506552432.28083491</v>
      </c>
      <c r="N36" s="90">
        <f t="shared" si="67"/>
        <v>561630702.86907017</v>
      </c>
      <c r="O36" s="90">
        <f t="shared" si="67"/>
        <v>616698008.94117641</v>
      </c>
      <c r="P36" s="90">
        <f t="shared" si="67"/>
        <v>682554122.40575576</v>
      </c>
      <c r="Q36" s="90">
        <f t="shared" si="67"/>
        <v>706993193.5</v>
      </c>
      <c r="R36" s="90">
        <f t="shared" si="67"/>
        <v>707456309.89784944</v>
      </c>
      <c r="S36" s="90">
        <f t="shared" si="67"/>
        <v>708160748.7275269</v>
      </c>
      <c r="T36" s="90">
        <f t="shared" si="67"/>
        <v>708685266.45908046</v>
      </c>
      <c r="U36" s="90">
        <f t="shared" si="67"/>
        <v>709947891.26516128</v>
      </c>
      <c r="V36" s="90">
        <f t="shared" si="67"/>
        <v>711091579.87</v>
      </c>
      <c r="W36" s="90">
        <f t="shared" si="67"/>
        <v>712422913.43989253</v>
      </c>
      <c r="X36" s="90">
        <f t="shared" si="67"/>
        <v>713672301.03666675</v>
      </c>
      <c r="Y36" s="90">
        <f t="shared" si="67"/>
        <v>714992881.91838717</v>
      </c>
      <c r="Z36" s="90">
        <f t="shared" si="67"/>
        <v>716272840.35118294</v>
      </c>
      <c r="AA36" s="90">
        <f t="shared" si="67"/>
        <v>717388700.28601158</v>
      </c>
      <c r="AB36" s="90">
        <f t="shared" si="67"/>
        <v>717388700.28601158</v>
      </c>
      <c r="AC36" s="90">
        <f t="shared" si="67"/>
        <v>717388700.28601158</v>
      </c>
      <c r="AD36" s="90">
        <f t="shared" si="67"/>
        <v>717388700.28601158</v>
      </c>
      <c r="AE36" s="90">
        <f t="shared" si="67"/>
        <v>717388700.28601158</v>
      </c>
      <c r="AF36" s="90">
        <f t="shared" si="67"/>
        <v>717388700.28601158</v>
      </c>
      <c r="AG36" s="90">
        <f t="shared" si="67"/>
        <v>717388700.28601158</v>
      </c>
      <c r="AH36" s="90">
        <f t="shared" si="67"/>
        <v>717388700.28601158</v>
      </c>
      <c r="AI36" s="90">
        <f t="shared" si="67"/>
        <v>717388700.28601158</v>
      </c>
      <c r="AJ36" s="90">
        <f t="shared" si="67"/>
        <v>717388700.28601158</v>
      </c>
      <c r="AK36" s="90">
        <f t="shared" si="67"/>
        <v>717388700.28601158</v>
      </c>
      <c r="AL36" s="90">
        <f t="shared" si="67"/>
        <v>717388700.28601158</v>
      </c>
      <c r="AM36" s="90">
        <f t="shared" si="67"/>
        <v>717388700.28601158</v>
      </c>
      <c r="AN36" s="90">
        <f t="shared" si="67"/>
        <v>717388700.28601158</v>
      </c>
      <c r="AO36" s="90">
        <f t="shared" si="67"/>
        <v>717388700.28601158</v>
      </c>
      <c r="AP36" s="90">
        <f t="shared" si="67"/>
        <v>717388700.28601158</v>
      </c>
      <c r="AQ36" s="90">
        <f t="shared" si="67"/>
        <v>717388700.28601158</v>
      </c>
      <c r="AR36" s="90">
        <f t="shared" si="67"/>
        <v>717388700.28601158</v>
      </c>
      <c r="AS36" s="90">
        <f t="shared" si="67"/>
        <v>717388700.28601158</v>
      </c>
      <c r="AT36" s="90">
        <f t="shared" si="67"/>
        <v>717388700.28601158</v>
      </c>
      <c r="AU36" s="90">
        <f t="shared" si="67"/>
        <v>717388700.28601158</v>
      </c>
      <c r="AV36" s="90">
        <f t="shared" si="67"/>
        <v>717388700.28601158</v>
      </c>
      <c r="AW36" s="90">
        <f t="shared" si="67"/>
        <v>717388700.28601158</v>
      </c>
      <c r="AX36" s="90">
        <f t="shared" si="67"/>
        <v>717388700.28601158</v>
      </c>
      <c r="AY36" s="90">
        <f t="shared" si="67"/>
        <v>717388700.28601158</v>
      </c>
      <c r="AZ36" s="90">
        <f t="shared" si="67"/>
        <v>717388700.28601158</v>
      </c>
      <c r="BA36" s="90">
        <f t="shared" si="67"/>
        <v>717388700.28601158</v>
      </c>
      <c r="BB36" s="90">
        <f t="shared" si="67"/>
        <v>717388700.28601158</v>
      </c>
      <c r="BC36" s="90">
        <f t="shared" si="67"/>
        <v>717388700.28601158</v>
      </c>
      <c r="BD36" s="90">
        <f t="shared" si="67"/>
        <v>717388700.28601158</v>
      </c>
      <c r="BE36" s="90">
        <f t="shared" si="67"/>
        <v>717388700.28601158</v>
      </c>
      <c r="BF36" s="90">
        <f t="shared" si="67"/>
        <v>717388700.28601158</v>
      </c>
      <c r="BG36" s="90">
        <f t="shared" si="67"/>
        <v>717388700.28601158</v>
      </c>
      <c r="BH36" s="90">
        <f t="shared" si="67"/>
        <v>717388700.28601158</v>
      </c>
      <c r="BI36" s="90">
        <f t="shared" si="67"/>
        <v>717388700.28601158</v>
      </c>
      <c r="BJ36" s="90">
        <f t="shared" ref="BJ36:BO36" si="68">BJ15</f>
        <v>717388700.28601158</v>
      </c>
      <c r="BK36" s="90">
        <f t="shared" si="68"/>
        <v>717388700.28601158</v>
      </c>
      <c r="BL36" s="90">
        <f t="shared" si="68"/>
        <v>717388700.28601158</v>
      </c>
      <c r="BM36" s="90">
        <f t="shared" si="68"/>
        <v>717388700.28601158</v>
      </c>
      <c r="BN36" s="90">
        <f t="shared" si="68"/>
        <v>717388700.28601158</v>
      </c>
      <c r="BO36" s="90">
        <f t="shared" si="68"/>
        <v>717388700.28601158</v>
      </c>
    </row>
    <row r="37" spans="1:67">
      <c r="A37" s="11"/>
      <c r="B37" s="11"/>
      <c r="C37" s="11" t="s">
        <v>510</v>
      </c>
      <c r="D37" s="33"/>
      <c r="E37" s="33"/>
      <c r="F37" s="33"/>
      <c r="G37" s="90">
        <f>G21</f>
        <v>0</v>
      </c>
      <c r="H37" s="90">
        <f t="shared" ref="H37:BI37" si="69">H21</f>
        <v>0</v>
      </c>
      <c r="I37" s="90">
        <f t="shared" si="69"/>
        <v>0</v>
      </c>
      <c r="J37" s="90">
        <f t="shared" si="69"/>
        <v>0</v>
      </c>
      <c r="K37" s="90">
        <f t="shared" si="69"/>
        <v>0</v>
      </c>
      <c r="L37" s="90">
        <f t="shared" si="69"/>
        <v>0</v>
      </c>
      <c r="M37" s="90">
        <f t="shared" si="69"/>
        <v>0</v>
      </c>
      <c r="N37" s="90">
        <f t="shared" si="69"/>
        <v>0</v>
      </c>
      <c r="O37" s="90">
        <f t="shared" si="69"/>
        <v>0</v>
      </c>
      <c r="P37" s="90">
        <f t="shared" si="69"/>
        <v>0</v>
      </c>
      <c r="Q37" s="90">
        <f t="shared" si="69"/>
        <v>0</v>
      </c>
      <c r="R37" s="90">
        <f t="shared" si="69"/>
        <v>0</v>
      </c>
      <c r="S37" s="90">
        <f t="shared" si="69"/>
        <v>0</v>
      </c>
      <c r="T37" s="90">
        <f t="shared" si="69"/>
        <v>0</v>
      </c>
      <c r="U37" s="90">
        <f t="shared" si="69"/>
        <v>0</v>
      </c>
      <c r="V37" s="90">
        <f t="shared" si="69"/>
        <v>0</v>
      </c>
      <c r="W37" s="90">
        <f t="shared" si="69"/>
        <v>0</v>
      </c>
      <c r="X37" s="90">
        <f t="shared" si="69"/>
        <v>0</v>
      </c>
      <c r="Y37" s="90">
        <f t="shared" si="69"/>
        <v>0</v>
      </c>
      <c r="Z37" s="90">
        <f t="shared" si="69"/>
        <v>0</v>
      </c>
      <c r="AA37" s="90">
        <f t="shared" si="69"/>
        <v>0</v>
      </c>
      <c r="AB37" s="90">
        <f t="shared" si="69"/>
        <v>0</v>
      </c>
      <c r="AC37" s="90">
        <f t="shared" si="69"/>
        <v>0</v>
      </c>
      <c r="AD37" s="90">
        <f t="shared" si="69"/>
        <v>0</v>
      </c>
      <c r="AE37" s="90">
        <f t="shared" si="69"/>
        <v>0</v>
      </c>
      <c r="AF37" s="90">
        <f t="shared" si="69"/>
        <v>0</v>
      </c>
      <c r="AG37" s="90">
        <f t="shared" si="69"/>
        <v>0</v>
      </c>
      <c r="AH37" s="90">
        <f t="shared" si="69"/>
        <v>0</v>
      </c>
      <c r="AI37" s="90">
        <f t="shared" si="69"/>
        <v>0</v>
      </c>
      <c r="AJ37" s="90">
        <f t="shared" si="69"/>
        <v>0</v>
      </c>
      <c r="AK37" s="90">
        <f t="shared" si="69"/>
        <v>0</v>
      </c>
      <c r="AL37" s="90">
        <f t="shared" si="69"/>
        <v>0</v>
      </c>
      <c r="AM37" s="90">
        <f t="shared" ca="1" si="69"/>
        <v>0</v>
      </c>
      <c r="AN37" s="90">
        <f t="shared" ca="1" si="69"/>
        <v>0</v>
      </c>
      <c r="AO37" s="90">
        <f t="shared" ca="1" si="69"/>
        <v>0</v>
      </c>
      <c r="AP37" s="90">
        <f t="shared" ca="1" si="69"/>
        <v>0</v>
      </c>
      <c r="AQ37" s="90">
        <f t="shared" ca="1" si="69"/>
        <v>0</v>
      </c>
      <c r="AR37" s="90">
        <f t="shared" ca="1" si="69"/>
        <v>0</v>
      </c>
      <c r="AS37" s="90">
        <f t="shared" ca="1" si="69"/>
        <v>0</v>
      </c>
      <c r="AT37" s="90">
        <f t="shared" ca="1" si="69"/>
        <v>0</v>
      </c>
      <c r="AU37" s="90">
        <f t="shared" ca="1" si="69"/>
        <v>0</v>
      </c>
      <c r="AV37" s="90">
        <f t="shared" ca="1" si="69"/>
        <v>0</v>
      </c>
      <c r="AW37" s="90">
        <f t="shared" ca="1" si="69"/>
        <v>0</v>
      </c>
      <c r="AX37" s="90">
        <f t="shared" ca="1" si="69"/>
        <v>0</v>
      </c>
      <c r="AY37" s="90">
        <f t="shared" ca="1" si="69"/>
        <v>71738870.028601155</v>
      </c>
      <c r="AZ37" s="90">
        <f t="shared" ca="1" si="69"/>
        <v>71738870.028601155</v>
      </c>
      <c r="BA37" s="90">
        <f t="shared" ca="1" si="69"/>
        <v>71738870.028601155</v>
      </c>
      <c r="BB37" s="90">
        <f t="shared" ca="1" si="69"/>
        <v>71738870.028601155</v>
      </c>
      <c r="BC37" s="90">
        <f t="shared" ca="1" si="69"/>
        <v>71738870.028601155</v>
      </c>
      <c r="BD37" s="90">
        <f t="shared" ca="1" si="69"/>
        <v>71738870.028601155</v>
      </c>
      <c r="BE37" s="90">
        <f t="shared" ca="1" si="69"/>
        <v>71738870.028601155</v>
      </c>
      <c r="BF37" s="90">
        <f t="shared" ca="1" si="69"/>
        <v>71738870.028601155</v>
      </c>
      <c r="BG37" s="90">
        <f t="shared" ca="1" si="69"/>
        <v>71738870.028601155</v>
      </c>
      <c r="BH37" s="90">
        <f t="shared" ca="1" si="69"/>
        <v>71738870.028601155</v>
      </c>
      <c r="BI37" s="90">
        <f t="shared" ca="1" si="69"/>
        <v>71738870.028601155</v>
      </c>
      <c r="BJ37" s="90">
        <f t="shared" ref="BJ37:BO37" ca="1" si="70">BJ21</f>
        <v>71738870.028601155</v>
      </c>
      <c r="BK37" s="90">
        <f t="shared" ca="1" si="70"/>
        <v>71738870.028601155</v>
      </c>
      <c r="BL37" s="90">
        <f t="shared" ca="1" si="70"/>
        <v>71738870.028601155</v>
      </c>
      <c r="BM37" s="90">
        <f t="shared" ca="1" si="70"/>
        <v>71738870.028601155</v>
      </c>
      <c r="BN37" s="90">
        <f t="shared" ca="1" si="70"/>
        <v>71738870.028601155</v>
      </c>
      <c r="BO37" s="90">
        <f t="shared" ca="1" si="70"/>
        <v>71738870.028601155</v>
      </c>
    </row>
    <row r="38" spans="1:67">
      <c r="A38" s="11"/>
      <c r="B38" s="11"/>
      <c r="C38" s="11" t="s">
        <v>25</v>
      </c>
      <c r="D38" s="33"/>
      <c r="E38" s="33"/>
      <c r="F38" s="33"/>
      <c r="G38" s="90">
        <f>G30</f>
        <v>-354800</v>
      </c>
      <c r="H38" s="90">
        <f t="shared" ref="H38:BI38" si="71">H30</f>
        <v>-709600</v>
      </c>
      <c r="I38" s="90">
        <f t="shared" si="71"/>
        <v>-1064400</v>
      </c>
      <c r="J38" s="90">
        <f t="shared" si="71"/>
        <v>-1419200</v>
      </c>
      <c r="K38" s="90">
        <f t="shared" si="71"/>
        <v>-1774000</v>
      </c>
      <c r="L38" s="90">
        <f t="shared" si="71"/>
        <v>-2128800</v>
      </c>
      <c r="M38" s="90">
        <f t="shared" si="71"/>
        <v>-2483600</v>
      </c>
      <c r="N38" s="90">
        <f t="shared" si="71"/>
        <v>-2838400</v>
      </c>
      <c r="O38" s="90">
        <f t="shared" si="71"/>
        <v>-3193200</v>
      </c>
      <c r="P38" s="90">
        <f t="shared" si="71"/>
        <v>-3641750</v>
      </c>
      <c r="Q38" s="90">
        <f t="shared" si="71"/>
        <v>-4090300</v>
      </c>
      <c r="R38" s="90">
        <f t="shared" si="71"/>
        <v>-4794683.333333333</v>
      </c>
      <c r="S38" s="90">
        <f t="shared" si="71"/>
        <v>-5395929.333333333</v>
      </c>
      <c r="T38" s="90">
        <f t="shared" si="71"/>
        <v>-6580508.666666666</v>
      </c>
      <c r="U38" s="90">
        <f t="shared" si="71"/>
        <v>-7765087.9999999991</v>
      </c>
      <c r="V38" s="90">
        <f t="shared" si="71"/>
        <v>-9055292.3333333321</v>
      </c>
      <c r="W38" s="90">
        <f t="shared" si="71"/>
        <v>-10345496.666666666</v>
      </c>
      <c r="X38" s="90">
        <f t="shared" si="71"/>
        <v>-11625284.333333332</v>
      </c>
      <c r="Y38" s="90">
        <f t="shared" si="71"/>
        <v>-12905071.999999998</v>
      </c>
      <c r="Z38" s="90">
        <f t="shared" si="71"/>
        <v>-14260484.666666664</v>
      </c>
      <c r="AA38" s="90">
        <f t="shared" si="71"/>
        <v>-15615897.33333333</v>
      </c>
      <c r="AB38" s="90">
        <f t="shared" si="71"/>
        <v>-48799176.381331809</v>
      </c>
      <c r="AC38" s="90">
        <f t="shared" si="71"/>
        <v>-63023284.120387077</v>
      </c>
      <c r="AD38" s="90">
        <f t="shared" si="71"/>
        <v>-74906745.222280487</v>
      </c>
      <c r="AE38" s="90">
        <f t="shared" si="71"/>
        <v>-84377926.318134725</v>
      </c>
      <c r="AF38" s="90">
        <f t="shared" si="71"/>
        <v>-90779007.237279251</v>
      </c>
      <c r="AG38" s="90">
        <f t="shared" si="71"/>
        <v>-94788302.4907704</v>
      </c>
      <c r="AH38" s="90">
        <f t="shared" si="71"/>
        <v>-96308566.110212132</v>
      </c>
      <c r="AI38" s="90">
        <f t="shared" si="71"/>
        <v>-95391385.701864123</v>
      </c>
      <c r="AJ38" s="90">
        <f t="shared" si="71"/>
        <v>-92004243.86399734</v>
      </c>
      <c r="AK38" s="90">
        <f t="shared" si="71"/>
        <v>-86152768.73811923</v>
      </c>
      <c r="AL38" s="90">
        <f t="shared" si="71"/>
        <v>-77800375.290975735</v>
      </c>
      <c r="AM38" s="90">
        <f t="shared" ca="1" si="71"/>
        <v>-66943491.602590896</v>
      </c>
      <c r="AN38" s="90">
        <f t="shared" ca="1" si="71"/>
        <v>-53581608.960352696</v>
      </c>
      <c r="AO38" s="90">
        <f t="shared" ca="1" si="71"/>
        <v>-40127936.722233027</v>
      </c>
      <c r="AP38" s="90">
        <f t="shared" ca="1" si="71"/>
        <v>-26509399.48922541</v>
      </c>
      <c r="AQ38" s="90">
        <f t="shared" ca="1" si="71"/>
        <v>-12205166.524668491</v>
      </c>
      <c r="AR38" s="90">
        <f t="shared" ca="1" si="71"/>
        <v>2201387.7623777241</v>
      </c>
      <c r="AS38" s="90">
        <f t="shared" ca="1" si="71"/>
        <v>16672949.463803792</v>
      </c>
      <c r="AT38" s="90">
        <f t="shared" ca="1" si="71"/>
        <v>31187497.059274107</v>
      </c>
      <c r="AU38" s="90">
        <f t="shared" ca="1" si="71"/>
        <v>45738656.229727104</v>
      </c>
      <c r="AV38" s="90">
        <f t="shared" ca="1" si="71"/>
        <v>60326426.975162782</v>
      </c>
      <c r="AW38" s="90">
        <f t="shared" ca="1" si="71"/>
        <v>74950809.295581147</v>
      </c>
      <c r="AX38" s="90">
        <f t="shared" ca="1" si="71"/>
        <v>89611803.190982193</v>
      </c>
      <c r="AY38" s="90">
        <f t="shared" ca="1" si="71"/>
        <v>0</v>
      </c>
      <c r="AZ38" s="90">
        <f t="shared" ca="1" si="71"/>
        <v>14734217.045366423</v>
      </c>
      <c r="BA38" s="90">
        <f t="shared" ca="1" si="71"/>
        <v>29505045.665715531</v>
      </c>
      <c r="BB38" s="90">
        <f t="shared" ca="1" si="71"/>
        <v>44312485.861047313</v>
      </c>
      <c r="BC38" s="90">
        <f t="shared" ca="1" si="71"/>
        <v>59723923.451173276</v>
      </c>
      <c r="BD38" s="90">
        <f t="shared" ca="1" si="71"/>
        <v>75171925.930767849</v>
      </c>
      <c r="BE38" s="90">
        <f t="shared" ca="1" si="71"/>
        <v>90656493.299831048</v>
      </c>
      <c r="BF38" s="90">
        <f t="shared" ca="1" si="71"/>
        <v>106177625.55836287</v>
      </c>
      <c r="BG38" s="90">
        <f t="shared" ca="1" si="71"/>
        <v>121735322.70636331</v>
      </c>
      <c r="BH38" s="90">
        <f t="shared" ca="1" si="71"/>
        <v>137329584.74383238</v>
      </c>
      <c r="BI38" s="90">
        <f t="shared" ca="1" si="71"/>
        <v>233358554.53280729</v>
      </c>
      <c r="BJ38" s="90">
        <f t="shared" ref="BJ38:BO38" ca="1" si="72">BJ30</f>
        <v>335497933.87721211</v>
      </c>
      <c r="BK38" s="90">
        <f t="shared" ca="1" si="72"/>
        <v>449932087.05402476</v>
      </c>
      <c r="BL38" s="90">
        <f t="shared" ca="1" si="72"/>
        <v>572594323.39353681</v>
      </c>
      <c r="BM38" s="90">
        <f t="shared" ca="1" si="72"/>
        <v>701466780.84974694</v>
      </c>
      <c r="BN38" s="90">
        <f t="shared" ca="1" si="72"/>
        <v>819027749.17818272</v>
      </c>
      <c r="BO38" s="90">
        <f t="shared" ca="1" si="72"/>
        <v>926710938.28033626</v>
      </c>
    </row>
    <row r="39" spans="1:67">
      <c r="A39" s="11"/>
      <c r="B39" s="22" t="s">
        <v>511</v>
      </c>
      <c r="C39" s="11"/>
      <c r="D39" s="33"/>
      <c r="E39" s="33"/>
      <c r="F39" s="33"/>
      <c r="G39" s="89">
        <f>G36+G37+G38</f>
        <v>23567420.516129032</v>
      </c>
      <c r="H39" s="89">
        <f t="shared" ref="H39:BI39" si="73">H36+H37+H38</f>
        <v>46939177.428571433</v>
      </c>
      <c r="I39" s="89">
        <f t="shared" si="73"/>
        <v>70381420.516129032</v>
      </c>
      <c r="J39" s="89">
        <f t="shared" si="73"/>
        <v>339907456</v>
      </c>
      <c r="K39" s="89">
        <f t="shared" si="73"/>
        <v>394631891.10436434</v>
      </c>
      <c r="L39" s="89">
        <f t="shared" si="73"/>
        <v>449334397.17647058</v>
      </c>
      <c r="M39" s="89">
        <f t="shared" si="73"/>
        <v>504068832.28083491</v>
      </c>
      <c r="N39" s="89">
        <f t="shared" si="73"/>
        <v>558792302.86907017</v>
      </c>
      <c r="O39" s="89">
        <f t="shared" si="73"/>
        <v>613504808.94117641</v>
      </c>
      <c r="P39" s="89">
        <f t="shared" si="73"/>
        <v>678912372.40575576</v>
      </c>
      <c r="Q39" s="89">
        <f t="shared" si="73"/>
        <v>702902893.5</v>
      </c>
      <c r="R39" s="89">
        <f t="shared" si="73"/>
        <v>702661626.56451607</v>
      </c>
      <c r="S39" s="89">
        <f t="shared" si="73"/>
        <v>702764819.39419353</v>
      </c>
      <c r="T39" s="89">
        <f t="shared" si="73"/>
        <v>702104757.79241383</v>
      </c>
      <c r="U39" s="89">
        <f t="shared" si="73"/>
        <v>702182803.26516128</v>
      </c>
      <c r="V39" s="89">
        <f t="shared" si="73"/>
        <v>702036287.53666663</v>
      </c>
      <c r="W39" s="89">
        <f t="shared" si="73"/>
        <v>702077416.7732259</v>
      </c>
      <c r="X39" s="89">
        <f t="shared" si="73"/>
        <v>702047016.70333338</v>
      </c>
      <c r="Y39" s="89">
        <f t="shared" si="73"/>
        <v>702087809.91838717</v>
      </c>
      <c r="Z39" s="89">
        <f t="shared" si="73"/>
        <v>702012355.68451631</v>
      </c>
      <c r="AA39" s="89">
        <f t="shared" si="73"/>
        <v>701772802.9526782</v>
      </c>
      <c r="AB39" s="89">
        <f t="shared" si="73"/>
        <v>668589523.90467978</v>
      </c>
      <c r="AC39" s="89">
        <f t="shared" si="73"/>
        <v>654365416.1656245</v>
      </c>
      <c r="AD39" s="89">
        <f t="shared" si="73"/>
        <v>642481955.06373107</v>
      </c>
      <c r="AE39" s="89">
        <f t="shared" si="73"/>
        <v>633010773.96787691</v>
      </c>
      <c r="AF39" s="89">
        <f t="shared" si="73"/>
        <v>626609693.04873228</v>
      </c>
      <c r="AG39" s="89">
        <f t="shared" si="73"/>
        <v>622600397.79524112</v>
      </c>
      <c r="AH39" s="89">
        <f t="shared" si="73"/>
        <v>621080134.17579949</v>
      </c>
      <c r="AI39" s="89">
        <f t="shared" si="73"/>
        <v>621997314.58414745</v>
      </c>
      <c r="AJ39" s="89">
        <f t="shared" si="73"/>
        <v>625384456.42201424</v>
      </c>
      <c r="AK39" s="89">
        <f t="shared" si="73"/>
        <v>631235931.54789233</v>
      </c>
      <c r="AL39" s="89">
        <f t="shared" si="73"/>
        <v>639588324.99503589</v>
      </c>
      <c r="AM39" s="89">
        <f t="shared" ca="1" si="73"/>
        <v>650445208.68342066</v>
      </c>
      <c r="AN39" s="89">
        <f t="shared" ca="1" si="73"/>
        <v>663807091.32565892</v>
      </c>
      <c r="AO39" s="89">
        <f t="shared" ca="1" si="73"/>
        <v>677260763.56377852</v>
      </c>
      <c r="AP39" s="89">
        <f t="shared" ca="1" si="73"/>
        <v>690879300.79678619</v>
      </c>
      <c r="AQ39" s="89">
        <f t="shared" ca="1" si="73"/>
        <v>705183533.76134312</v>
      </c>
      <c r="AR39" s="89">
        <f t="shared" ca="1" si="73"/>
        <v>719590088.04838932</v>
      </c>
      <c r="AS39" s="89">
        <f t="shared" ca="1" si="73"/>
        <v>734061649.74981534</v>
      </c>
      <c r="AT39" s="89">
        <f t="shared" ca="1" si="73"/>
        <v>748576197.34528565</v>
      </c>
      <c r="AU39" s="89">
        <f t="shared" ca="1" si="73"/>
        <v>763127356.51573873</v>
      </c>
      <c r="AV39" s="89">
        <f t="shared" ca="1" si="73"/>
        <v>777715127.26117432</v>
      </c>
      <c r="AW39" s="89">
        <f t="shared" ca="1" si="73"/>
        <v>792339509.58159268</v>
      </c>
      <c r="AX39" s="89">
        <f t="shared" ca="1" si="73"/>
        <v>807000503.4769938</v>
      </c>
      <c r="AY39" s="89">
        <f t="shared" ca="1" si="73"/>
        <v>789127570.31461275</v>
      </c>
      <c r="AZ39" s="89">
        <f t="shared" ca="1" si="73"/>
        <v>803861787.35997915</v>
      </c>
      <c r="BA39" s="89">
        <f t="shared" ca="1" si="73"/>
        <v>818632615.98032832</v>
      </c>
      <c r="BB39" s="89">
        <f t="shared" ca="1" si="73"/>
        <v>833440056.17566001</v>
      </c>
      <c r="BC39" s="89">
        <f t="shared" ca="1" si="73"/>
        <v>848851493.76578605</v>
      </c>
      <c r="BD39" s="89">
        <f t="shared" ca="1" si="73"/>
        <v>864299496.24538064</v>
      </c>
      <c r="BE39" s="89">
        <f t="shared" ca="1" si="73"/>
        <v>879784063.61444378</v>
      </c>
      <c r="BF39" s="89">
        <f t="shared" ca="1" si="73"/>
        <v>895305195.87297559</v>
      </c>
      <c r="BG39" s="89">
        <f t="shared" ca="1" si="73"/>
        <v>910862893.02097607</v>
      </c>
      <c r="BH39" s="89">
        <f t="shared" ca="1" si="73"/>
        <v>926457155.0584451</v>
      </c>
      <c r="BI39" s="89">
        <f t="shared" ca="1" si="73"/>
        <v>1022486124.84742</v>
      </c>
      <c r="BJ39" s="89">
        <f t="shared" ref="BJ39" ca="1" si="74">BJ36+BJ37+BJ38</f>
        <v>1124625504.1918249</v>
      </c>
      <c r="BK39" s="89">
        <f t="shared" ref="BK39" ca="1" si="75">BK36+BK37+BK38</f>
        <v>1239059657.3686376</v>
      </c>
      <c r="BL39" s="89">
        <f t="shared" ref="BL39" ca="1" si="76">BL36+BL37+BL38</f>
        <v>1361721893.7081494</v>
      </c>
      <c r="BM39" s="89">
        <f t="shared" ref="BM39" ca="1" si="77">BM36+BM37+BM38</f>
        <v>1490594351.1643596</v>
      </c>
      <c r="BN39" s="89">
        <f t="shared" ref="BN39" ca="1" si="78">BN36+BN37+BN38</f>
        <v>1608155319.4927955</v>
      </c>
      <c r="BO39" s="89">
        <f t="shared" ref="BO39" ca="1" si="79">BO36+BO37+BO38</f>
        <v>1715838508.594949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5A18F9-2323-0E41-9360-70C47F5277AA}">
  <sheetPr>
    <tabColor rgb="FFFFD1DC"/>
  </sheetPr>
  <dimension ref="A1:BO70"/>
  <sheetViews>
    <sheetView workbookViewId="0">
      <selection activeCell="D69" sqref="D69"/>
    </sheetView>
  </sheetViews>
  <sheetFormatPr baseColWidth="10" defaultRowHeight="15"/>
  <cols>
    <col min="1" max="1" width="3.83203125" style="9" customWidth="1"/>
    <col min="2" max="2" width="58.33203125" style="9" customWidth="1"/>
    <col min="3" max="3" width="16.83203125" style="9" customWidth="1"/>
    <col min="4" max="4" width="16.83203125" style="42" customWidth="1"/>
    <col min="5" max="6" width="17.5" style="42" customWidth="1"/>
    <col min="7" max="67" width="14" style="42" customWidth="1"/>
  </cols>
  <sheetData>
    <row r="1" spans="1:67" ht="18">
      <c r="A1" s="21" t="s">
        <v>1678</v>
      </c>
      <c r="B1" s="11"/>
      <c r="C1" s="11"/>
      <c r="D1" s="33"/>
      <c r="E1" s="43"/>
      <c r="F1" s="43"/>
      <c r="G1" s="33"/>
      <c r="H1" s="33"/>
      <c r="I1" s="33"/>
      <c r="J1" s="33"/>
      <c r="K1" s="33"/>
      <c r="L1" s="33"/>
      <c r="M1" s="33"/>
      <c r="N1" s="33"/>
      <c r="O1" s="33"/>
      <c r="P1" s="33"/>
      <c r="Q1" s="33"/>
      <c r="R1" s="33"/>
      <c r="S1" s="33"/>
      <c r="T1" s="33"/>
      <c r="U1" s="33"/>
      <c r="V1" s="33"/>
      <c r="W1" s="33"/>
      <c r="X1" s="33"/>
      <c r="Y1" s="33"/>
      <c r="Z1" s="33"/>
      <c r="AA1" s="33"/>
      <c r="AB1" s="33"/>
      <c r="AC1" s="33"/>
      <c r="AD1" s="33"/>
      <c r="AE1" s="33"/>
      <c r="AF1" s="33"/>
      <c r="AG1" s="33"/>
      <c r="AH1" s="33"/>
      <c r="AI1" s="33"/>
      <c r="AJ1" s="33"/>
      <c r="AK1" s="33"/>
      <c r="AL1" s="33"/>
      <c r="AM1" s="33"/>
      <c r="AN1" s="33"/>
      <c r="AO1" s="33"/>
      <c r="AP1" s="33"/>
      <c r="AQ1" s="33"/>
      <c r="AR1" s="33"/>
      <c r="AS1" s="33"/>
      <c r="AT1" s="33"/>
      <c r="AU1" s="33"/>
      <c r="AV1" s="33"/>
      <c r="AW1" s="33"/>
      <c r="AX1" s="33"/>
      <c r="AY1" s="33"/>
      <c r="AZ1" s="33"/>
      <c r="BA1" s="33"/>
      <c r="BB1" s="33"/>
      <c r="BC1" s="33"/>
      <c r="BD1" s="33"/>
      <c r="BE1" s="33"/>
      <c r="BF1" s="33"/>
      <c r="BG1" s="33"/>
      <c r="BH1" s="33"/>
      <c r="BI1" s="33"/>
      <c r="BJ1" s="33"/>
      <c r="BK1" s="33"/>
      <c r="BL1" s="33"/>
      <c r="BM1" s="33"/>
      <c r="BN1" s="33"/>
      <c r="BO1" s="33"/>
    </row>
    <row r="2" spans="1:67" ht="16">
      <c r="A2" s="12" t="s">
        <v>1647</v>
      </c>
      <c r="B2" s="11"/>
      <c r="C2" s="11"/>
      <c r="D2" s="33"/>
      <c r="E2" s="43"/>
      <c r="F2" s="4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row>
    <row r="3" spans="1:67">
      <c r="A3" s="13" t="s">
        <v>609</v>
      </c>
      <c r="B3" s="11"/>
      <c r="C3" s="11"/>
      <c r="D3" s="33"/>
      <c r="E3" s="43"/>
      <c r="F3" s="4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row>
    <row r="4" spans="1:67">
      <c r="A4" s="11"/>
      <c r="B4" s="11"/>
      <c r="C4" s="11"/>
      <c r="D4" s="33"/>
      <c r="E4" s="43"/>
      <c r="F4" s="4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row>
    <row r="5" spans="1:67">
      <c r="A5" s="11"/>
      <c r="B5" s="22" t="s">
        <v>213</v>
      </c>
      <c r="C5" s="11"/>
      <c r="D5" s="33"/>
      <c r="E5" s="43"/>
      <c r="F5" s="43"/>
      <c r="G5" s="23" t="str">
        <f>'01 Major Assumptions'!G$12</f>
        <v>Jan-27</v>
      </c>
      <c r="H5" s="23" t="str">
        <f>'01 Major Assumptions'!H$12</f>
        <v>Feb-27</v>
      </c>
      <c r="I5" s="23" t="str">
        <f>'01 Major Assumptions'!I$12</f>
        <v>Mar-27</v>
      </c>
      <c r="J5" s="23" t="str">
        <f>'01 Major Assumptions'!J$12</f>
        <v>Apr-27</v>
      </c>
      <c r="K5" s="23" t="str">
        <f>'01 Major Assumptions'!K$12</f>
        <v>May-27</v>
      </c>
      <c r="L5" s="23" t="str">
        <f>'01 Major Assumptions'!L$12</f>
        <v>Jun-27</v>
      </c>
      <c r="M5" s="23" t="str">
        <f>'01 Major Assumptions'!M$12</f>
        <v>Jul-27</v>
      </c>
      <c r="N5" s="23" t="str">
        <f>'01 Major Assumptions'!N$12</f>
        <v>Aug-27</v>
      </c>
      <c r="O5" s="23" t="str">
        <f>'01 Major Assumptions'!O$12</f>
        <v>Sep-27</v>
      </c>
      <c r="P5" s="23" t="str">
        <f>'01 Major Assumptions'!P$12</f>
        <v>Oct-27</v>
      </c>
      <c r="Q5" s="23" t="str">
        <f>'01 Major Assumptions'!Q$12</f>
        <v>Nov-27</v>
      </c>
      <c r="R5" s="23" t="str">
        <f>'01 Major Assumptions'!R$12</f>
        <v>Dec-27</v>
      </c>
      <c r="S5" s="23" t="str">
        <f>'01 Major Assumptions'!S$12</f>
        <v>Jan-28</v>
      </c>
      <c r="T5" s="23" t="str">
        <f>'01 Major Assumptions'!T$12</f>
        <v>Feb-28</v>
      </c>
      <c r="U5" s="23" t="str">
        <f>'01 Major Assumptions'!U$12</f>
        <v>Mar-28</v>
      </c>
      <c r="V5" s="23" t="str">
        <f>'01 Major Assumptions'!V$12</f>
        <v>Apr-28</v>
      </c>
      <c r="W5" s="23" t="str">
        <f>'01 Major Assumptions'!W$12</f>
        <v>May-28</v>
      </c>
      <c r="X5" s="23" t="str">
        <f>'01 Major Assumptions'!X$12</f>
        <v>Jun-28</v>
      </c>
      <c r="Y5" s="23" t="str">
        <f>'01 Major Assumptions'!Y$12</f>
        <v>Jul-28</v>
      </c>
      <c r="Z5" s="23" t="str">
        <f>'01 Major Assumptions'!Z$12</f>
        <v>Aug-28</v>
      </c>
      <c r="AA5" s="23" t="str">
        <f>'01 Major Assumptions'!AA$12</f>
        <v>Sep-28</v>
      </c>
      <c r="AB5" s="23" t="str">
        <f>'01 Major Assumptions'!AB$12</f>
        <v>Oct-28</v>
      </c>
      <c r="AC5" s="23" t="str">
        <f>'01 Major Assumptions'!AC$12</f>
        <v>Nov-28</v>
      </c>
      <c r="AD5" s="23" t="str">
        <f>'01 Major Assumptions'!AD$12</f>
        <v>Dec-28</v>
      </c>
      <c r="AE5" s="23" t="str">
        <f>'01 Major Assumptions'!AE$12</f>
        <v>Jan-29</v>
      </c>
      <c r="AF5" s="23" t="str">
        <f>'01 Major Assumptions'!AF$12</f>
        <v>Feb-29</v>
      </c>
      <c r="AG5" s="23" t="str">
        <f>'01 Major Assumptions'!AG$12</f>
        <v>Mar-29</v>
      </c>
      <c r="AH5" s="23" t="str">
        <f>'01 Major Assumptions'!AH$12</f>
        <v>Apr-29</v>
      </c>
      <c r="AI5" s="23" t="str">
        <f>'01 Major Assumptions'!AI$12</f>
        <v>May-29</v>
      </c>
      <c r="AJ5" s="23" t="str">
        <f>'01 Major Assumptions'!AJ$12</f>
        <v>Jun-29</v>
      </c>
      <c r="AK5" s="23" t="str">
        <f>'01 Major Assumptions'!AK$12</f>
        <v>Jul-29</v>
      </c>
      <c r="AL5" s="23" t="str">
        <f>'01 Major Assumptions'!AL$12</f>
        <v>Aug-29</v>
      </c>
      <c r="AM5" s="23" t="str">
        <f>'01 Major Assumptions'!AM$12</f>
        <v>Sep-29</v>
      </c>
      <c r="AN5" s="23" t="str">
        <f>'01 Major Assumptions'!AN$12</f>
        <v>Oct-29</v>
      </c>
      <c r="AO5" s="23" t="str">
        <f>'01 Major Assumptions'!AO$12</f>
        <v>Nov-29</v>
      </c>
      <c r="AP5" s="23" t="str">
        <f>'01 Major Assumptions'!AP$12</f>
        <v>Dec-29</v>
      </c>
      <c r="AQ5" s="23" t="str">
        <f>'01 Major Assumptions'!AQ$12</f>
        <v>Jan-30</v>
      </c>
      <c r="AR5" s="23" t="str">
        <f>'01 Major Assumptions'!AR$12</f>
        <v>Feb-30</v>
      </c>
      <c r="AS5" s="23" t="str">
        <f>'01 Major Assumptions'!AS$12</f>
        <v>Mar-30</v>
      </c>
      <c r="AT5" s="23" t="str">
        <f>'01 Major Assumptions'!AT$12</f>
        <v>Apr-30</v>
      </c>
      <c r="AU5" s="23" t="str">
        <f>'01 Major Assumptions'!AU$12</f>
        <v>May-30</v>
      </c>
      <c r="AV5" s="23" t="str">
        <f>'01 Major Assumptions'!AV$12</f>
        <v>Jun-30</v>
      </c>
      <c r="AW5" s="23" t="str">
        <f>'01 Major Assumptions'!AW$12</f>
        <v>Jul-30</v>
      </c>
      <c r="AX5" s="23" t="str">
        <f>'01 Major Assumptions'!AX$12</f>
        <v>Aug-30</v>
      </c>
      <c r="AY5" s="23" t="str">
        <f>'01 Major Assumptions'!AY$12</f>
        <v>Sep-30</v>
      </c>
      <c r="AZ5" s="23" t="str">
        <f>'01 Major Assumptions'!AZ$12</f>
        <v>Oct-30</v>
      </c>
      <c r="BA5" s="23" t="str">
        <f>'01 Major Assumptions'!BA$12</f>
        <v>Nov-30</v>
      </c>
      <c r="BB5" s="23" t="str">
        <f>'01 Major Assumptions'!BB$12</f>
        <v>Dec-30</v>
      </c>
      <c r="BC5" s="23" t="str">
        <f>'01 Major Assumptions'!BC$12</f>
        <v>Jan-31</v>
      </c>
      <c r="BD5" s="23" t="str">
        <f>'01 Major Assumptions'!BD$12</f>
        <v>Feb-31</v>
      </c>
      <c r="BE5" s="23" t="str">
        <f>'01 Major Assumptions'!BE$12</f>
        <v>Mar-31</v>
      </c>
      <c r="BF5" s="23" t="str">
        <f>'01 Major Assumptions'!BF$12</f>
        <v>Apr-31</v>
      </c>
      <c r="BG5" s="23" t="str">
        <f>'01 Major Assumptions'!BG$12</f>
        <v>May-31</v>
      </c>
      <c r="BH5" s="23" t="str">
        <f>'01 Major Assumptions'!BH$12</f>
        <v>Jun-31</v>
      </c>
      <c r="BI5" s="23" t="str">
        <f>'01 Major Assumptions'!BI$12</f>
        <v>FY2032</v>
      </c>
      <c r="BJ5" s="23" t="str">
        <f>'01 Major Assumptions'!BJ$12</f>
        <v>FY2033</v>
      </c>
      <c r="BK5" s="23" t="str">
        <f>'01 Major Assumptions'!BK$12</f>
        <v>FY2034</v>
      </c>
      <c r="BL5" s="23" t="str">
        <f>'01 Major Assumptions'!BL$12</f>
        <v>FY2035</v>
      </c>
      <c r="BM5" s="23" t="str">
        <f>'01 Major Assumptions'!BM$12</f>
        <v>FY2036</v>
      </c>
      <c r="BN5" s="23" t="str">
        <f>'01 Major Assumptions'!BN$12</f>
        <v>FY2037</v>
      </c>
      <c r="BO5" s="23" t="str">
        <f>'01 Major Assumptions'!BO$12</f>
        <v>FY2038</v>
      </c>
    </row>
    <row r="6" spans="1:67">
      <c r="A6" s="11"/>
      <c r="B6" s="11"/>
      <c r="C6" s="11"/>
      <c r="D6" s="33"/>
      <c r="E6" s="43"/>
      <c r="F6" s="4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row>
    <row r="7" spans="1:67">
      <c r="A7" s="18" t="s">
        <v>610</v>
      </c>
      <c r="B7" s="18"/>
      <c r="C7" s="18"/>
      <c r="D7" s="39"/>
      <c r="E7" s="39"/>
      <c r="F7" s="39"/>
      <c r="G7" s="39"/>
      <c r="H7" s="39"/>
      <c r="I7" s="39"/>
      <c r="J7" s="39"/>
      <c r="K7" s="39"/>
      <c r="L7" s="39"/>
      <c r="M7" s="39"/>
      <c r="N7" s="39"/>
      <c r="O7" s="39"/>
      <c r="P7" s="39"/>
      <c r="Q7" s="39"/>
      <c r="R7" s="39"/>
      <c r="S7" s="39"/>
      <c r="T7" s="39"/>
      <c r="U7" s="39"/>
      <c r="V7" s="39"/>
      <c r="W7" s="39"/>
      <c r="X7" s="39"/>
      <c r="Y7" s="39"/>
      <c r="Z7" s="39"/>
      <c r="AA7" s="39"/>
      <c r="AB7" s="39"/>
      <c r="AC7" s="39"/>
      <c r="AD7" s="39"/>
      <c r="AE7" s="39"/>
      <c r="AF7" s="39"/>
      <c r="AG7" s="39"/>
      <c r="AH7" s="39"/>
      <c r="AI7" s="39"/>
      <c r="AJ7" s="39"/>
      <c r="AK7" s="39"/>
      <c r="AL7" s="39"/>
      <c r="AM7" s="39"/>
      <c r="AN7" s="39"/>
      <c r="AO7" s="39"/>
      <c r="AP7" s="39"/>
      <c r="AQ7" s="39"/>
      <c r="AR7" s="39"/>
      <c r="AS7" s="39"/>
      <c r="AT7" s="39"/>
      <c r="AU7" s="39"/>
      <c r="AV7" s="39"/>
      <c r="AW7" s="39"/>
      <c r="AX7" s="39"/>
      <c r="AY7" s="39"/>
      <c r="AZ7" s="39"/>
      <c r="BA7" s="39"/>
      <c r="BB7" s="39"/>
      <c r="BC7" s="39"/>
      <c r="BD7" s="39"/>
      <c r="BE7" s="39"/>
      <c r="BF7" s="39"/>
      <c r="BG7" s="39"/>
      <c r="BH7" s="39"/>
      <c r="BI7" s="39"/>
      <c r="BJ7" s="39"/>
      <c r="BK7" s="39"/>
      <c r="BL7" s="39"/>
      <c r="BM7" s="39"/>
      <c r="BN7" s="39"/>
      <c r="BO7" s="39"/>
    </row>
    <row r="8" spans="1:67">
      <c r="A8" s="11"/>
      <c r="B8" s="11"/>
      <c r="C8" s="22" t="s">
        <v>611</v>
      </c>
      <c r="D8" s="22" t="s">
        <v>612</v>
      </c>
      <c r="E8" s="37" t="s">
        <v>5</v>
      </c>
      <c r="F8" s="37"/>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row>
    <row r="9" spans="1:67">
      <c r="A9" s="11"/>
      <c r="B9" s="11" t="s">
        <v>613</v>
      </c>
      <c r="C9" s="92">
        <v>350000</v>
      </c>
      <c r="D9" s="92">
        <v>120000</v>
      </c>
      <c r="E9" s="10" t="s">
        <v>13</v>
      </c>
      <c r="F9" s="10"/>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row>
    <row r="10" spans="1:67">
      <c r="A10" s="11"/>
      <c r="B10" s="11" t="s">
        <v>614</v>
      </c>
      <c r="C10" s="92">
        <v>400000</v>
      </c>
      <c r="D10" s="92">
        <v>130000</v>
      </c>
      <c r="E10" s="10" t="s">
        <v>13</v>
      </c>
      <c r="F10" s="10"/>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row>
    <row r="11" spans="1:67">
      <c r="A11" s="11"/>
      <c r="B11" s="11" t="s">
        <v>615</v>
      </c>
      <c r="C11" s="92">
        <v>380000</v>
      </c>
      <c r="D11" s="92">
        <v>120000</v>
      </c>
      <c r="E11" s="10" t="s">
        <v>13</v>
      </c>
      <c r="F11" s="10"/>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row>
    <row r="12" spans="1:67">
      <c r="A12" s="11"/>
      <c r="B12" s="11" t="s">
        <v>616</v>
      </c>
      <c r="C12" s="92">
        <v>350000</v>
      </c>
      <c r="D12" s="92">
        <v>110000</v>
      </c>
      <c r="E12" s="10" t="s">
        <v>13</v>
      </c>
      <c r="F12" s="10"/>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row>
    <row r="13" spans="1:67">
      <c r="A13" s="11"/>
      <c r="B13" s="11" t="s">
        <v>617</v>
      </c>
      <c r="C13" s="92">
        <v>422500</v>
      </c>
      <c r="D13" s="92">
        <v>300000</v>
      </c>
      <c r="E13" s="10" t="s">
        <v>13</v>
      </c>
      <c r="F13" s="10"/>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row>
    <row r="14" spans="1:67">
      <c r="A14" s="11"/>
      <c r="B14" s="11" t="s">
        <v>618</v>
      </c>
      <c r="C14" s="92">
        <v>250000</v>
      </c>
      <c r="D14" s="92">
        <v>400000</v>
      </c>
      <c r="E14" s="10" t="s">
        <v>13</v>
      </c>
      <c r="F14" s="10"/>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row>
    <row r="15" spans="1:67">
      <c r="A15" s="11"/>
      <c r="B15" s="11" t="s">
        <v>619</v>
      </c>
      <c r="C15" s="92">
        <v>3500000</v>
      </c>
      <c r="D15" s="92">
        <v>250000</v>
      </c>
      <c r="E15" s="10" t="s">
        <v>13</v>
      </c>
      <c r="F15" s="10"/>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row>
    <row r="16" spans="1:67">
      <c r="A16" s="11"/>
      <c r="B16" s="11" t="s">
        <v>620</v>
      </c>
      <c r="C16" s="92">
        <v>3500000</v>
      </c>
      <c r="D16" s="92">
        <v>250000</v>
      </c>
      <c r="E16" s="10" t="s">
        <v>13</v>
      </c>
      <c r="F16" s="10"/>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row>
    <row r="17" spans="1:67">
      <c r="A17" s="11"/>
      <c r="B17" s="11" t="s">
        <v>621</v>
      </c>
      <c r="C17" s="92">
        <v>900000</v>
      </c>
      <c r="D17" s="92">
        <v>200000</v>
      </c>
      <c r="E17" s="10" t="s">
        <v>13</v>
      </c>
      <c r="F17" s="10"/>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row>
    <row r="18" spans="1:67">
      <c r="A18" s="11"/>
      <c r="B18" s="11" t="s">
        <v>622</v>
      </c>
      <c r="C18" s="92">
        <v>2500000</v>
      </c>
      <c r="D18" s="92">
        <v>400000</v>
      </c>
      <c r="E18" s="10" t="s">
        <v>13</v>
      </c>
      <c r="F18" s="10"/>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row>
    <row r="19" spans="1:67">
      <c r="A19" s="11"/>
      <c r="B19" s="11" t="s">
        <v>623</v>
      </c>
      <c r="C19" s="92">
        <v>1500000</v>
      </c>
      <c r="D19" s="92">
        <v>200000</v>
      </c>
      <c r="E19" s="10" t="s">
        <v>13</v>
      </c>
      <c r="F19" s="10"/>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row>
    <row r="20" spans="1:67">
      <c r="A20" s="11"/>
      <c r="B20" s="11" t="s">
        <v>624</v>
      </c>
      <c r="C20" s="92">
        <v>1200000</v>
      </c>
      <c r="D20" s="92">
        <v>350000</v>
      </c>
      <c r="E20" s="10" t="s">
        <v>13</v>
      </c>
      <c r="F20" s="10"/>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row>
    <row r="21" spans="1:67">
      <c r="A21" s="11"/>
      <c r="B21" s="22" t="s">
        <v>625</v>
      </c>
      <c r="C21" s="89">
        <f>SUM(C9:C20)</f>
        <v>15252500</v>
      </c>
      <c r="D21" s="89">
        <f>SUM(D9:D20)</f>
        <v>2830000</v>
      </c>
      <c r="E21" s="43"/>
      <c r="F21" s="4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row>
    <row r="22" spans="1:67">
      <c r="A22" s="11"/>
      <c r="B22" s="11"/>
      <c r="C22" s="11"/>
      <c r="D22" s="33"/>
      <c r="E22" s="43"/>
      <c r="F22" s="4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row>
    <row r="23" spans="1:67">
      <c r="A23" s="18" t="s">
        <v>626</v>
      </c>
      <c r="B23" s="18"/>
      <c r="C23" s="18"/>
      <c r="D23" s="39"/>
      <c r="E23" s="39"/>
      <c r="F23" s="39"/>
      <c r="G23" s="39"/>
      <c r="H23" s="39"/>
      <c r="I23" s="39"/>
      <c r="J23" s="39"/>
      <c r="K23" s="39"/>
      <c r="L23" s="39"/>
      <c r="M23" s="39"/>
      <c r="N23" s="39"/>
      <c r="O23" s="39"/>
      <c r="P23" s="39"/>
      <c r="Q23" s="39"/>
      <c r="R23" s="39"/>
      <c r="S23" s="39"/>
      <c r="T23" s="39"/>
      <c r="U23" s="39"/>
      <c r="V23" s="39"/>
      <c r="W23" s="39"/>
      <c r="X23" s="39"/>
      <c r="Y23" s="39"/>
      <c r="Z23" s="39"/>
      <c r="AA23" s="39"/>
      <c r="AB23" s="39"/>
      <c r="AC23" s="39"/>
      <c r="AD23" s="39"/>
      <c r="AE23" s="39"/>
      <c r="AF23" s="39"/>
      <c r="AG23" s="39"/>
      <c r="AH23" s="39"/>
      <c r="AI23" s="39"/>
      <c r="AJ23" s="39"/>
      <c r="AK23" s="39"/>
      <c r="AL23" s="39"/>
      <c r="AM23" s="39"/>
      <c r="AN23" s="39"/>
      <c r="AO23" s="39"/>
      <c r="AP23" s="39"/>
      <c r="AQ23" s="39"/>
      <c r="AR23" s="39"/>
      <c r="AS23" s="39"/>
      <c r="AT23" s="39"/>
      <c r="AU23" s="39"/>
      <c r="AV23" s="39"/>
      <c r="AW23" s="39"/>
      <c r="AX23" s="39"/>
      <c r="AY23" s="39"/>
      <c r="AZ23" s="39"/>
      <c r="BA23" s="39"/>
      <c r="BB23" s="39"/>
      <c r="BC23" s="39"/>
      <c r="BD23" s="39"/>
      <c r="BE23" s="39"/>
      <c r="BF23" s="39"/>
      <c r="BG23" s="39"/>
      <c r="BH23" s="39"/>
      <c r="BI23" s="39"/>
      <c r="BJ23" s="39"/>
      <c r="BK23" s="39"/>
      <c r="BL23" s="39"/>
      <c r="BM23" s="39"/>
      <c r="BN23" s="39"/>
      <c r="BO23" s="39"/>
    </row>
    <row r="24" spans="1:67">
      <c r="A24" s="11"/>
      <c r="B24" s="11"/>
      <c r="C24" s="22" t="s">
        <v>627</v>
      </c>
      <c r="D24" s="22" t="s">
        <v>628</v>
      </c>
      <c r="E24" s="37" t="s">
        <v>629</v>
      </c>
      <c r="F24" s="37"/>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row>
    <row r="25" spans="1:67">
      <c r="A25" s="11"/>
      <c r="B25" s="11" t="s">
        <v>613</v>
      </c>
      <c r="C25" s="92">
        <v>10</v>
      </c>
      <c r="D25" s="92">
        <v>8</v>
      </c>
      <c r="E25" s="101">
        <f t="shared" ref="E25:E36" si="0">C25+D25</f>
        <v>18</v>
      </c>
      <c r="F25" s="101"/>
      <c r="G25" s="90">
        <f>IF(DATEDIF('01 Major Assumptions'!$D$6,'01 Major Assumptions'!G$11,"m")+1&gt;=$E25,1,0)</f>
        <v>0</v>
      </c>
      <c r="H25" s="90">
        <f>IF(DATEDIF('01 Major Assumptions'!$D$6,'01 Major Assumptions'!H$11,"m")+1&gt;=$E25,1,0)</f>
        <v>0</v>
      </c>
      <c r="I25" s="90">
        <f>IF(DATEDIF('01 Major Assumptions'!$D$6,'01 Major Assumptions'!I$11,"m")+1&gt;=$E25,1,0)</f>
        <v>0</v>
      </c>
      <c r="J25" s="90">
        <f>IF(DATEDIF('01 Major Assumptions'!$D$6,'01 Major Assumptions'!J$11,"m")+1&gt;=$E25,1,0)</f>
        <v>0</v>
      </c>
      <c r="K25" s="90">
        <f>IF(DATEDIF('01 Major Assumptions'!$D$6,'01 Major Assumptions'!K$11,"m")+1&gt;=$E25,1,0)</f>
        <v>0</v>
      </c>
      <c r="L25" s="90">
        <f>IF(DATEDIF('01 Major Assumptions'!$D$6,'01 Major Assumptions'!L$11,"m")+1&gt;=$E25,1,0)</f>
        <v>0</v>
      </c>
      <c r="M25" s="90">
        <f>IF(DATEDIF('01 Major Assumptions'!$D$6,'01 Major Assumptions'!M$11,"m")+1&gt;=$E25,1,0)</f>
        <v>0</v>
      </c>
      <c r="N25" s="90">
        <f>IF(DATEDIF('01 Major Assumptions'!$D$6,'01 Major Assumptions'!N$11,"m")+1&gt;=$E25,1,0)</f>
        <v>0</v>
      </c>
      <c r="O25" s="90">
        <f>IF(DATEDIF('01 Major Assumptions'!$D$6,'01 Major Assumptions'!O$11,"m")+1&gt;=$E25,1,0)</f>
        <v>0</v>
      </c>
      <c r="P25" s="90">
        <f>IF(DATEDIF('01 Major Assumptions'!$D$6,'01 Major Assumptions'!P$11,"m")+1&gt;=$E25,1,0)</f>
        <v>0</v>
      </c>
      <c r="Q25" s="90">
        <f>IF(DATEDIF('01 Major Assumptions'!$D$6,'01 Major Assumptions'!Q$11,"m")+1&gt;=$E25,1,0)</f>
        <v>0</v>
      </c>
      <c r="R25" s="90">
        <f>IF(DATEDIF('01 Major Assumptions'!$D$6,'01 Major Assumptions'!R$11,"m")+1&gt;=$E25,1,0)</f>
        <v>0</v>
      </c>
      <c r="S25" s="90">
        <f>IF(DATEDIF('01 Major Assumptions'!$D$6,'01 Major Assumptions'!S$11,"m")+1&gt;=$E25,1,0)</f>
        <v>0</v>
      </c>
      <c r="T25" s="90">
        <f>IF(DATEDIF('01 Major Assumptions'!$D$6,'01 Major Assumptions'!T$11,"m")+1&gt;=$E25,1,0)</f>
        <v>0</v>
      </c>
      <c r="U25" s="90">
        <f>IF(DATEDIF('01 Major Assumptions'!$D$6,'01 Major Assumptions'!U$11,"m")+1&gt;=$E25,1,0)</f>
        <v>0</v>
      </c>
      <c r="V25" s="90">
        <f>IF(DATEDIF('01 Major Assumptions'!$D$6,'01 Major Assumptions'!V$11,"m")+1&gt;=$E25,1,0)</f>
        <v>0</v>
      </c>
      <c r="W25" s="90">
        <f>IF(DATEDIF('01 Major Assumptions'!$D$6,'01 Major Assumptions'!W$11,"m")+1&gt;=$E25,1,0)</f>
        <v>0</v>
      </c>
      <c r="X25" s="90">
        <f>IF(DATEDIF('01 Major Assumptions'!$D$6,'01 Major Assumptions'!X$11,"m")+1&gt;=$E25,1,0)</f>
        <v>1</v>
      </c>
      <c r="Y25" s="90">
        <f>IF(DATEDIF('01 Major Assumptions'!$D$6,'01 Major Assumptions'!Y$11,"m")+1&gt;=$E25,1,0)</f>
        <v>1</v>
      </c>
      <c r="Z25" s="90">
        <f>IF(DATEDIF('01 Major Assumptions'!$D$6,'01 Major Assumptions'!Z$11,"m")+1&gt;=$E25,1,0)</f>
        <v>1</v>
      </c>
      <c r="AA25" s="90">
        <f>IF(DATEDIF('01 Major Assumptions'!$D$6,'01 Major Assumptions'!AA$11,"m")+1&gt;=$E25,1,0)</f>
        <v>1</v>
      </c>
      <c r="AB25" s="90">
        <f>IF(DATEDIF('01 Major Assumptions'!$D$6,'01 Major Assumptions'!AB$11,"m")+1&gt;=$E25,1,0)</f>
        <v>1</v>
      </c>
      <c r="AC25" s="90">
        <f>IF(DATEDIF('01 Major Assumptions'!$D$6,'01 Major Assumptions'!AC$11,"m")+1&gt;=$E25,1,0)</f>
        <v>1</v>
      </c>
      <c r="AD25" s="90">
        <f>IF(DATEDIF('01 Major Assumptions'!$D$6,'01 Major Assumptions'!AD$11,"m")+1&gt;=$E25,1,0)</f>
        <v>1</v>
      </c>
      <c r="AE25" s="90">
        <f>IF(DATEDIF('01 Major Assumptions'!$D$6,'01 Major Assumptions'!AE$11,"m")+1&gt;=$E25,1,0)</f>
        <v>1</v>
      </c>
      <c r="AF25" s="90">
        <f>IF(DATEDIF('01 Major Assumptions'!$D$6,'01 Major Assumptions'!AF$11,"m")+1&gt;=$E25,1,0)</f>
        <v>1</v>
      </c>
      <c r="AG25" s="90">
        <f>IF(DATEDIF('01 Major Assumptions'!$D$6,'01 Major Assumptions'!AG$11,"m")+1&gt;=$E25,1,0)</f>
        <v>1</v>
      </c>
      <c r="AH25" s="90">
        <f>IF(DATEDIF('01 Major Assumptions'!$D$6,'01 Major Assumptions'!AH$11,"m")+1&gt;=$E25,1,0)</f>
        <v>1</v>
      </c>
      <c r="AI25" s="90">
        <f>IF(DATEDIF('01 Major Assumptions'!$D$6,'01 Major Assumptions'!AI$11,"m")+1&gt;=$E25,1,0)</f>
        <v>1</v>
      </c>
      <c r="AJ25" s="90">
        <f>IF(DATEDIF('01 Major Assumptions'!$D$6,'01 Major Assumptions'!AJ$11,"m")+1&gt;=$E25,1,0)</f>
        <v>1</v>
      </c>
      <c r="AK25" s="90">
        <f>IF(DATEDIF('01 Major Assumptions'!$D$6,'01 Major Assumptions'!AK$11,"m")+1&gt;=$E25,1,0)</f>
        <v>1</v>
      </c>
      <c r="AL25" s="90">
        <f>IF(DATEDIF('01 Major Assumptions'!$D$6,'01 Major Assumptions'!AL$11,"m")+1&gt;=$E25,1,0)</f>
        <v>1</v>
      </c>
      <c r="AM25" s="90">
        <f>IF(DATEDIF('01 Major Assumptions'!$D$6,'01 Major Assumptions'!AM$11,"m")+1&gt;=$E25,1,0)</f>
        <v>1</v>
      </c>
      <c r="AN25" s="90">
        <f>IF(DATEDIF('01 Major Assumptions'!$D$6,'01 Major Assumptions'!AN$11,"m")+1&gt;=$E25,1,0)</f>
        <v>1</v>
      </c>
      <c r="AO25" s="90">
        <f>IF(DATEDIF('01 Major Assumptions'!$D$6,'01 Major Assumptions'!AO$11,"m")+1&gt;=$E25,1,0)</f>
        <v>1</v>
      </c>
      <c r="AP25" s="90">
        <f>IF(DATEDIF('01 Major Assumptions'!$D$6,'01 Major Assumptions'!AP$11,"m")+1&gt;=$E25,1,0)</f>
        <v>1</v>
      </c>
      <c r="AQ25" s="90">
        <f>IF(DATEDIF('01 Major Assumptions'!$D$6,'01 Major Assumptions'!AQ$11,"m")+1&gt;=$E25,1,0)</f>
        <v>1</v>
      </c>
      <c r="AR25" s="90">
        <f>IF(DATEDIF('01 Major Assumptions'!$D$6,'01 Major Assumptions'!AR$11,"m")+1&gt;=$E25,1,0)</f>
        <v>1</v>
      </c>
      <c r="AS25" s="90">
        <f>IF(DATEDIF('01 Major Assumptions'!$D$6,'01 Major Assumptions'!AS$11,"m")+1&gt;=$E25,1,0)</f>
        <v>1</v>
      </c>
      <c r="AT25" s="90">
        <f>IF(DATEDIF('01 Major Assumptions'!$D$6,'01 Major Assumptions'!AT$11,"m")+1&gt;=$E25,1,0)</f>
        <v>1</v>
      </c>
      <c r="AU25" s="90">
        <f>IF(DATEDIF('01 Major Assumptions'!$D$6,'01 Major Assumptions'!AU$11,"m")+1&gt;=$E25,1,0)</f>
        <v>1</v>
      </c>
      <c r="AV25" s="90">
        <f>IF(DATEDIF('01 Major Assumptions'!$D$6,'01 Major Assumptions'!AV$11,"m")+1&gt;=$E25,1,0)</f>
        <v>1</v>
      </c>
      <c r="AW25" s="90">
        <f>IF(DATEDIF('01 Major Assumptions'!$D$6,'01 Major Assumptions'!AW$11,"m")+1&gt;=$E25,1,0)</f>
        <v>1</v>
      </c>
      <c r="AX25" s="90">
        <f>IF(DATEDIF('01 Major Assumptions'!$D$6,'01 Major Assumptions'!AX$11,"m")+1&gt;=$E25,1,0)</f>
        <v>1</v>
      </c>
      <c r="AY25" s="90">
        <f>IF(DATEDIF('01 Major Assumptions'!$D$6,'01 Major Assumptions'!AY$11,"m")+1&gt;=$E25,1,0)</f>
        <v>1</v>
      </c>
      <c r="AZ25" s="90">
        <f>IF(DATEDIF('01 Major Assumptions'!$D$6,'01 Major Assumptions'!AZ$11,"m")+1&gt;=$E25,1,0)</f>
        <v>1</v>
      </c>
      <c r="BA25" s="90">
        <f>IF(DATEDIF('01 Major Assumptions'!$D$6,'01 Major Assumptions'!BA$11,"m")+1&gt;=$E25,1,0)</f>
        <v>1</v>
      </c>
      <c r="BB25" s="90">
        <f>IF(DATEDIF('01 Major Assumptions'!$D$6,'01 Major Assumptions'!BB$11,"m")+1&gt;=$E25,1,0)</f>
        <v>1</v>
      </c>
      <c r="BC25" s="90">
        <f>IF(DATEDIF('01 Major Assumptions'!$D$6,'01 Major Assumptions'!BC$11,"m")+1&gt;=$E25,1,0)</f>
        <v>1</v>
      </c>
      <c r="BD25" s="90">
        <f>IF(DATEDIF('01 Major Assumptions'!$D$6,'01 Major Assumptions'!BD$11,"m")+1&gt;=$E25,1,0)</f>
        <v>1</v>
      </c>
      <c r="BE25" s="90">
        <f>IF(DATEDIF('01 Major Assumptions'!$D$6,'01 Major Assumptions'!BE$11,"m")+1&gt;=$E25,1,0)</f>
        <v>1</v>
      </c>
      <c r="BF25" s="90">
        <f>IF(DATEDIF('01 Major Assumptions'!$D$6,'01 Major Assumptions'!BF$11,"m")+1&gt;=$E25,1,0)</f>
        <v>1</v>
      </c>
      <c r="BG25" s="90">
        <f>IF(DATEDIF('01 Major Assumptions'!$D$6,'01 Major Assumptions'!BG$11,"m")+1&gt;=$E25,1,0)</f>
        <v>1</v>
      </c>
      <c r="BH25" s="90">
        <f>IF(DATEDIF('01 Major Assumptions'!$D$6,'01 Major Assumptions'!BH$11,"m")+1&gt;=$E25,1,0)</f>
        <v>1</v>
      </c>
      <c r="BI25" s="90">
        <f>IF(DATEDIF('01 Major Assumptions'!$D$6,'01 Major Assumptions'!BI$11,"m")+1&gt;=$E25,1,0)</f>
        <v>1</v>
      </c>
      <c r="BJ25" s="90">
        <f>IF(DATEDIF('01 Major Assumptions'!$D$6,'01 Major Assumptions'!BJ$11,"m")+1&gt;=$E25,1,0)</f>
        <v>1</v>
      </c>
      <c r="BK25" s="90">
        <f>IF(DATEDIF('01 Major Assumptions'!$D$6,'01 Major Assumptions'!BK$11,"m")+1&gt;=$E25,1,0)</f>
        <v>1</v>
      </c>
      <c r="BL25" s="90">
        <f>IF(DATEDIF('01 Major Assumptions'!$D$6,'01 Major Assumptions'!BL$11,"m")+1&gt;=$E25,1,0)</f>
        <v>1</v>
      </c>
      <c r="BM25" s="90">
        <f>IF(DATEDIF('01 Major Assumptions'!$D$6,'01 Major Assumptions'!BM$11,"m")+1&gt;=$E25,1,0)</f>
        <v>1</v>
      </c>
      <c r="BN25" s="90">
        <f>IF(DATEDIF('01 Major Assumptions'!$D$6,'01 Major Assumptions'!BN$11,"m")+1&gt;=$E25,1,0)</f>
        <v>1</v>
      </c>
      <c r="BO25" s="90">
        <f>IF(DATEDIF('01 Major Assumptions'!$D$6,'01 Major Assumptions'!BO$11,"m")+1&gt;=$E25,1,0)</f>
        <v>1</v>
      </c>
    </row>
    <row r="26" spans="1:67">
      <c r="A26" s="11"/>
      <c r="B26" s="11" t="s">
        <v>614</v>
      </c>
      <c r="C26" s="92">
        <v>10</v>
      </c>
      <c r="D26" s="92">
        <v>8</v>
      </c>
      <c r="E26" s="101">
        <f t="shared" si="0"/>
        <v>18</v>
      </c>
      <c r="F26" s="101"/>
      <c r="G26" s="90">
        <f>IF(DATEDIF('01 Major Assumptions'!$D$6,'01 Major Assumptions'!G$11,"m")+1&gt;=$E26,1,0)</f>
        <v>0</v>
      </c>
      <c r="H26" s="90">
        <f>IF(DATEDIF('01 Major Assumptions'!$D$6,'01 Major Assumptions'!H$11,"m")+1&gt;=$E26,1,0)</f>
        <v>0</v>
      </c>
      <c r="I26" s="90">
        <f>IF(DATEDIF('01 Major Assumptions'!$D$6,'01 Major Assumptions'!I$11,"m")+1&gt;=$E26,1,0)</f>
        <v>0</v>
      </c>
      <c r="J26" s="90">
        <f>IF(DATEDIF('01 Major Assumptions'!$D$6,'01 Major Assumptions'!J$11,"m")+1&gt;=$E26,1,0)</f>
        <v>0</v>
      </c>
      <c r="K26" s="90">
        <f>IF(DATEDIF('01 Major Assumptions'!$D$6,'01 Major Assumptions'!K$11,"m")+1&gt;=$E26,1,0)</f>
        <v>0</v>
      </c>
      <c r="L26" s="90">
        <f>IF(DATEDIF('01 Major Assumptions'!$D$6,'01 Major Assumptions'!L$11,"m")+1&gt;=$E26,1,0)</f>
        <v>0</v>
      </c>
      <c r="M26" s="90">
        <f>IF(DATEDIF('01 Major Assumptions'!$D$6,'01 Major Assumptions'!M$11,"m")+1&gt;=$E26,1,0)</f>
        <v>0</v>
      </c>
      <c r="N26" s="90">
        <f>IF(DATEDIF('01 Major Assumptions'!$D$6,'01 Major Assumptions'!N$11,"m")+1&gt;=$E26,1,0)</f>
        <v>0</v>
      </c>
      <c r="O26" s="90">
        <f>IF(DATEDIF('01 Major Assumptions'!$D$6,'01 Major Assumptions'!O$11,"m")+1&gt;=$E26,1,0)</f>
        <v>0</v>
      </c>
      <c r="P26" s="90">
        <f>IF(DATEDIF('01 Major Assumptions'!$D$6,'01 Major Assumptions'!P$11,"m")+1&gt;=$E26,1,0)</f>
        <v>0</v>
      </c>
      <c r="Q26" s="90">
        <f>IF(DATEDIF('01 Major Assumptions'!$D$6,'01 Major Assumptions'!Q$11,"m")+1&gt;=$E26,1,0)</f>
        <v>0</v>
      </c>
      <c r="R26" s="90">
        <f>IF(DATEDIF('01 Major Assumptions'!$D$6,'01 Major Assumptions'!R$11,"m")+1&gt;=$E26,1,0)</f>
        <v>0</v>
      </c>
      <c r="S26" s="90">
        <f>IF(DATEDIF('01 Major Assumptions'!$D$6,'01 Major Assumptions'!S$11,"m")+1&gt;=$E26,1,0)</f>
        <v>0</v>
      </c>
      <c r="T26" s="90">
        <f>IF(DATEDIF('01 Major Assumptions'!$D$6,'01 Major Assumptions'!T$11,"m")+1&gt;=$E26,1,0)</f>
        <v>0</v>
      </c>
      <c r="U26" s="90">
        <f>IF(DATEDIF('01 Major Assumptions'!$D$6,'01 Major Assumptions'!U$11,"m")+1&gt;=$E26,1,0)</f>
        <v>0</v>
      </c>
      <c r="V26" s="90">
        <f>IF(DATEDIF('01 Major Assumptions'!$D$6,'01 Major Assumptions'!V$11,"m")+1&gt;=$E26,1,0)</f>
        <v>0</v>
      </c>
      <c r="W26" s="90">
        <f>IF(DATEDIF('01 Major Assumptions'!$D$6,'01 Major Assumptions'!W$11,"m")+1&gt;=$E26,1,0)</f>
        <v>0</v>
      </c>
      <c r="X26" s="90">
        <f>IF(DATEDIF('01 Major Assumptions'!$D$6,'01 Major Assumptions'!X$11,"m")+1&gt;=$E26,1,0)</f>
        <v>1</v>
      </c>
      <c r="Y26" s="90">
        <f>IF(DATEDIF('01 Major Assumptions'!$D$6,'01 Major Assumptions'!Y$11,"m")+1&gt;=$E26,1,0)</f>
        <v>1</v>
      </c>
      <c r="Z26" s="90">
        <f>IF(DATEDIF('01 Major Assumptions'!$D$6,'01 Major Assumptions'!Z$11,"m")+1&gt;=$E26,1,0)</f>
        <v>1</v>
      </c>
      <c r="AA26" s="90">
        <f>IF(DATEDIF('01 Major Assumptions'!$D$6,'01 Major Assumptions'!AA$11,"m")+1&gt;=$E26,1,0)</f>
        <v>1</v>
      </c>
      <c r="AB26" s="90">
        <f>IF(DATEDIF('01 Major Assumptions'!$D$6,'01 Major Assumptions'!AB$11,"m")+1&gt;=$E26,1,0)</f>
        <v>1</v>
      </c>
      <c r="AC26" s="90">
        <f>IF(DATEDIF('01 Major Assumptions'!$D$6,'01 Major Assumptions'!AC$11,"m")+1&gt;=$E26,1,0)</f>
        <v>1</v>
      </c>
      <c r="AD26" s="90">
        <f>IF(DATEDIF('01 Major Assumptions'!$D$6,'01 Major Assumptions'!AD$11,"m")+1&gt;=$E26,1,0)</f>
        <v>1</v>
      </c>
      <c r="AE26" s="90">
        <f>IF(DATEDIF('01 Major Assumptions'!$D$6,'01 Major Assumptions'!AE$11,"m")+1&gt;=$E26,1,0)</f>
        <v>1</v>
      </c>
      <c r="AF26" s="90">
        <f>IF(DATEDIF('01 Major Assumptions'!$D$6,'01 Major Assumptions'!AF$11,"m")+1&gt;=$E26,1,0)</f>
        <v>1</v>
      </c>
      <c r="AG26" s="90">
        <f>IF(DATEDIF('01 Major Assumptions'!$D$6,'01 Major Assumptions'!AG$11,"m")+1&gt;=$E26,1,0)</f>
        <v>1</v>
      </c>
      <c r="AH26" s="90">
        <f>IF(DATEDIF('01 Major Assumptions'!$D$6,'01 Major Assumptions'!AH$11,"m")+1&gt;=$E26,1,0)</f>
        <v>1</v>
      </c>
      <c r="AI26" s="90">
        <f>IF(DATEDIF('01 Major Assumptions'!$D$6,'01 Major Assumptions'!AI$11,"m")+1&gt;=$E26,1,0)</f>
        <v>1</v>
      </c>
      <c r="AJ26" s="90">
        <f>IF(DATEDIF('01 Major Assumptions'!$D$6,'01 Major Assumptions'!AJ$11,"m")+1&gt;=$E26,1,0)</f>
        <v>1</v>
      </c>
      <c r="AK26" s="90">
        <f>IF(DATEDIF('01 Major Assumptions'!$D$6,'01 Major Assumptions'!AK$11,"m")+1&gt;=$E26,1,0)</f>
        <v>1</v>
      </c>
      <c r="AL26" s="90">
        <f>IF(DATEDIF('01 Major Assumptions'!$D$6,'01 Major Assumptions'!AL$11,"m")+1&gt;=$E26,1,0)</f>
        <v>1</v>
      </c>
      <c r="AM26" s="90">
        <f>IF(DATEDIF('01 Major Assumptions'!$D$6,'01 Major Assumptions'!AM$11,"m")+1&gt;=$E26,1,0)</f>
        <v>1</v>
      </c>
      <c r="AN26" s="90">
        <f>IF(DATEDIF('01 Major Assumptions'!$D$6,'01 Major Assumptions'!AN$11,"m")+1&gt;=$E26,1,0)</f>
        <v>1</v>
      </c>
      <c r="AO26" s="90">
        <f>IF(DATEDIF('01 Major Assumptions'!$D$6,'01 Major Assumptions'!AO$11,"m")+1&gt;=$E26,1,0)</f>
        <v>1</v>
      </c>
      <c r="AP26" s="90">
        <f>IF(DATEDIF('01 Major Assumptions'!$D$6,'01 Major Assumptions'!AP$11,"m")+1&gt;=$E26,1,0)</f>
        <v>1</v>
      </c>
      <c r="AQ26" s="90">
        <f>IF(DATEDIF('01 Major Assumptions'!$D$6,'01 Major Assumptions'!AQ$11,"m")+1&gt;=$E26,1,0)</f>
        <v>1</v>
      </c>
      <c r="AR26" s="90">
        <f>IF(DATEDIF('01 Major Assumptions'!$D$6,'01 Major Assumptions'!AR$11,"m")+1&gt;=$E26,1,0)</f>
        <v>1</v>
      </c>
      <c r="AS26" s="90">
        <f>IF(DATEDIF('01 Major Assumptions'!$D$6,'01 Major Assumptions'!AS$11,"m")+1&gt;=$E26,1,0)</f>
        <v>1</v>
      </c>
      <c r="AT26" s="90">
        <f>IF(DATEDIF('01 Major Assumptions'!$D$6,'01 Major Assumptions'!AT$11,"m")+1&gt;=$E26,1,0)</f>
        <v>1</v>
      </c>
      <c r="AU26" s="90">
        <f>IF(DATEDIF('01 Major Assumptions'!$D$6,'01 Major Assumptions'!AU$11,"m")+1&gt;=$E26,1,0)</f>
        <v>1</v>
      </c>
      <c r="AV26" s="90">
        <f>IF(DATEDIF('01 Major Assumptions'!$D$6,'01 Major Assumptions'!AV$11,"m")+1&gt;=$E26,1,0)</f>
        <v>1</v>
      </c>
      <c r="AW26" s="90">
        <f>IF(DATEDIF('01 Major Assumptions'!$D$6,'01 Major Assumptions'!AW$11,"m")+1&gt;=$E26,1,0)</f>
        <v>1</v>
      </c>
      <c r="AX26" s="90">
        <f>IF(DATEDIF('01 Major Assumptions'!$D$6,'01 Major Assumptions'!AX$11,"m")+1&gt;=$E26,1,0)</f>
        <v>1</v>
      </c>
      <c r="AY26" s="90">
        <f>IF(DATEDIF('01 Major Assumptions'!$D$6,'01 Major Assumptions'!AY$11,"m")+1&gt;=$E26,1,0)</f>
        <v>1</v>
      </c>
      <c r="AZ26" s="90">
        <f>IF(DATEDIF('01 Major Assumptions'!$D$6,'01 Major Assumptions'!AZ$11,"m")+1&gt;=$E26,1,0)</f>
        <v>1</v>
      </c>
      <c r="BA26" s="90">
        <f>IF(DATEDIF('01 Major Assumptions'!$D$6,'01 Major Assumptions'!BA$11,"m")+1&gt;=$E26,1,0)</f>
        <v>1</v>
      </c>
      <c r="BB26" s="90">
        <f>IF(DATEDIF('01 Major Assumptions'!$D$6,'01 Major Assumptions'!BB$11,"m")+1&gt;=$E26,1,0)</f>
        <v>1</v>
      </c>
      <c r="BC26" s="90">
        <f>IF(DATEDIF('01 Major Assumptions'!$D$6,'01 Major Assumptions'!BC$11,"m")+1&gt;=$E26,1,0)</f>
        <v>1</v>
      </c>
      <c r="BD26" s="90">
        <f>IF(DATEDIF('01 Major Assumptions'!$D$6,'01 Major Assumptions'!BD$11,"m")+1&gt;=$E26,1,0)</f>
        <v>1</v>
      </c>
      <c r="BE26" s="90">
        <f>IF(DATEDIF('01 Major Assumptions'!$D$6,'01 Major Assumptions'!BE$11,"m")+1&gt;=$E26,1,0)</f>
        <v>1</v>
      </c>
      <c r="BF26" s="90">
        <f>IF(DATEDIF('01 Major Assumptions'!$D$6,'01 Major Assumptions'!BF$11,"m")+1&gt;=$E26,1,0)</f>
        <v>1</v>
      </c>
      <c r="BG26" s="90">
        <f>IF(DATEDIF('01 Major Assumptions'!$D$6,'01 Major Assumptions'!BG$11,"m")+1&gt;=$E26,1,0)</f>
        <v>1</v>
      </c>
      <c r="BH26" s="90">
        <f>IF(DATEDIF('01 Major Assumptions'!$D$6,'01 Major Assumptions'!BH$11,"m")+1&gt;=$E26,1,0)</f>
        <v>1</v>
      </c>
      <c r="BI26" s="90">
        <f>IF(DATEDIF('01 Major Assumptions'!$D$6,'01 Major Assumptions'!BI$11,"m")+1&gt;=$E26,1,0)</f>
        <v>1</v>
      </c>
      <c r="BJ26" s="90">
        <f>IF(DATEDIF('01 Major Assumptions'!$D$6,'01 Major Assumptions'!BJ$11,"m")+1&gt;=$E26,1,0)</f>
        <v>1</v>
      </c>
      <c r="BK26" s="90">
        <f>IF(DATEDIF('01 Major Assumptions'!$D$6,'01 Major Assumptions'!BK$11,"m")+1&gt;=$E26,1,0)</f>
        <v>1</v>
      </c>
      <c r="BL26" s="90">
        <f>IF(DATEDIF('01 Major Assumptions'!$D$6,'01 Major Assumptions'!BL$11,"m")+1&gt;=$E26,1,0)</f>
        <v>1</v>
      </c>
      <c r="BM26" s="90">
        <f>IF(DATEDIF('01 Major Assumptions'!$D$6,'01 Major Assumptions'!BM$11,"m")+1&gt;=$E26,1,0)</f>
        <v>1</v>
      </c>
      <c r="BN26" s="90">
        <f>IF(DATEDIF('01 Major Assumptions'!$D$6,'01 Major Assumptions'!BN$11,"m")+1&gt;=$E26,1,0)</f>
        <v>1</v>
      </c>
      <c r="BO26" s="90">
        <f>IF(DATEDIF('01 Major Assumptions'!$D$6,'01 Major Assumptions'!BO$11,"m")+1&gt;=$E26,1,0)</f>
        <v>1</v>
      </c>
    </row>
    <row r="27" spans="1:67">
      <c r="A27" s="11"/>
      <c r="B27" s="11" t="s">
        <v>615</v>
      </c>
      <c r="C27" s="92">
        <v>12</v>
      </c>
      <c r="D27" s="92">
        <v>8</v>
      </c>
      <c r="E27" s="101">
        <f t="shared" si="0"/>
        <v>20</v>
      </c>
      <c r="F27" s="101"/>
      <c r="G27" s="90">
        <f>IF(DATEDIF('01 Major Assumptions'!$D$6,'01 Major Assumptions'!G$11,"m")+1&gt;=$E27,1,0)</f>
        <v>0</v>
      </c>
      <c r="H27" s="90">
        <f>IF(DATEDIF('01 Major Assumptions'!$D$6,'01 Major Assumptions'!H$11,"m")+1&gt;=$E27,1,0)</f>
        <v>0</v>
      </c>
      <c r="I27" s="90">
        <f>IF(DATEDIF('01 Major Assumptions'!$D$6,'01 Major Assumptions'!I$11,"m")+1&gt;=$E27,1,0)</f>
        <v>0</v>
      </c>
      <c r="J27" s="90">
        <f>IF(DATEDIF('01 Major Assumptions'!$D$6,'01 Major Assumptions'!J$11,"m")+1&gt;=$E27,1,0)</f>
        <v>0</v>
      </c>
      <c r="K27" s="90">
        <f>IF(DATEDIF('01 Major Assumptions'!$D$6,'01 Major Assumptions'!K$11,"m")+1&gt;=$E27,1,0)</f>
        <v>0</v>
      </c>
      <c r="L27" s="90">
        <f>IF(DATEDIF('01 Major Assumptions'!$D$6,'01 Major Assumptions'!L$11,"m")+1&gt;=$E27,1,0)</f>
        <v>0</v>
      </c>
      <c r="M27" s="90">
        <f>IF(DATEDIF('01 Major Assumptions'!$D$6,'01 Major Assumptions'!M$11,"m")+1&gt;=$E27,1,0)</f>
        <v>0</v>
      </c>
      <c r="N27" s="90">
        <f>IF(DATEDIF('01 Major Assumptions'!$D$6,'01 Major Assumptions'!N$11,"m")+1&gt;=$E27,1,0)</f>
        <v>0</v>
      </c>
      <c r="O27" s="90">
        <f>IF(DATEDIF('01 Major Assumptions'!$D$6,'01 Major Assumptions'!O$11,"m")+1&gt;=$E27,1,0)</f>
        <v>0</v>
      </c>
      <c r="P27" s="90">
        <f>IF(DATEDIF('01 Major Assumptions'!$D$6,'01 Major Assumptions'!P$11,"m")+1&gt;=$E27,1,0)</f>
        <v>0</v>
      </c>
      <c r="Q27" s="90">
        <f>IF(DATEDIF('01 Major Assumptions'!$D$6,'01 Major Assumptions'!Q$11,"m")+1&gt;=$E27,1,0)</f>
        <v>0</v>
      </c>
      <c r="R27" s="90">
        <f>IF(DATEDIF('01 Major Assumptions'!$D$6,'01 Major Assumptions'!R$11,"m")+1&gt;=$E27,1,0)</f>
        <v>0</v>
      </c>
      <c r="S27" s="90">
        <f>IF(DATEDIF('01 Major Assumptions'!$D$6,'01 Major Assumptions'!S$11,"m")+1&gt;=$E27,1,0)</f>
        <v>0</v>
      </c>
      <c r="T27" s="90">
        <f>IF(DATEDIF('01 Major Assumptions'!$D$6,'01 Major Assumptions'!T$11,"m")+1&gt;=$E27,1,0)</f>
        <v>0</v>
      </c>
      <c r="U27" s="90">
        <f>IF(DATEDIF('01 Major Assumptions'!$D$6,'01 Major Assumptions'!U$11,"m")+1&gt;=$E27,1,0)</f>
        <v>0</v>
      </c>
      <c r="V27" s="90">
        <f>IF(DATEDIF('01 Major Assumptions'!$D$6,'01 Major Assumptions'!V$11,"m")+1&gt;=$E27,1,0)</f>
        <v>0</v>
      </c>
      <c r="W27" s="90">
        <f>IF(DATEDIF('01 Major Assumptions'!$D$6,'01 Major Assumptions'!W$11,"m")+1&gt;=$E27,1,0)</f>
        <v>0</v>
      </c>
      <c r="X27" s="90">
        <f>IF(DATEDIF('01 Major Assumptions'!$D$6,'01 Major Assumptions'!X$11,"m")+1&gt;=$E27,1,0)</f>
        <v>0</v>
      </c>
      <c r="Y27" s="90">
        <f>IF(DATEDIF('01 Major Assumptions'!$D$6,'01 Major Assumptions'!Y$11,"m")+1&gt;=$E27,1,0)</f>
        <v>0</v>
      </c>
      <c r="Z27" s="90">
        <f>IF(DATEDIF('01 Major Assumptions'!$D$6,'01 Major Assumptions'!Z$11,"m")+1&gt;=$E27,1,0)</f>
        <v>1</v>
      </c>
      <c r="AA27" s="90">
        <f>IF(DATEDIF('01 Major Assumptions'!$D$6,'01 Major Assumptions'!AA$11,"m")+1&gt;=$E27,1,0)</f>
        <v>1</v>
      </c>
      <c r="AB27" s="90">
        <f>IF(DATEDIF('01 Major Assumptions'!$D$6,'01 Major Assumptions'!AB$11,"m")+1&gt;=$E27,1,0)</f>
        <v>1</v>
      </c>
      <c r="AC27" s="90">
        <f>IF(DATEDIF('01 Major Assumptions'!$D$6,'01 Major Assumptions'!AC$11,"m")+1&gt;=$E27,1,0)</f>
        <v>1</v>
      </c>
      <c r="AD27" s="90">
        <f>IF(DATEDIF('01 Major Assumptions'!$D$6,'01 Major Assumptions'!AD$11,"m")+1&gt;=$E27,1,0)</f>
        <v>1</v>
      </c>
      <c r="AE27" s="90">
        <f>IF(DATEDIF('01 Major Assumptions'!$D$6,'01 Major Assumptions'!AE$11,"m")+1&gt;=$E27,1,0)</f>
        <v>1</v>
      </c>
      <c r="AF27" s="90">
        <f>IF(DATEDIF('01 Major Assumptions'!$D$6,'01 Major Assumptions'!AF$11,"m")+1&gt;=$E27,1,0)</f>
        <v>1</v>
      </c>
      <c r="AG27" s="90">
        <f>IF(DATEDIF('01 Major Assumptions'!$D$6,'01 Major Assumptions'!AG$11,"m")+1&gt;=$E27,1,0)</f>
        <v>1</v>
      </c>
      <c r="AH27" s="90">
        <f>IF(DATEDIF('01 Major Assumptions'!$D$6,'01 Major Assumptions'!AH$11,"m")+1&gt;=$E27,1,0)</f>
        <v>1</v>
      </c>
      <c r="AI27" s="90">
        <f>IF(DATEDIF('01 Major Assumptions'!$D$6,'01 Major Assumptions'!AI$11,"m")+1&gt;=$E27,1,0)</f>
        <v>1</v>
      </c>
      <c r="AJ27" s="90">
        <f>IF(DATEDIF('01 Major Assumptions'!$D$6,'01 Major Assumptions'!AJ$11,"m")+1&gt;=$E27,1,0)</f>
        <v>1</v>
      </c>
      <c r="AK27" s="90">
        <f>IF(DATEDIF('01 Major Assumptions'!$D$6,'01 Major Assumptions'!AK$11,"m")+1&gt;=$E27,1,0)</f>
        <v>1</v>
      </c>
      <c r="AL27" s="90">
        <f>IF(DATEDIF('01 Major Assumptions'!$D$6,'01 Major Assumptions'!AL$11,"m")+1&gt;=$E27,1,0)</f>
        <v>1</v>
      </c>
      <c r="AM27" s="90">
        <f>IF(DATEDIF('01 Major Assumptions'!$D$6,'01 Major Assumptions'!AM$11,"m")+1&gt;=$E27,1,0)</f>
        <v>1</v>
      </c>
      <c r="AN27" s="90">
        <f>IF(DATEDIF('01 Major Assumptions'!$D$6,'01 Major Assumptions'!AN$11,"m")+1&gt;=$E27,1,0)</f>
        <v>1</v>
      </c>
      <c r="AO27" s="90">
        <f>IF(DATEDIF('01 Major Assumptions'!$D$6,'01 Major Assumptions'!AO$11,"m")+1&gt;=$E27,1,0)</f>
        <v>1</v>
      </c>
      <c r="AP27" s="90">
        <f>IF(DATEDIF('01 Major Assumptions'!$D$6,'01 Major Assumptions'!AP$11,"m")+1&gt;=$E27,1,0)</f>
        <v>1</v>
      </c>
      <c r="AQ27" s="90">
        <f>IF(DATEDIF('01 Major Assumptions'!$D$6,'01 Major Assumptions'!AQ$11,"m")+1&gt;=$E27,1,0)</f>
        <v>1</v>
      </c>
      <c r="AR27" s="90">
        <f>IF(DATEDIF('01 Major Assumptions'!$D$6,'01 Major Assumptions'!AR$11,"m")+1&gt;=$E27,1,0)</f>
        <v>1</v>
      </c>
      <c r="AS27" s="90">
        <f>IF(DATEDIF('01 Major Assumptions'!$D$6,'01 Major Assumptions'!AS$11,"m")+1&gt;=$E27,1,0)</f>
        <v>1</v>
      </c>
      <c r="AT27" s="90">
        <f>IF(DATEDIF('01 Major Assumptions'!$D$6,'01 Major Assumptions'!AT$11,"m")+1&gt;=$E27,1,0)</f>
        <v>1</v>
      </c>
      <c r="AU27" s="90">
        <f>IF(DATEDIF('01 Major Assumptions'!$D$6,'01 Major Assumptions'!AU$11,"m")+1&gt;=$E27,1,0)</f>
        <v>1</v>
      </c>
      <c r="AV27" s="90">
        <f>IF(DATEDIF('01 Major Assumptions'!$D$6,'01 Major Assumptions'!AV$11,"m")+1&gt;=$E27,1,0)</f>
        <v>1</v>
      </c>
      <c r="AW27" s="90">
        <f>IF(DATEDIF('01 Major Assumptions'!$D$6,'01 Major Assumptions'!AW$11,"m")+1&gt;=$E27,1,0)</f>
        <v>1</v>
      </c>
      <c r="AX27" s="90">
        <f>IF(DATEDIF('01 Major Assumptions'!$D$6,'01 Major Assumptions'!AX$11,"m")+1&gt;=$E27,1,0)</f>
        <v>1</v>
      </c>
      <c r="AY27" s="90">
        <f>IF(DATEDIF('01 Major Assumptions'!$D$6,'01 Major Assumptions'!AY$11,"m")+1&gt;=$E27,1,0)</f>
        <v>1</v>
      </c>
      <c r="AZ27" s="90">
        <f>IF(DATEDIF('01 Major Assumptions'!$D$6,'01 Major Assumptions'!AZ$11,"m")+1&gt;=$E27,1,0)</f>
        <v>1</v>
      </c>
      <c r="BA27" s="90">
        <f>IF(DATEDIF('01 Major Assumptions'!$D$6,'01 Major Assumptions'!BA$11,"m")+1&gt;=$E27,1,0)</f>
        <v>1</v>
      </c>
      <c r="BB27" s="90">
        <f>IF(DATEDIF('01 Major Assumptions'!$D$6,'01 Major Assumptions'!BB$11,"m")+1&gt;=$E27,1,0)</f>
        <v>1</v>
      </c>
      <c r="BC27" s="90">
        <f>IF(DATEDIF('01 Major Assumptions'!$D$6,'01 Major Assumptions'!BC$11,"m")+1&gt;=$E27,1,0)</f>
        <v>1</v>
      </c>
      <c r="BD27" s="90">
        <f>IF(DATEDIF('01 Major Assumptions'!$D$6,'01 Major Assumptions'!BD$11,"m")+1&gt;=$E27,1,0)</f>
        <v>1</v>
      </c>
      <c r="BE27" s="90">
        <f>IF(DATEDIF('01 Major Assumptions'!$D$6,'01 Major Assumptions'!BE$11,"m")+1&gt;=$E27,1,0)</f>
        <v>1</v>
      </c>
      <c r="BF27" s="90">
        <f>IF(DATEDIF('01 Major Assumptions'!$D$6,'01 Major Assumptions'!BF$11,"m")+1&gt;=$E27,1,0)</f>
        <v>1</v>
      </c>
      <c r="BG27" s="90">
        <f>IF(DATEDIF('01 Major Assumptions'!$D$6,'01 Major Assumptions'!BG$11,"m")+1&gt;=$E27,1,0)</f>
        <v>1</v>
      </c>
      <c r="BH27" s="90">
        <f>IF(DATEDIF('01 Major Assumptions'!$D$6,'01 Major Assumptions'!BH$11,"m")+1&gt;=$E27,1,0)</f>
        <v>1</v>
      </c>
      <c r="BI27" s="90">
        <f>IF(DATEDIF('01 Major Assumptions'!$D$6,'01 Major Assumptions'!BI$11,"m")+1&gt;=$E27,1,0)</f>
        <v>1</v>
      </c>
      <c r="BJ27" s="90">
        <f>IF(DATEDIF('01 Major Assumptions'!$D$6,'01 Major Assumptions'!BJ$11,"m")+1&gt;=$E27,1,0)</f>
        <v>1</v>
      </c>
      <c r="BK27" s="90">
        <f>IF(DATEDIF('01 Major Assumptions'!$D$6,'01 Major Assumptions'!BK$11,"m")+1&gt;=$E27,1,0)</f>
        <v>1</v>
      </c>
      <c r="BL27" s="90">
        <f>IF(DATEDIF('01 Major Assumptions'!$D$6,'01 Major Assumptions'!BL$11,"m")+1&gt;=$E27,1,0)</f>
        <v>1</v>
      </c>
      <c r="BM27" s="90">
        <f>IF(DATEDIF('01 Major Assumptions'!$D$6,'01 Major Assumptions'!BM$11,"m")+1&gt;=$E27,1,0)</f>
        <v>1</v>
      </c>
      <c r="BN27" s="90">
        <f>IF(DATEDIF('01 Major Assumptions'!$D$6,'01 Major Assumptions'!BN$11,"m")+1&gt;=$E27,1,0)</f>
        <v>1</v>
      </c>
      <c r="BO27" s="90">
        <f>IF(DATEDIF('01 Major Assumptions'!$D$6,'01 Major Assumptions'!BO$11,"m")+1&gt;=$E27,1,0)</f>
        <v>1</v>
      </c>
    </row>
    <row r="28" spans="1:67">
      <c r="A28" s="11"/>
      <c r="B28" s="11" t="s">
        <v>616</v>
      </c>
      <c r="C28" s="92">
        <v>20</v>
      </c>
      <c r="D28" s="92">
        <v>8</v>
      </c>
      <c r="E28" s="101">
        <f t="shared" si="0"/>
        <v>28</v>
      </c>
      <c r="F28" s="101"/>
      <c r="G28" s="90">
        <f>IF(DATEDIF('01 Major Assumptions'!$D$6,'01 Major Assumptions'!G$11,"m")+1&gt;=$E28,1,0)</f>
        <v>0</v>
      </c>
      <c r="H28" s="90">
        <f>IF(DATEDIF('01 Major Assumptions'!$D$6,'01 Major Assumptions'!H$11,"m")+1&gt;=$E28,1,0)</f>
        <v>0</v>
      </c>
      <c r="I28" s="90">
        <f>IF(DATEDIF('01 Major Assumptions'!$D$6,'01 Major Assumptions'!I$11,"m")+1&gt;=$E28,1,0)</f>
        <v>0</v>
      </c>
      <c r="J28" s="90">
        <f>IF(DATEDIF('01 Major Assumptions'!$D$6,'01 Major Assumptions'!J$11,"m")+1&gt;=$E28,1,0)</f>
        <v>0</v>
      </c>
      <c r="K28" s="90">
        <f>IF(DATEDIF('01 Major Assumptions'!$D$6,'01 Major Assumptions'!K$11,"m")+1&gt;=$E28,1,0)</f>
        <v>0</v>
      </c>
      <c r="L28" s="90">
        <f>IF(DATEDIF('01 Major Assumptions'!$D$6,'01 Major Assumptions'!L$11,"m")+1&gt;=$E28,1,0)</f>
        <v>0</v>
      </c>
      <c r="M28" s="90">
        <f>IF(DATEDIF('01 Major Assumptions'!$D$6,'01 Major Assumptions'!M$11,"m")+1&gt;=$E28,1,0)</f>
        <v>0</v>
      </c>
      <c r="N28" s="90">
        <f>IF(DATEDIF('01 Major Assumptions'!$D$6,'01 Major Assumptions'!N$11,"m")+1&gt;=$E28,1,0)</f>
        <v>0</v>
      </c>
      <c r="O28" s="90">
        <f>IF(DATEDIF('01 Major Assumptions'!$D$6,'01 Major Assumptions'!O$11,"m")+1&gt;=$E28,1,0)</f>
        <v>0</v>
      </c>
      <c r="P28" s="90">
        <f>IF(DATEDIF('01 Major Assumptions'!$D$6,'01 Major Assumptions'!P$11,"m")+1&gt;=$E28,1,0)</f>
        <v>0</v>
      </c>
      <c r="Q28" s="90">
        <f>IF(DATEDIF('01 Major Assumptions'!$D$6,'01 Major Assumptions'!Q$11,"m")+1&gt;=$E28,1,0)</f>
        <v>0</v>
      </c>
      <c r="R28" s="90">
        <f>IF(DATEDIF('01 Major Assumptions'!$D$6,'01 Major Assumptions'!R$11,"m")+1&gt;=$E28,1,0)</f>
        <v>0</v>
      </c>
      <c r="S28" s="90">
        <f>IF(DATEDIF('01 Major Assumptions'!$D$6,'01 Major Assumptions'!S$11,"m")+1&gt;=$E28,1,0)</f>
        <v>0</v>
      </c>
      <c r="T28" s="90">
        <f>IF(DATEDIF('01 Major Assumptions'!$D$6,'01 Major Assumptions'!T$11,"m")+1&gt;=$E28,1,0)</f>
        <v>0</v>
      </c>
      <c r="U28" s="90">
        <f>IF(DATEDIF('01 Major Assumptions'!$D$6,'01 Major Assumptions'!U$11,"m")+1&gt;=$E28,1,0)</f>
        <v>0</v>
      </c>
      <c r="V28" s="90">
        <f>IF(DATEDIF('01 Major Assumptions'!$D$6,'01 Major Assumptions'!V$11,"m")+1&gt;=$E28,1,0)</f>
        <v>0</v>
      </c>
      <c r="W28" s="90">
        <f>IF(DATEDIF('01 Major Assumptions'!$D$6,'01 Major Assumptions'!W$11,"m")+1&gt;=$E28,1,0)</f>
        <v>0</v>
      </c>
      <c r="X28" s="90">
        <f>IF(DATEDIF('01 Major Assumptions'!$D$6,'01 Major Assumptions'!X$11,"m")+1&gt;=$E28,1,0)</f>
        <v>0</v>
      </c>
      <c r="Y28" s="90">
        <f>IF(DATEDIF('01 Major Assumptions'!$D$6,'01 Major Assumptions'!Y$11,"m")+1&gt;=$E28,1,0)</f>
        <v>0</v>
      </c>
      <c r="Z28" s="90">
        <f>IF(DATEDIF('01 Major Assumptions'!$D$6,'01 Major Assumptions'!Z$11,"m")+1&gt;=$E28,1,0)</f>
        <v>0</v>
      </c>
      <c r="AA28" s="90">
        <f>IF(DATEDIF('01 Major Assumptions'!$D$6,'01 Major Assumptions'!AA$11,"m")+1&gt;=$E28,1,0)</f>
        <v>0</v>
      </c>
      <c r="AB28" s="90">
        <f>IF(DATEDIF('01 Major Assumptions'!$D$6,'01 Major Assumptions'!AB$11,"m")+1&gt;=$E28,1,0)</f>
        <v>0</v>
      </c>
      <c r="AC28" s="90">
        <f>IF(DATEDIF('01 Major Assumptions'!$D$6,'01 Major Assumptions'!AC$11,"m")+1&gt;=$E28,1,0)</f>
        <v>0</v>
      </c>
      <c r="AD28" s="90">
        <f>IF(DATEDIF('01 Major Assumptions'!$D$6,'01 Major Assumptions'!AD$11,"m")+1&gt;=$E28,1,0)</f>
        <v>0</v>
      </c>
      <c r="AE28" s="90">
        <f>IF(DATEDIF('01 Major Assumptions'!$D$6,'01 Major Assumptions'!AE$11,"m")+1&gt;=$E28,1,0)</f>
        <v>0</v>
      </c>
      <c r="AF28" s="90">
        <f>IF(DATEDIF('01 Major Assumptions'!$D$6,'01 Major Assumptions'!AF$11,"m")+1&gt;=$E28,1,0)</f>
        <v>0</v>
      </c>
      <c r="AG28" s="90">
        <f>IF(DATEDIF('01 Major Assumptions'!$D$6,'01 Major Assumptions'!AG$11,"m")+1&gt;=$E28,1,0)</f>
        <v>0</v>
      </c>
      <c r="AH28" s="90">
        <f>IF(DATEDIF('01 Major Assumptions'!$D$6,'01 Major Assumptions'!AH$11,"m")+1&gt;=$E28,1,0)</f>
        <v>1</v>
      </c>
      <c r="AI28" s="90">
        <f>IF(DATEDIF('01 Major Assumptions'!$D$6,'01 Major Assumptions'!AI$11,"m")+1&gt;=$E28,1,0)</f>
        <v>1</v>
      </c>
      <c r="AJ28" s="90">
        <f>IF(DATEDIF('01 Major Assumptions'!$D$6,'01 Major Assumptions'!AJ$11,"m")+1&gt;=$E28,1,0)</f>
        <v>1</v>
      </c>
      <c r="AK28" s="90">
        <f>IF(DATEDIF('01 Major Assumptions'!$D$6,'01 Major Assumptions'!AK$11,"m")+1&gt;=$E28,1,0)</f>
        <v>1</v>
      </c>
      <c r="AL28" s="90">
        <f>IF(DATEDIF('01 Major Assumptions'!$D$6,'01 Major Assumptions'!AL$11,"m")+1&gt;=$E28,1,0)</f>
        <v>1</v>
      </c>
      <c r="AM28" s="90">
        <f>IF(DATEDIF('01 Major Assumptions'!$D$6,'01 Major Assumptions'!AM$11,"m")+1&gt;=$E28,1,0)</f>
        <v>1</v>
      </c>
      <c r="AN28" s="90">
        <f>IF(DATEDIF('01 Major Assumptions'!$D$6,'01 Major Assumptions'!AN$11,"m")+1&gt;=$E28,1,0)</f>
        <v>1</v>
      </c>
      <c r="AO28" s="90">
        <f>IF(DATEDIF('01 Major Assumptions'!$D$6,'01 Major Assumptions'!AO$11,"m")+1&gt;=$E28,1,0)</f>
        <v>1</v>
      </c>
      <c r="AP28" s="90">
        <f>IF(DATEDIF('01 Major Assumptions'!$D$6,'01 Major Assumptions'!AP$11,"m")+1&gt;=$E28,1,0)</f>
        <v>1</v>
      </c>
      <c r="AQ28" s="90">
        <f>IF(DATEDIF('01 Major Assumptions'!$D$6,'01 Major Assumptions'!AQ$11,"m")+1&gt;=$E28,1,0)</f>
        <v>1</v>
      </c>
      <c r="AR28" s="90">
        <f>IF(DATEDIF('01 Major Assumptions'!$D$6,'01 Major Assumptions'!AR$11,"m")+1&gt;=$E28,1,0)</f>
        <v>1</v>
      </c>
      <c r="AS28" s="90">
        <f>IF(DATEDIF('01 Major Assumptions'!$D$6,'01 Major Assumptions'!AS$11,"m")+1&gt;=$E28,1,0)</f>
        <v>1</v>
      </c>
      <c r="AT28" s="90">
        <f>IF(DATEDIF('01 Major Assumptions'!$D$6,'01 Major Assumptions'!AT$11,"m")+1&gt;=$E28,1,0)</f>
        <v>1</v>
      </c>
      <c r="AU28" s="90">
        <f>IF(DATEDIF('01 Major Assumptions'!$D$6,'01 Major Assumptions'!AU$11,"m")+1&gt;=$E28,1,0)</f>
        <v>1</v>
      </c>
      <c r="AV28" s="90">
        <f>IF(DATEDIF('01 Major Assumptions'!$D$6,'01 Major Assumptions'!AV$11,"m")+1&gt;=$E28,1,0)</f>
        <v>1</v>
      </c>
      <c r="AW28" s="90">
        <f>IF(DATEDIF('01 Major Assumptions'!$D$6,'01 Major Assumptions'!AW$11,"m")+1&gt;=$E28,1,0)</f>
        <v>1</v>
      </c>
      <c r="AX28" s="90">
        <f>IF(DATEDIF('01 Major Assumptions'!$D$6,'01 Major Assumptions'!AX$11,"m")+1&gt;=$E28,1,0)</f>
        <v>1</v>
      </c>
      <c r="AY28" s="90">
        <f>IF(DATEDIF('01 Major Assumptions'!$D$6,'01 Major Assumptions'!AY$11,"m")+1&gt;=$E28,1,0)</f>
        <v>1</v>
      </c>
      <c r="AZ28" s="90">
        <f>IF(DATEDIF('01 Major Assumptions'!$D$6,'01 Major Assumptions'!AZ$11,"m")+1&gt;=$E28,1,0)</f>
        <v>1</v>
      </c>
      <c r="BA28" s="90">
        <f>IF(DATEDIF('01 Major Assumptions'!$D$6,'01 Major Assumptions'!BA$11,"m")+1&gt;=$E28,1,0)</f>
        <v>1</v>
      </c>
      <c r="BB28" s="90">
        <f>IF(DATEDIF('01 Major Assumptions'!$D$6,'01 Major Assumptions'!BB$11,"m")+1&gt;=$E28,1,0)</f>
        <v>1</v>
      </c>
      <c r="BC28" s="90">
        <f>IF(DATEDIF('01 Major Assumptions'!$D$6,'01 Major Assumptions'!BC$11,"m")+1&gt;=$E28,1,0)</f>
        <v>1</v>
      </c>
      <c r="BD28" s="90">
        <f>IF(DATEDIF('01 Major Assumptions'!$D$6,'01 Major Assumptions'!BD$11,"m")+1&gt;=$E28,1,0)</f>
        <v>1</v>
      </c>
      <c r="BE28" s="90">
        <f>IF(DATEDIF('01 Major Assumptions'!$D$6,'01 Major Assumptions'!BE$11,"m")+1&gt;=$E28,1,0)</f>
        <v>1</v>
      </c>
      <c r="BF28" s="90">
        <f>IF(DATEDIF('01 Major Assumptions'!$D$6,'01 Major Assumptions'!BF$11,"m")+1&gt;=$E28,1,0)</f>
        <v>1</v>
      </c>
      <c r="BG28" s="90">
        <f>IF(DATEDIF('01 Major Assumptions'!$D$6,'01 Major Assumptions'!BG$11,"m")+1&gt;=$E28,1,0)</f>
        <v>1</v>
      </c>
      <c r="BH28" s="90">
        <f>IF(DATEDIF('01 Major Assumptions'!$D$6,'01 Major Assumptions'!BH$11,"m")+1&gt;=$E28,1,0)</f>
        <v>1</v>
      </c>
      <c r="BI28" s="90">
        <f>IF(DATEDIF('01 Major Assumptions'!$D$6,'01 Major Assumptions'!BI$11,"m")+1&gt;=$E28,1,0)</f>
        <v>1</v>
      </c>
      <c r="BJ28" s="90">
        <f>IF(DATEDIF('01 Major Assumptions'!$D$6,'01 Major Assumptions'!BJ$11,"m")+1&gt;=$E28,1,0)</f>
        <v>1</v>
      </c>
      <c r="BK28" s="90">
        <f>IF(DATEDIF('01 Major Assumptions'!$D$6,'01 Major Assumptions'!BK$11,"m")+1&gt;=$E28,1,0)</f>
        <v>1</v>
      </c>
      <c r="BL28" s="90">
        <f>IF(DATEDIF('01 Major Assumptions'!$D$6,'01 Major Assumptions'!BL$11,"m")+1&gt;=$E28,1,0)</f>
        <v>1</v>
      </c>
      <c r="BM28" s="90">
        <f>IF(DATEDIF('01 Major Assumptions'!$D$6,'01 Major Assumptions'!BM$11,"m")+1&gt;=$E28,1,0)</f>
        <v>1</v>
      </c>
      <c r="BN28" s="90">
        <f>IF(DATEDIF('01 Major Assumptions'!$D$6,'01 Major Assumptions'!BN$11,"m")+1&gt;=$E28,1,0)</f>
        <v>1</v>
      </c>
      <c r="BO28" s="90">
        <f>IF(DATEDIF('01 Major Assumptions'!$D$6,'01 Major Assumptions'!BO$11,"m")+1&gt;=$E28,1,0)</f>
        <v>1</v>
      </c>
    </row>
    <row r="29" spans="1:67">
      <c r="A29" s="11"/>
      <c r="B29" s="11" t="s">
        <v>617</v>
      </c>
      <c r="C29" s="92">
        <v>16</v>
      </c>
      <c r="D29" s="92">
        <v>4</v>
      </c>
      <c r="E29" s="101">
        <f t="shared" si="0"/>
        <v>20</v>
      </c>
      <c r="F29" s="101"/>
      <c r="G29" s="90">
        <f>IF(DATEDIF('01 Major Assumptions'!$D$6,'01 Major Assumptions'!G$11,"m")+1&gt;=$E29,1,0)</f>
        <v>0</v>
      </c>
      <c r="H29" s="90">
        <f>IF(DATEDIF('01 Major Assumptions'!$D$6,'01 Major Assumptions'!H$11,"m")+1&gt;=$E29,1,0)</f>
        <v>0</v>
      </c>
      <c r="I29" s="90">
        <f>IF(DATEDIF('01 Major Assumptions'!$D$6,'01 Major Assumptions'!I$11,"m")+1&gt;=$E29,1,0)</f>
        <v>0</v>
      </c>
      <c r="J29" s="90">
        <f>IF(DATEDIF('01 Major Assumptions'!$D$6,'01 Major Assumptions'!J$11,"m")+1&gt;=$E29,1,0)</f>
        <v>0</v>
      </c>
      <c r="K29" s="90">
        <f>IF(DATEDIF('01 Major Assumptions'!$D$6,'01 Major Assumptions'!K$11,"m")+1&gt;=$E29,1,0)</f>
        <v>0</v>
      </c>
      <c r="L29" s="90">
        <f>IF(DATEDIF('01 Major Assumptions'!$D$6,'01 Major Assumptions'!L$11,"m")+1&gt;=$E29,1,0)</f>
        <v>0</v>
      </c>
      <c r="M29" s="90">
        <f>IF(DATEDIF('01 Major Assumptions'!$D$6,'01 Major Assumptions'!M$11,"m")+1&gt;=$E29,1,0)</f>
        <v>0</v>
      </c>
      <c r="N29" s="90">
        <f>IF(DATEDIF('01 Major Assumptions'!$D$6,'01 Major Assumptions'!N$11,"m")+1&gt;=$E29,1,0)</f>
        <v>0</v>
      </c>
      <c r="O29" s="90">
        <f>IF(DATEDIF('01 Major Assumptions'!$D$6,'01 Major Assumptions'!O$11,"m")+1&gt;=$E29,1,0)</f>
        <v>0</v>
      </c>
      <c r="P29" s="90">
        <f>IF(DATEDIF('01 Major Assumptions'!$D$6,'01 Major Assumptions'!P$11,"m")+1&gt;=$E29,1,0)</f>
        <v>0</v>
      </c>
      <c r="Q29" s="90">
        <f>IF(DATEDIF('01 Major Assumptions'!$D$6,'01 Major Assumptions'!Q$11,"m")+1&gt;=$E29,1,0)</f>
        <v>0</v>
      </c>
      <c r="R29" s="90">
        <f>IF(DATEDIF('01 Major Assumptions'!$D$6,'01 Major Assumptions'!R$11,"m")+1&gt;=$E29,1,0)</f>
        <v>0</v>
      </c>
      <c r="S29" s="90">
        <f>IF(DATEDIF('01 Major Assumptions'!$D$6,'01 Major Assumptions'!S$11,"m")+1&gt;=$E29,1,0)</f>
        <v>0</v>
      </c>
      <c r="T29" s="90">
        <f>IF(DATEDIF('01 Major Assumptions'!$D$6,'01 Major Assumptions'!T$11,"m")+1&gt;=$E29,1,0)</f>
        <v>0</v>
      </c>
      <c r="U29" s="90">
        <f>IF(DATEDIF('01 Major Assumptions'!$D$6,'01 Major Assumptions'!U$11,"m")+1&gt;=$E29,1,0)</f>
        <v>0</v>
      </c>
      <c r="V29" s="90">
        <f>IF(DATEDIF('01 Major Assumptions'!$D$6,'01 Major Assumptions'!V$11,"m")+1&gt;=$E29,1,0)</f>
        <v>0</v>
      </c>
      <c r="W29" s="90">
        <f>IF(DATEDIF('01 Major Assumptions'!$D$6,'01 Major Assumptions'!W$11,"m")+1&gt;=$E29,1,0)</f>
        <v>0</v>
      </c>
      <c r="X29" s="90">
        <f>IF(DATEDIF('01 Major Assumptions'!$D$6,'01 Major Assumptions'!X$11,"m")+1&gt;=$E29,1,0)</f>
        <v>0</v>
      </c>
      <c r="Y29" s="90">
        <f>IF(DATEDIF('01 Major Assumptions'!$D$6,'01 Major Assumptions'!Y$11,"m")+1&gt;=$E29,1,0)</f>
        <v>0</v>
      </c>
      <c r="Z29" s="90">
        <f>IF(DATEDIF('01 Major Assumptions'!$D$6,'01 Major Assumptions'!Z$11,"m")+1&gt;=$E29,1,0)</f>
        <v>1</v>
      </c>
      <c r="AA29" s="90">
        <f>IF(DATEDIF('01 Major Assumptions'!$D$6,'01 Major Assumptions'!AA$11,"m")+1&gt;=$E29,1,0)</f>
        <v>1</v>
      </c>
      <c r="AB29" s="90">
        <f>IF(DATEDIF('01 Major Assumptions'!$D$6,'01 Major Assumptions'!AB$11,"m")+1&gt;=$E29,1,0)</f>
        <v>1</v>
      </c>
      <c r="AC29" s="90">
        <f>IF(DATEDIF('01 Major Assumptions'!$D$6,'01 Major Assumptions'!AC$11,"m")+1&gt;=$E29,1,0)</f>
        <v>1</v>
      </c>
      <c r="AD29" s="90">
        <f>IF(DATEDIF('01 Major Assumptions'!$D$6,'01 Major Assumptions'!AD$11,"m")+1&gt;=$E29,1,0)</f>
        <v>1</v>
      </c>
      <c r="AE29" s="90">
        <f>IF(DATEDIF('01 Major Assumptions'!$D$6,'01 Major Assumptions'!AE$11,"m")+1&gt;=$E29,1,0)</f>
        <v>1</v>
      </c>
      <c r="AF29" s="90">
        <f>IF(DATEDIF('01 Major Assumptions'!$D$6,'01 Major Assumptions'!AF$11,"m")+1&gt;=$E29,1,0)</f>
        <v>1</v>
      </c>
      <c r="AG29" s="90">
        <f>IF(DATEDIF('01 Major Assumptions'!$D$6,'01 Major Assumptions'!AG$11,"m")+1&gt;=$E29,1,0)</f>
        <v>1</v>
      </c>
      <c r="AH29" s="90">
        <f>IF(DATEDIF('01 Major Assumptions'!$D$6,'01 Major Assumptions'!AH$11,"m")+1&gt;=$E29,1,0)</f>
        <v>1</v>
      </c>
      <c r="AI29" s="90">
        <f>IF(DATEDIF('01 Major Assumptions'!$D$6,'01 Major Assumptions'!AI$11,"m")+1&gt;=$E29,1,0)</f>
        <v>1</v>
      </c>
      <c r="AJ29" s="90">
        <f>IF(DATEDIF('01 Major Assumptions'!$D$6,'01 Major Assumptions'!AJ$11,"m")+1&gt;=$E29,1,0)</f>
        <v>1</v>
      </c>
      <c r="AK29" s="90">
        <f>IF(DATEDIF('01 Major Assumptions'!$D$6,'01 Major Assumptions'!AK$11,"m")+1&gt;=$E29,1,0)</f>
        <v>1</v>
      </c>
      <c r="AL29" s="90">
        <f>IF(DATEDIF('01 Major Assumptions'!$D$6,'01 Major Assumptions'!AL$11,"m")+1&gt;=$E29,1,0)</f>
        <v>1</v>
      </c>
      <c r="AM29" s="90">
        <f>IF(DATEDIF('01 Major Assumptions'!$D$6,'01 Major Assumptions'!AM$11,"m")+1&gt;=$E29,1,0)</f>
        <v>1</v>
      </c>
      <c r="AN29" s="90">
        <f>IF(DATEDIF('01 Major Assumptions'!$D$6,'01 Major Assumptions'!AN$11,"m")+1&gt;=$E29,1,0)</f>
        <v>1</v>
      </c>
      <c r="AO29" s="90">
        <f>IF(DATEDIF('01 Major Assumptions'!$D$6,'01 Major Assumptions'!AO$11,"m")+1&gt;=$E29,1,0)</f>
        <v>1</v>
      </c>
      <c r="AP29" s="90">
        <f>IF(DATEDIF('01 Major Assumptions'!$D$6,'01 Major Assumptions'!AP$11,"m")+1&gt;=$E29,1,0)</f>
        <v>1</v>
      </c>
      <c r="AQ29" s="90">
        <f>IF(DATEDIF('01 Major Assumptions'!$D$6,'01 Major Assumptions'!AQ$11,"m")+1&gt;=$E29,1,0)</f>
        <v>1</v>
      </c>
      <c r="AR29" s="90">
        <f>IF(DATEDIF('01 Major Assumptions'!$D$6,'01 Major Assumptions'!AR$11,"m")+1&gt;=$E29,1,0)</f>
        <v>1</v>
      </c>
      <c r="AS29" s="90">
        <f>IF(DATEDIF('01 Major Assumptions'!$D$6,'01 Major Assumptions'!AS$11,"m")+1&gt;=$E29,1,0)</f>
        <v>1</v>
      </c>
      <c r="AT29" s="90">
        <f>IF(DATEDIF('01 Major Assumptions'!$D$6,'01 Major Assumptions'!AT$11,"m")+1&gt;=$E29,1,0)</f>
        <v>1</v>
      </c>
      <c r="AU29" s="90">
        <f>IF(DATEDIF('01 Major Assumptions'!$D$6,'01 Major Assumptions'!AU$11,"m")+1&gt;=$E29,1,0)</f>
        <v>1</v>
      </c>
      <c r="AV29" s="90">
        <f>IF(DATEDIF('01 Major Assumptions'!$D$6,'01 Major Assumptions'!AV$11,"m")+1&gt;=$E29,1,0)</f>
        <v>1</v>
      </c>
      <c r="AW29" s="90">
        <f>IF(DATEDIF('01 Major Assumptions'!$D$6,'01 Major Assumptions'!AW$11,"m")+1&gt;=$E29,1,0)</f>
        <v>1</v>
      </c>
      <c r="AX29" s="90">
        <f>IF(DATEDIF('01 Major Assumptions'!$D$6,'01 Major Assumptions'!AX$11,"m")+1&gt;=$E29,1,0)</f>
        <v>1</v>
      </c>
      <c r="AY29" s="90">
        <f>IF(DATEDIF('01 Major Assumptions'!$D$6,'01 Major Assumptions'!AY$11,"m")+1&gt;=$E29,1,0)</f>
        <v>1</v>
      </c>
      <c r="AZ29" s="90">
        <f>IF(DATEDIF('01 Major Assumptions'!$D$6,'01 Major Assumptions'!AZ$11,"m")+1&gt;=$E29,1,0)</f>
        <v>1</v>
      </c>
      <c r="BA29" s="90">
        <f>IF(DATEDIF('01 Major Assumptions'!$D$6,'01 Major Assumptions'!BA$11,"m")+1&gt;=$E29,1,0)</f>
        <v>1</v>
      </c>
      <c r="BB29" s="90">
        <f>IF(DATEDIF('01 Major Assumptions'!$D$6,'01 Major Assumptions'!BB$11,"m")+1&gt;=$E29,1,0)</f>
        <v>1</v>
      </c>
      <c r="BC29" s="90">
        <f>IF(DATEDIF('01 Major Assumptions'!$D$6,'01 Major Assumptions'!BC$11,"m")+1&gt;=$E29,1,0)</f>
        <v>1</v>
      </c>
      <c r="BD29" s="90">
        <f>IF(DATEDIF('01 Major Assumptions'!$D$6,'01 Major Assumptions'!BD$11,"m")+1&gt;=$E29,1,0)</f>
        <v>1</v>
      </c>
      <c r="BE29" s="90">
        <f>IF(DATEDIF('01 Major Assumptions'!$D$6,'01 Major Assumptions'!BE$11,"m")+1&gt;=$E29,1,0)</f>
        <v>1</v>
      </c>
      <c r="BF29" s="90">
        <f>IF(DATEDIF('01 Major Assumptions'!$D$6,'01 Major Assumptions'!BF$11,"m")+1&gt;=$E29,1,0)</f>
        <v>1</v>
      </c>
      <c r="BG29" s="90">
        <f>IF(DATEDIF('01 Major Assumptions'!$D$6,'01 Major Assumptions'!BG$11,"m")+1&gt;=$E29,1,0)</f>
        <v>1</v>
      </c>
      <c r="BH29" s="90">
        <f>IF(DATEDIF('01 Major Assumptions'!$D$6,'01 Major Assumptions'!BH$11,"m")+1&gt;=$E29,1,0)</f>
        <v>1</v>
      </c>
      <c r="BI29" s="90">
        <f>IF(DATEDIF('01 Major Assumptions'!$D$6,'01 Major Assumptions'!BI$11,"m")+1&gt;=$E29,1,0)</f>
        <v>1</v>
      </c>
      <c r="BJ29" s="90">
        <f>IF(DATEDIF('01 Major Assumptions'!$D$6,'01 Major Assumptions'!BJ$11,"m")+1&gt;=$E29,1,0)</f>
        <v>1</v>
      </c>
      <c r="BK29" s="90">
        <f>IF(DATEDIF('01 Major Assumptions'!$D$6,'01 Major Assumptions'!BK$11,"m")+1&gt;=$E29,1,0)</f>
        <v>1</v>
      </c>
      <c r="BL29" s="90">
        <f>IF(DATEDIF('01 Major Assumptions'!$D$6,'01 Major Assumptions'!BL$11,"m")+1&gt;=$E29,1,0)</f>
        <v>1</v>
      </c>
      <c r="BM29" s="90">
        <f>IF(DATEDIF('01 Major Assumptions'!$D$6,'01 Major Assumptions'!BM$11,"m")+1&gt;=$E29,1,0)</f>
        <v>1</v>
      </c>
      <c r="BN29" s="90">
        <f>IF(DATEDIF('01 Major Assumptions'!$D$6,'01 Major Assumptions'!BN$11,"m")+1&gt;=$E29,1,0)</f>
        <v>1</v>
      </c>
      <c r="BO29" s="90">
        <f>IF(DATEDIF('01 Major Assumptions'!$D$6,'01 Major Assumptions'!BO$11,"m")+1&gt;=$E29,1,0)</f>
        <v>1</v>
      </c>
    </row>
    <row r="30" spans="1:67">
      <c r="A30" s="11"/>
      <c r="B30" s="11" t="s">
        <v>618</v>
      </c>
      <c r="C30" s="92">
        <v>18</v>
      </c>
      <c r="D30" s="92">
        <v>4</v>
      </c>
      <c r="E30" s="101">
        <f t="shared" si="0"/>
        <v>22</v>
      </c>
      <c r="F30" s="101"/>
      <c r="G30" s="90">
        <f>IF(DATEDIF('01 Major Assumptions'!$D$6,'01 Major Assumptions'!G$11,"m")+1&gt;=$E30,1,0)</f>
        <v>0</v>
      </c>
      <c r="H30" s="90">
        <f>IF(DATEDIF('01 Major Assumptions'!$D$6,'01 Major Assumptions'!H$11,"m")+1&gt;=$E30,1,0)</f>
        <v>0</v>
      </c>
      <c r="I30" s="90">
        <f>IF(DATEDIF('01 Major Assumptions'!$D$6,'01 Major Assumptions'!I$11,"m")+1&gt;=$E30,1,0)</f>
        <v>0</v>
      </c>
      <c r="J30" s="90">
        <f>IF(DATEDIF('01 Major Assumptions'!$D$6,'01 Major Assumptions'!J$11,"m")+1&gt;=$E30,1,0)</f>
        <v>0</v>
      </c>
      <c r="K30" s="90">
        <f>IF(DATEDIF('01 Major Assumptions'!$D$6,'01 Major Assumptions'!K$11,"m")+1&gt;=$E30,1,0)</f>
        <v>0</v>
      </c>
      <c r="L30" s="90">
        <f>IF(DATEDIF('01 Major Assumptions'!$D$6,'01 Major Assumptions'!L$11,"m")+1&gt;=$E30,1,0)</f>
        <v>0</v>
      </c>
      <c r="M30" s="90">
        <f>IF(DATEDIF('01 Major Assumptions'!$D$6,'01 Major Assumptions'!M$11,"m")+1&gt;=$E30,1,0)</f>
        <v>0</v>
      </c>
      <c r="N30" s="90">
        <f>IF(DATEDIF('01 Major Assumptions'!$D$6,'01 Major Assumptions'!N$11,"m")+1&gt;=$E30,1,0)</f>
        <v>0</v>
      </c>
      <c r="O30" s="90">
        <f>IF(DATEDIF('01 Major Assumptions'!$D$6,'01 Major Assumptions'!O$11,"m")+1&gt;=$E30,1,0)</f>
        <v>0</v>
      </c>
      <c r="P30" s="90">
        <f>IF(DATEDIF('01 Major Assumptions'!$D$6,'01 Major Assumptions'!P$11,"m")+1&gt;=$E30,1,0)</f>
        <v>0</v>
      </c>
      <c r="Q30" s="90">
        <f>IF(DATEDIF('01 Major Assumptions'!$D$6,'01 Major Assumptions'!Q$11,"m")+1&gt;=$E30,1,0)</f>
        <v>0</v>
      </c>
      <c r="R30" s="90">
        <f>IF(DATEDIF('01 Major Assumptions'!$D$6,'01 Major Assumptions'!R$11,"m")+1&gt;=$E30,1,0)</f>
        <v>0</v>
      </c>
      <c r="S30" s="90">
        <f>IF(DATEDIF('01 Major Assumptions'!$D$6,'01 Major Assumptions'!S$11,"m")+1&gt;=$E30,1,0)</f>
        <v>0</v>
      </c>
      <c r="T30" s="90">
        <f>IF(DATEDIF('01 Major Assumptions'!$D$6,'01 Major Assumptions'!T$11,"m")+1&gt;=$E30,1,0)</f>
        <v>0</v>
      </c>
      <c r="U30" s="90">
        <f>IF(DATEDIF('01 Major Assumptions'!$D$6,'01 Major Assumptions'!U$11,"m")+1&gt;=$E30,1,0)</f>
        <v>0</v>
      </c>
      <c r="V30" s="90">
        <f>IF(DATEDIF('01 Major Assumptions'!$D$6,'01 Major Assumptions'!V$11,"m")+1&gt;=$E30,1,0)</f>
        <v>0</v>
      </c>
      <c r="W30" s="90">
        <f>IF(DATEDIF('01 Major Assumptions'!$D$6,'01 Major Assumptions'!W$11,"m")+1&gt;=$E30,1,0)</f>
        <v>0</v>
      </c>
      <c r="X30" s="90">
        <f>IF(DATEDIF('01 Major Assumptions'!$D$6,'01 Major Assumptions'!X$11,"m")+1&gt;=$E30,1,0)</f>
        <v>0</v>
      </c>
      <c r="Y30" s="90">
        <f>IF(DATEDIF('01 Major Assumptions'!$D$6,'01 Major Assumptions'!Y$11,"m")+1&gt;=$E30,1,0)</f>
        <v>0</v>
      </c>
      <c r="Z30" s="90">
        <f>IF(DATEDIF('01 Major Assumptions'!$D$6,'01 Major Assumptions'!Z$11,"m")+1&gt;=$E30,1,0)</f>
        <v>0</v>
      </c>
      <c r="AA30" s="90">
        <f>IF(DATEDIF('01 Major Assumptions'!$D$6,'01 Major Assumptions'!AA$11,"m")+1&gt;=$E30,1,0)</f>
        <v>0</v>
      </c>
      <c r="AB30" s="90">
        <f>IF(DATEDIF('01 Major Assumptions'!$D$6,'01 Major Assumptions'!AB$11,"m")+1&gt;=$E30,1,0)</f>
        <v>1</v>
      </c>
      <c r="AC30" s="90">
        <f>IF(DATEDIF('01 Major Assumptions'!$D$6,'01 Major Assumptions'!AC$11,"m")+1&gt;=$E30,1,0)</f>
        <v>1</v>
      </c>
      <c r="AD30" s="90">
        <f>IF(DATEDIF('01 Major Assumptions'!$D$6,'01 Major Assumptions'!AD$11,"m")+1&gt;=$E30,1,0)</f>
        <v>1</v>
      </c>
      <c r="AE30" s="90">
        <f>IF(DATEDIF('01 Major Assumptions'!$D$6,'01 Major Assumptions'!AE$11,"m")+1&gt;=$E30,1,0)</f>
        <v>1</v>
      </c>
      <c r="AF30" s="90">
        <f>IF(DATEDIF('01 Major Assumptions'!$D$6,'01 Major Assumptions'!AF$11,"m")+1&gt;=$E30,1,0)</f>
        <v>1</v>
      </c>
      <c r="AG30" s="90">
        <f>IF(DATEDIF('01 Major Assumptions'!$D$6,'01 Major Assumptions'!AG$11,"m")+1&gt;=$E30,1,0)</f>
        <v>1</v>
      </c>
      <c r="AH30" s="90">
        <f>IF(DATEDIF('01 Major Assumptions'!$D$6,'01 Major Assumptions'!AH$11,"m")+1&gt;=$E30,1,0)</f>
        <v>1</v>
      </c>
      <c r="AI30" s="90">
        <f>IF(DATEDIF('01 Major Assumptions'!$D$6,'01 Major Assumptions'!AI$11,"m")+1&gt;=$E30,1,0)</f>
        <v>1</v>
      </c>
      <c r="AJ30" s="90">
        <f>IF(DATEDIF('01 Major Assumptions'!$D$6,'01 Major Assumptions'!AJ$11,"m")+1&gt;=$E30,1,0)</f>
        <v>1</v>
      </c>
      <c r="AK30" s="90">
        <f>IF(DATEDIF('01 Major Assumptions'!$D$6,'01 Major Assumptions'!AK$11,"m")+1&gt;=$E30,1,0)</f>
        <v>1</v>
      </c>
      <c r="AL30" s="90">
        <f>IF(DATEDIF('01 Major Assumptions'!$D$6,'01 Major Assumptions'!AL$11,"m")+1&gt;=$E30,1,0)</f>
        <v>1</v>
      </c>
      <c r="AM30" s="90">
        <f>IF(DATEDIF('01 Major Assumptions'!$D$6,'01 Major Assumptions'!AM$11,"m")+1&gt;=$E30,1,0)</f>
        <v>1</v>
      </c>
      <c r="AN30" s="90">
        <f>IF(DATEDIF('01 Major Assumptions'!$D$6,'01 Major Assumptions'!AN$11,"m")+1&gt;=$E30,1,0)</f>
        <v>1</v>
      </c>
      <c r="AO30" s="90">
        <f>IF(DATEDIF('01 Major Assumptions'!$D$6,'01 Major Assumptions'!AO$11,"m")+1&gt;=$E30,1,0)</f>
        <v>1</v>
      </c>
      <c r="AP30" s="90">
        <f>IF(DATEDIF('01 Major Assumptions'!$D$6,'01 Major Assumptions'!AP$11,"m")+1&gt;=$E30,1,0)</f>
        <v>1</v>
      </c>
      <c r="AQ30" s="90">
        <f>IF(DATEDIF('01 Major Assumptions'!$D$6,'01 Major Assumptions'!AQ$11,"m")+1&gt;=$E30,1,0)</f>
        <v>1</v>
      </c>
      <c r="AR30" s="90">
        <f>IF(DATEDIF('01 Major Assumptions'!$D$6,'01 Major Assumptions'!AR$11,"m")+1&gt;=$E30,1,0)</f>
        <v>1</v>
      </c>
      <c r="AS30" s="90">
        <f>IF(DATEDIF('01 Major Assumptions'!$D$6,'01 Major Assumptions'!AS$11,"m")+1&gt;=$E30,1,0)</f>
        <v>1</v>
      </c>
      <c r="AT30" s="90">
        <f>IF(DATEDIF('01 Major Assumptions'!$D$6,'01 Major Assumptions'!AT$11,"m")+1&gt;=$E30,1,0)</f>
        <v>1</v>
      </c>
      <c r="AU30" s="90">
        <f>IF(DATEDIF('01 Major Assumptions'!$D$6,'01 Major Assumptions'!AU$11,"m")+1&gt;=$E30,1,0)</f>
        <v>1</v>
      </c>
      <c r="AV30" s="90">
        <f>IF(DATEDIF('01 Major Assumptions'!$D$6,'01 Major Assumptions'!AV$11,"m")+1&gt;=$E30,1,0)</f>
        <v>1</v>
      </c>
      <c r="AW30" s="90">
        <f>IF(DATEDIF('01 Major Assumptions'!$D$6,'01 Major Assumptions'!AW$11,"m")+1&gt;=$E30,1,0)</f>
        <v>1</v>
      </c>
      <c r="AX30" s="90">
        <f>IF(DATEDIF('01 Major Assumptions'!$D$6,'01 Major Assumptions'!AX$11,"m")+1&gt;=$E30,1,0)</f>
        <v>1</v>
      </c>
      <c r="AY30" s="90">
        <f>IF(DATEDIF('01 Major Assumptions'!$D$6,'01 Major Assumptions'!AY$11,"m")+1&gt;=$E30,1,0)</f>
        <v>1</v>
      </c>
      <c r="AZ30" s="90">
        <f>IF(DATEDIF('01 Major Assumptions'!$D$6,'01 Major Assumptions'!AZ$11,"m")+1&gt;=$E30,1,0)</f>
        <v>1</v>
      </c>
      <c r="BA30" s="90">
        <f>IF(DATEDIF('01 Major Assumptions'!$D$6,'01 Major Assumptions'!BA$11,"m")+1&gt;=$E30,1,0)</f>
        <v>1</v>
      </c>
      <c r="BB30" s="90">
        <f>IF(DATEDIF('01 Major Assumptions'!$D$6,'01 Major Assumptions'!BB$11,"m")+1&gt;=$E30,1,0)</f>
        <v>1</v>
      </c>
      <c r="BC30" s="90">
        <f>IF(DATEDIF('01 Major Assumptions'!$D$6,'01 Major Assumptions'!BC$11,"m")+1&gt;=$E30,1,0)</f>
        <v>1</v>
      </c>
      <c r="BD30" s="90">
        <f>IF(DATEDIF('01 Major Assumptions'!$D$6,'01 Major Assumptions'!BD$11,"m")+1&gt;=$E30,1,0)</f>
        <v>1</v>
      </c>
      <c r="BE30" s="90">
        <f>IF(DATEDIF('01 Major Assumptions'!$D$6,'01 Major Assumptions'!BE$11,"m")+1&gt;=$E30,1,0)</f>
        <v>1</v>
      </c>
      <c r="BF30" s="90">
        <f>IF(DATEDIF('01 Major Assumptions'!$D$6,'01 Major Assumptions'!BF$11,"m")+1&gt;=$E30,1,0)</f>
        <v>1</v>
      </c>
      <c r="BG30" s="90">
        <f>IF(DATEDIF('01 Major Assumptions'!$D$6,'01 Major Assumptions'!BG$11,"m")+1&gt;=$E30,1,0)</f>
        <v>1</v>
      </c>
      <c r="BH30" s="90">
        <f>IF(DATEDIF('01 Major Assumptions'!$D$6,'01 Major Assumptions'!BH$11,"m")+1&gt;=$E30,1,0)</f>
        <v>1</v>
      </c>
      <c r="BI30" s="90">
        <f>IF(DATEDIF('01 Major Assumptions'!$D$6,'01 Major Assumptions'!BI$11,"m")+1&gt;=$E30,1,0)</f>
        <v>1</v>
      </c>
      <c r="BJ30" s="90">
        <f>IF(DATEDIF('01 Major Assumptions'!$D$6,'01 Major Assumptions'!BJ$11,"m")+1&gt;=$E30,1,0)</f>
        <v>1</v>
      </c>
      <c r="BK30" s="90">
        <f>IF(DATEDIF('01 Major Assumptions'!$D$6,'01 Major Assumptions'!BK$11,"m")+1&gt;=$E30,1,0)</f>
        <v>1</v>
      </c>
      <c r="BL30" s="90">
        <f>IF(DATEDIF('01 Major Assumptions'!$D$6,'01 Major Assumptions'!BL$11,"m")+1&gt;=$E30,1,0)</f>
        <v>1</v>
      </c>
      <c r="BM30" s="90">
        <f>IF(DATEDIF('01 Major Assumptions'!$D$6,'01 Major Assumptions'!BM$11,"m")+1&gt;=$E30,1,0)</f>
        <v>1</v>
      </c>
      <c r="BN30" s="90">
        <f>IF(DATEDIF('01 Major Assumptions'!$D$6,'01 Major Assumptions'!BN$11,"m")+1&gt;=$E30,1,0)</f>
        <v>1</v>
      </c>
      <c r="BO30" s="90">
        <f>IF(DATEDIF('01 Major Assumptions'!$D$6,'01 Major Assumptions'!BO$11,"m")+1&gt;=$E30,1,0)</f>
        <v>1</v>
      </c>
    </row>
    <row r="31" spans="1:67">
      <c r="A31" s="11"/>
      <c r="B31" s="11" t="s">
        <v>619</v>
      </c>
      <c r="C31" s="92">
        <v>14</v>
      </c>
      <c r="D31" s="92">
        <v>12</v>
      </c>
      <c r="E31" s="101">
        <f t="shared" si="0"/>
        <v>26</v>
      </c>
      <c r="F31" s="101"/>
      <c r="G31" s="90">
        <f>IF(DATEDIF('01 Major Assumptions'!$D$6,'01 Major Assumptions'!G$11,"m")+1&gt;=$E31,1,0)</f>
        <v>0</v>
      </c>
      <c r="H31" s="90">
        <f>IF(DATEDIF('01 Major Assumptions'!$D$6,'01 Major Assumptions'!H$11,"m")+1&gt;=$E31,1,0)</f>
        <v>0</v>
      </c>
      <c r="I31" s="90">
        <f>IF(DATEDIF('01 Major Assumptions'!$D$6,'01 Major Assumptions'!I$11,"m")+1&gt;=$E31,1,0)</f>
        <v>0</v>
      </c>
      <c r="J31" s="90">
        <f>IF(DATEDIF('01 Major Assumptions'!$D$6,'01 Major Assumptions'!J$11,"m")+1&gt;=$E31,1,0)</f>
        <v>0</v>
      </c>
      <c r="K31" s="90">
        <f>IF(DATEDIF('01 Major Assumptions'!$D$6,'01 Major Assumptions'!K$11,"m")+1&gt;=$E31,1,0)</f>
        <v>0</v>
      </c>
      <c r="L31" s="90">
        <f>IF(DATEDIF('01 Major Assumptions'!$D$6,'01 Major Assumptions'!L$11,"m")+1&gt;=$E31,1,0)</f>
        <v>0</v>
      </c>
      <c r="M31" s="90">
        <f>IF(DATEDIF('01 Major Assumptions'!$D$6,'01 Major Assumptions'!M$11,"m")+1&gt;=$E31,1,0)</f>
        <v>0</v>
      </c>
      <c r="N31" s="90">
        <f>IF(DATEDIF('01 Major Assumptions'!$D$6,'01 Major Assumptions'!N$11,"m")+1&gt;=$E31,1,0)</f>
        <v>0</v>
      </c>
      <c r="O31" s="90">
        <f>IF(DATEDIF('01 Major Assumptions'!$D$6,'01 Major Assumptions'!O$11,"m")+1&gt;=$E31,1,0)</f>
        <v>0</v>
      </c>
      <c r="P31" s="90">
        <f>IF(DATEDIF('01 Major Assumptions'!$D$6,'01 Major Assumptions'!P$11,"m")+1&gt;=$E31,1,0)</f>
        <v>0</v>
      </c>
      <c r="Q31" s="90">
        <f>IF(DATEDIF('01 Major Assumptions'!$D$6,'01 Major Assumptions'!Q$11,"m")+1&gt;=$E31,1,0)</f>
        <v>0</v>
      </c>
      <c r="R31" s="90">
        <f>IF(DATEDIF('01 Major Assumptions'!$D$6,'01 Major Assumptions'!R$11,"m")+1&gt;=$E31,1,0)</f>
        <v>0</v>
      </c>
      <c r="S31" s="90">
        <f>IF(DATEDIF('01 Major Assumptions'!$D$6,'01 Major Assumptions'!S$11,"m")+1&gt;=$E31,1,0)</f>
        <v>0</v>
      </c>
      <c r="T31" s="90">
        <f>IF(DATEDIF('01 Major Assumptions'!$D$6,'01 Major Assumptions'!T$11,"m")+1&gt;=$E31,1,0)</f>
        <v>0</v>
      </c>
      <c r="U31" s="90">
        <f>IF(DATEDIF('01 Major Assumptions'!$D$6,'01 Major Assumptions'!U$11,"m")+1&gt;=$E31,1,0)</f>
        <v>0</v>
      </c>
      <c r="V31" s="90">
        <f>IF(DATEDIF('01 Major Assumptions'!$D$6,'01 Major Assumptions'!V$11,"m")+1&gt;=$E31,1,0)</f>
        <v>0</v>
      </c>
      <c r="W31" s="90">
        <f>IF(DATEDIF('01 Major Assumptions'!$D$6,'01 Major Assumptions'!W$11,"m")+1&gt;=$E31,1,0)</f>
        <v>0</v>
      </c>
      <c r="X31" s="90">
        <f>IF(DATEDIF('01 Major Assumptions'!$D$6,'01 Major Assumptions'!X$11,"m")+1&gt;=$E31,1,0)</f>
        <v>0</v>
      </c>
      <c r="Y31" s="90">
        <f>IF(DATEDIF('01 Major Assumptions'!$D$6,'01 Major Assumptions'!Y$11,"m")+1&gt;=$E31,1,0)</f>
        <v>0</v>
      </c>
      <c r="Z31" s="90">
        <f>IF(DATEDIF('01 Major Assumptions'!$D$6,'01 Major Assumptions'!Z$11,"m")+1&gt;=$E31,1,0)</f>
        <v>0</v>
      </c>
      <c r="AA31" s="90">
        <f>IF(DATEDIF('01 Major Assumptions'!$D$6,'01 Major Assumptions'!AA$11,"m")+1&gt;=$E31,1,0)</f>
        <v>0</v>
      </c>
      <c r="AB31" s="90">
        <f>IF(DATEDIF('01 Major Assumptions'!$D$6,'01 Major Assumptions'!AB$11,"m")+1&gt;=$E31,1,0)</f>
        <v>0</v>
      </c>
      <c r="AC31" s="90">
        <f>IF(DATEDIF('01 Major Assumptions'!$D$6,'01 Major Assumptions'!AC$11,"m")+1&gt;=$E31,1,0)</f>
        <v>0</v>
      </c>
      <c r="AD31" s="90">
        <f>IF(DATEDIF('01 Major Assumptions'!$D$6,'01 Major Assumptions'!AD$11,"m")+1&gt;=$E31,1,0)</f>
        <v>0</v>
      </c>
      <c r="AE31" s="90">
        <f>IF(DATEDIF('01 Major Assumptions'!$D$6,'01 Major Assumptions'!AE$11,"m")+1&gt;=$E31,1,0)</f>
        <v>0</v>
      </c>
      <c r="AF31" s="90">
        <f>IF(DATEDIF('01 Major Assumptions'!$D$6,'01 Major Assumptions'!AF$11,"m")+1&gt;=$E31,1,0)</f>
        <v>1</v>
      </c>
      <c r="AG31" s="90">
        <f>IF(DATEDIF('01 Major Assumptions'!$D$6,'01 Major Assumptions'!AG$11,"m")+1&gt;=$E31,1,0)</f>
        <v>1</v>
      </c>
      <c r="AH31" s="90">
        <f>IF(DATEDIF('01 Major Assumptions'!$D$6,'01 Major Assumptions'!AH$11,"m")+1&gt;=$E31,1,0)</f>
        <v>1</v>
      </c>
      <c r="AI31" s="90">
        <f>IF(DATEDIF('01 Major Assumptions'!$D$6,'01 Major Assumptions'!AI$11,"m")+1&gt;=$E31,1,0)</f>
        <v>1</v>
      </c>
      <c r="AJ31" s="90">
        <f>IF(DATEDIF('01 Major Assumptions'!$D$6,'01 Major Assumptions'!AJ$11,"m")+1&gt;=$E31,1,0)</f>
        <v>1</v>
      </c>
      <c r="AK31" s="90">
        <f>IF(DATEDIF('01 Major Assumptions'!$D$6,'01 Major Assumptions'!AK$11,"m")+1&gt;=$E31,1,0)</f>
        <v>1</v>
      </c>
      <c r="AL31" s="90">
        <f>IF(DATEDIF('01 Major Assumptions'!$D$6,'01 Major Assumptions'!AL$11,"m")+1&gt;=$E31,1,0)</f>
        <v>1</v>
      </c>
      <c r="AM31" s="90">
        <f>IF(DATEDIF('01 Major Assumptions'!$D$6,'01 Major Assumptions'!AM$11,"m")+1&gt;=$E31,1,0)</f>
        <v>1</v>
      </c>
      <c r="AN31" s="90">
        <f>IF(DATEDIF('01 Major Assumptions'!$D$6,'01 Major Assumptions'!AN$11,"m")+1&gt;=$E31,1,0)</f>
        <v>1</v>
      </c>
      <c r="AO31" s="90">
        <f>IF(DATEDIF('01 Major Assumptions'!$D$6,'01 Major Assumptions'!AO$11,"m")+1&gt;=$E31,1,0)</f>
        <v>1</v>
      </c>
      <c r="AP31" s="90">
        <f>IF(DATEDIF('01 Major Assumptions'!$D$6,'01 Major Assumptions'!AP$11,"m")+1&gt;=$E31,1,0)</f>
        <v>1</v>
      </c>
      <c r="AQ31" s="90">
        <f>IF(DATEDIF('01 Major Assumptions'!$D$6,'01 Major Assumptions'!AQ$11,"m")+1&gt;=$E31,1,0)</f>
        <v>1</v>
      </c>
      <c r="AR31" s="90">
        <f>IF(DATEDIF('01 Major Assumptions'!$D$6,'01 Major Assumptions'!AR$11,"m")+1&gt;=$E31,1,0)</f>
        <v>1</v>
      </c>
      <c r="AS31" s="90">
        <f>IF(DATEDIF('01 Major Assumptions'!$D$6,'01 Major Assumptions'!AS$11,"m")+1&gt;=$E31,1,0)</f>
        <v>1</v>
      </c>
      <c r="AT31" s="90">
        <f>IF(DATEDIF('01 Major Assumptions'!$D$6,'01 Major Assumptions'!AT$11,"m")+1&gt;=$E31,1,0)</f>
        <v>1</v>
      </c>
      <c r="AU31" s="90">
        <f>IF(DATEDIF('01 Major Assumptions'!$D$6,'01 Major Assumptions'!AU$11,"m")+1&gt;=$E31,1,0)</f>
        <v>1</v>
      </c>
      <c r="AV31" s="90">
        <f>IF(DATEDIF('01 Major Assumptions'!$D$6,'01 Major Assumptions'!AV$11,"m")+1&gt;=$E31,1,0)</f>
        <v>1</v>
      </c>
      <c r="AW31" s="90">
        <f>IF(DATEDIF('01 Major Assumptions'!$D$6,'01 Major Assumptions'!AW$11,"m")+1&gt;=$E31,1,0)</f>
        <v>1</v>
      </c>
      <c r="AX31" s="90">
        <f>IF(DATEDIF('01 Major Assumptions'!$D$6,'01 Major Assumptions'!AX$11,"m")+1&gt;=$E31,1,0)</f>
        <v>1</v>
      </c>
      <c r="AY31" s="90">
        <f>IF(DATEDIF('01 Major Assumptions'!$D$6,'01 Major Assumptions'!AY$11,"m")+1&gt;=$E31,1,0)</f>
        <v>1</v>
      </c>
      <c r="AZ31" s="90">
        <f>IF(DATEDIF('01 Major Assumptions'!$D$6,'01 Major Assumptions'!AZ$11,"m")+1&gt;=$E31,1,0)</f>
        <v>1</v>
      </c>
      <c r="BA31" s="90">
        <f>IF(DATEDIF('01 Major Assumptions'!$D$6,'01 Major Assumptions'!BA$11,"m")+1&gt;=$E31,1,0)</f>
        <v>1</v>
      </c>
      <c r="BB31" s="90">
        <f>IF(DATEDIF('01 Major Assumptions'!$D$6,'01 Major Assumptions'!BB$11,"m")+1&gt;=$E31,1,0)</f>
        <v>1</v>
      </c>
      <c r="BC31" s="90">
        <f>IF(DATEDIF('01 Major Assumptions'!$D$6,'01 Major Assumptions'!BC$11,"m")+1&gt;=$E31,1,0)</f>
        <v>1</v>
      </c>
      <c r="BD31" s="90">
        <f>IF(DATEDIF('01 Major Assumptions'!$D$6,'01 Major Assumptions'!BD$11,"m")+1&gt;=$E31,1,0)</f>
        <v>1</v>
      </c>
      <c r="BE31" s="90">
        <f>IF(DATEDIF('01 Major Assumptions'!$D$6,'01 Major Assumptions'!BE$11,"m")+1&gt;=$E31,1,0)</f>
        <v>1</v>
      </c>
      <c r="BF31" s="90">
        <f>IF(DATEDIF('01 Major Assumptions'!$D$6,'01 Major Assumptions'!BF$11,"m")+1&gt;=$E31,1,0)</f>
        <v>1</v>
      </c>
      <c r="BG31" s="90">
        <f>IF(DATEDIF('01 Major Assumptions'!$D$6,'01 Major Assumptions'!BG$11,"m")+1&gt;=$E31,1,0)</f>
        <v>1</v>
      </c>
      <c r="BH31" s="90">
        <f>IF(DATEDIF('01 Major Assumptions'!$D$6,'01 Major Assumptions'!BH$11,"m")+1&gt;=$E31,1,0)</f>
        <v>1</v>
      </c>
      <c r="BI31" s="90">
        <f>IF(DATEDIF('01 Major Assumptions'!$D$6,'01 Major Assumptions'!BI$11,"m")+1&gt;=$E31,1,0)</f>
        <v>1</v>
      </c>
      <c r="BJ31" s="90">
        <f>IF(DATEDIF('01 Major Assumptions'!$D$6,'01 Major Assumptions'!BJ$11,"m")+1&gt;=$E31,1,0)</f>
        <v>1</v>
      </c>
      <c r="BK31" s="90">
        <f>IF(DATEDIF('01 Major Assumptions'!$D$6,'01 Major Assumptions'!BK$11,"m")+1&gt;=$E31,1,0)</f>
        <v>1</v>
      </c>
      <c r="BL31" s="90">
        <f>IF(DATEDIF('01 Major Assumptions'!$D$6,'01 Major Assumptions'!BL$11,"m")+1&gt;=$E31,1,0)</f>
        <v>1</v>
      </c>
      <c r="BM31" s="90">
        <f>IF(DATEDIF('01 Major Assumptions'!$D$6,'01 Major Assumptions'!BM$11,"m")+1&gt;=$E31,1,0)</f>
        <v>1</v>
      </c>
      <c r="BN31" s="90">
        <f>IF(DATEDIF('01 Major Assumptions'!$D$6,'01 Major Assumptions'!BN$11,"m")+1&gt;=$E31,1,0)</f>
        <v>1</v>
      </c>
      <c r="BO31" s="90">
        <f>IF(DATEDIF('01 Major Assumptions'!$D$6,'01 Major Assumptions'!BO$11,"m")+1&gt;=$E31,1,0)</f>
        <v>1</v>
      </c>
    </row>
    <row r="32" spans="1:67">
      <c r="A32" s="11"/>
      <c r="B32" s="11" t="s">
        <v>620</v>
      </c>
      <c r="C32" s="92">
        <v>14</v>
      </c>
      <c r="D32" s="92">
        <v>12</v>
      </c>
      <c r="E32" s="101">
        <f t="shared" si="0"/>
        <v>26</v>
      </c>
      <c r="F32" s="101"/>
      <c r="G32" s="90">
        <f>IF(DATEDIF('01 Major Assumptions'!$D$6,'01 Major Assumptions'!G$11,"m")+1&gt;=$E32,1,0)</f>
        <v>0</v>
      </c>
      <c r="H32" s="90">
        <f>IF(DATEDIF('01 Major Assumptions'!$D$6,'01 Major Assumptions'!H$11,"m")+1&gt;=$E32,1,0)</f>
        <v>0</v>
      </c>
      <c r="I32" s="90">
        <f>IF(DATEDIF('01 Major Assumptions'!$D$6,'01 Major Assumptions'!I$11,"m")+1&gt;=$E32,1,0)</f>
        <v>0</v>
      </c>
      <c r="J32" s="90">
        <f>IF(DATEDIF('01 Major Assumptions'!$D$6,'01 Major Assumptions'!J$11,"m")+1&gt;=$E32,1,0)</f>
        <v>0</v>
      </c>
      <c r="K32" s="90">
        <f>IF(DATEDIF('01 Major Assumptions'!$D$6,'01 Major Assumptions'!K$11,"m")+1&gt;=$E32,1,0)</f>
        <v>0</v>
      </c>
      <c r="L32" s="90">
        <f>IF(DATEDIF('01 Major Assumptions'!$D$6,'01 Major Assumptions'!L$11,"m")+1&gt;=$E32,1,0)</f>
        <v>0</v>
      </c>
      <c r="M32" s="90">
        <f>IF(DATEDIF('01 Major Assumptions'!$D$6,'01 Major Assumptions'!M$11,"m")+1&gt;=$E32,1,0)</f>
        <v>0</v>
      </c>
      <c r="N32" s="90">
        <f>IF(DATEDIF('01 Major Assumptions'!$D$6,'01 Major Assumptions'!N$11,"m")+1&gt;=$E32,1,0)</f>
        <v>0</v>
      </c>
      <c r="O32" s="90">
        <f>IF(DATEDIF('01 Major Assumptions'!$D$6,'01 Major Assumptions'!O$11,"m")+1&gt;=$E32,1,0)</f>
        <v>0</v>
      </c>
      <c r="P32" s="90">
        <f>IF(DATEDIF('01 Major Assumptions'!$D$6,'01 Major Assumptions'!P$11,"m")+1&gt;=$E32,1,0)</f>
        <v>0</v>
      </c>
      <c r="Q32" s="90">
        <f>IF(DATEDIF('01 Major Assumptions'!$D$6,'01 Major Assumptions'!Q$11,"m")+1&gt;=$E32,1,0)</f>
        <v>0</v>
      </c>
      <c r="R32" s="90">
        <f>IF(DATEDIF('01 Major Assumptions'!$D$6,'01 Major Assumptions'!R$11,"m")+1&gt;=$E32,1,0)</f>
        <v>0</v>
      </c>
      <c r="S32" s="90">
        <f>IF(DATEDIF('01 Major Assumptions'!$D$6,'01 Major Assumptions'!S$11,"m")+1&gt;=$E32,1,0)</f>
        <v>0</v>
      </c>
      <c r="T32" s="90">
        <f>IF(DATEDIF('01 Major Assumptions'!$D$6,'01 Major Assumptions'!T$11,"m")+1&gt;=$E32,1,0)</f>
        <v>0</v>
      </c>
      <c r="U32" s="90">
        <f>IF(DATEDIF('01 Major Assumptions'!$D$6,'01 Major Assumptions'!U$11,"m")+1&gt;=$E32,1,0)</f>
        <v>0</v>
      </c>
      <c r="V32" s="90">
        <f>IF(DATEDIF('01 Major Assumptions'!$D$6,'01 Major Assumptions'!V$11,"m")+1&gt;=$E32,1,0)</f>
        <v>0</v>
      </c>
      <c r="W32" s="90">
        <f>IF(DATEDIF('01 Major Assumptions'!$D$6,'01 Major Assumptions'!W$11,"m")+1&gt;=$E32,1,0)</f>
        <v>0</v>
      </c>
      <c r="X32" s="90">
        <f>IF(DATEDIF('01 Major Assumptions'!$D$6,'01 Major Assumptions'!X$11,"m")+1&gt;=$E32,1,0)</f>
        <v>0</v>
      </c>
      <c r="Y32" s="90">
        <f>IF(DATEDIF('01 Major Assumptions'!$D$6,'01 Major Assumptions'!Y$11,"m")+1&gt;=$E32,1,0)</f>
        <v>0</v>
      </c>
      <c r="Z32" s="90">
        <f>IF(DATEDIF('01 Major Assumptions'!$D$6,'01 Major Assumptions'!Z$11,"m")+1&gt;=$E32,1,0)</f>
        <v>0</v>
      </c>
      <c r="AA32" s="90">
        <f>IF(DATEDIF('01 Major Assumptions'!$D$6,'01 Major Assumptions'!AA$11,"m")+1&gt;=$E32,1,0)</f>
        <v>0</v>
      </c>
      <c r="AB32" s="90">
        <f>IF(DATEDIF('01 Major Assumptions'!$D$6,'01 Major Assumptions'!AB$11,"m")+1&gt;=$E32,1,0)</f>
        <v>0</v>
      </c>
      <c r="AC32" s="90">
        <f>IF(DATEDIF('01 Major Assumptions'!$D$6,'01 Major Assumptions'!AC$11,"m")+1&gt;=$E32,1,0)</f>
        <v>0</v>
      </c>
      <c r="AD32" s="90">
        <f>IF(DATEDIF('01 Major Assumptions'!$D$6,'01 Major Assumptions'!AD$11,"m")+1&gt;=$E32,1,0)</f>
        <v>0</v>
      </c>
      <c r="AE32" s="90">
        <f>IF(DATEDIF('01 Major Assumptions'!$D$6,'01 Major Assumptions'!AE$11,"m")+1&gt;=$E32,1,0)</f>
        <v>0</v>
      </c>
      <c r="AF32" s="90">
        <f>IF(DATEDIF('01 Major Assumptions'!$D$6,'01 Major Assumptions'!AF$11,"m")+1&gt;=$E32,1,0)</f>
        <v>1</v>
      </c>
      <c r="AG32" s="90">
        <f>IF(DATEDIF('01 Major Assumptions'!$D$6,'01 Major Assumptions'!AG$11,"m")+1&gt;=$E32,1,0)</f>
        <v>1</v>
      </c>
      <c r="AH32" s="90">
        <f>IF(DATEDIF('01 Major Assumptions'!$D$6,'01 Major Assumptions'!AH$11,"m")+1&gt;=$E32,1,0)</f>
        <v>1</v>
      </c>
      <c r="AI32" s="90">
        <f>IF(DATEDIF('01 Major Assumptions'!$D$6,'01 Major Assumptions'!AI$11,"m")+1&gt;=$E32,1,0)</f>
        <v>1</v>
      </c>
      <c r="AJ32" s="90">
        <f>IF(DATEDIF('01 Major Assumptions'!$D$6,'01 Major Assumptions'!AJ$11,"m")+1&gt;=$E32,1,0)</f>
        <v>1</v>
      </c>
      <c r="AK32" s="90">
        <f>IF(DATEDIF('01 Major Assumptions'!$D$6,'01 Major Assumptions'!AK$11,"m")+1&gt;=$E32,1,0)</f>
        <v>1</v>
      </c>
      <c r="AL32" s="90">
        <f>IF(DATEDIF('01 Major Assumptions'!$D$6,'01 Major Assumptions'!AL$11,"m")+1&gt;=$E32,1,0)</f>
        <v>1</v>
      </c>
      <c r="AM32" s="90">
        <f>IF(DATEDIF('01 Major Assumptions'!$D$6,'01 Major Assumptions'!AM$11,"m")+1&gt;=$E32,1,0)</f>
        <v>1</v>
      </c>
      <c r="AN32" s="90">
        <f>IF(DATEDIF('01 Major Assumptions'!$D$6,'01 Major Assumptions'!AN$11,"m")+1&gt;=$E32,1,0)</f>
        <v>1</v>
      </c>
      <c r="AO32" s="90">
        <f>IF(DATEDIF('01 Major Assumptions'!$D$6,'01 Major Assumptions'!AO$11,"m")+1&gt;=$E32,1,0)</f>
        <v>1</v>
      </c>
      <c r="AP32" s="90">
        <f>IF(DATEDIF('01 Major Assumptions'!$D$6,'01 Major Assumptions'!AP$11,"m")+1&gt;=$E32,1,0)</f>
        <v>1</v>
      </c>
      <c r="AQ32" s="90">
        <f>IF(DATEDIF('01 Major Assumptions'!$D$6,'01 Major Assumptions'!AQ$11,"m")+1&gt;=$E32,1,0)</f>
        <v>1</v>
      </c>
      <c r="AR32" s="90">
        <f>IF(DATEDIF('01 Major Assumptions'!$D$6,'01 Major Assumptions'!AR$11,"m")+1&gt;=$E32,1,0)</f>
        <v>1</v>
      </c>
      <c r="AS32" s="90">
        <f>IF(DATEDIF('01 Major Assumptions'!$D$6,'01 Major Assumptions'!AS$11,"m")+1&gt;=$E32,1,0)</f>
        <v>1</v>
      </c>
      <c r="AT32" s="90">
        <f>IF(DATEDIF('01 Major Assumptions'!$D$6,'01 Major Assumptions'!AT$11,"m")+1&gt;=$E32,1,0)</f>
        <v>1</v>
      </c>
      <c r="AU32" s="90">
        <f>IF(DATEDIF('01 Major Assumptions'!$D$6,'01 Major Assumptions'!AU$11,"m")+1&gt;=$E32,1,0)</f>
        <v>1</v>
      </c>
      <c r="AV32" s="90">
        <f>IF(DATEDIF('01 Major Assumptions'!$D$6,'01 Major Assumptions'!AV$11,"m")+1&gt;=$E32,1,0)</f>
        <v>1</v>
      </c>
      <c r="AW32" s="90">
        <f>IF(DATEDIF('01 Major Assumptions'!$D$6,'01 Major Assumptions'!AW$11,"m")+1&gt;=$E32,1,0)</f>
        <v>1</v>
      </c>
      <c r="AX32" s="90">
        <f>IF(DATEDIF('01 Major Assumptions'!$D$6,'01 Major Assumptions'!AX$11,"m")+1&gt;=$E32,1,0)</f>
        <v>1</v>
      </c>
      <c r="AY32" s="90">
        <f>IF(DATEDIF('01 Major Assumptions'!$D$6,'01 Major Assumptions'!AY$11,"m")+1&gt;=$E32,1,0)</f>
        <v>1</v>
      </c>
      <c r="AZ32" s="90">
        <f>IF(DATEDIF('01 Major Assumptions'!$D$6,'01 Major Assumptions'!AZ$11,"m")+1&gt;=$E32,1,0)</f>
        <v>1</v>
      </c>
      <c r="BA32" s="90">
        <f>IF(DATEDIF('01 Major Assumptions'!$D$6,'01 Major Assumptions'!BA$11,"m")+1&gt;=$E32,1,0)</f>
        <v>1</v>
      </c>
      <c r="BB32" s="90">
        <f>IF(DATEDIF('01 Major Assumptions'!$D$6,'01 Major Assumptions'!BB$11,"m")+1&gt;=$E32,1,0)</f>
        <v>1</v>
      </c>
      <c r="BC32" s="90">
        <f>IF(DATEDIF('01 Major Assumptions'!$D$6,'01 Major Assumptions'!BC$11,"m")+1&gt;=$E32,1,0)</f>
        <v>1</v>
      </c>
      <c r="BD32" s="90">
        <f>IF(DATEDIF('01 Major Assumptions'!$D$6,'01 Major Assumptions'!BD$11,"m")+1&gt;=$E32,1,0)</f>
        <v>1</v>
      </c>
      <c r="BE32" s="90">
        <f>IF(DATEDIF('01 Major Assumptions'!$D$6,'01 Major Assumptions'!BE$11,"m")+1&gt;=$E32,1,0)</f>
        <v>1</v>
      </c>
      <c r="BF32" s="90">
        <f>IF(DATEDIF('01 Major Assumptions'!$D$6,'01 Major Assumptions'!BF$11,"m")+1&gt;=$E32,1,0)</f>
        <v>1</v>
      </c>
      <c r="BG32" s="90">
        <f>IF(DATEDIF('01 Major Assumptions'!$D$6,'01 Major Assumptions'!BG$11,"m")+1&gt;=$E32,1,0)</f>
        <v>1</v>
      </c>
      <c r="BH32" s="90">
        <f>IF(DATEDIF('01 Major Assumptions'!$D$6,'01 Major Assumptions'!BH$11,"m")+1&gt;=$E32,1,0)</f>
        <v>1</v>
      </c>
      <c r="BI32" s="90">
        <f>IF(DATEDIF('01 Major Assumptions'!$D$6,'01 Major Assumptions'!BI$11,"m")+1&gt;=$E32,1,0)</f>
        <v>1</v>
      </c>
      <c r="BJ32" s="90">
        <f>IF(DATEDIF('01 Major Assumptions'!$D$6,'01 Major Assumptions'!BJ$11,"m")+1&gt;=$E32,1,0)</f>
        <v>1</v>
      </c>
      <c r="BK32" s="90">
        <f>IF(DATEDIF('01 Major Assumptions'!$D$6,'01 Major Assumptions'!BK$11,"m")+1&gt;=$E32,1,0)</f>
        <v>1</v>
      </c>
      <c r="BL32" s="90">
        <f>IF(DATEDIF('01 Major Assumptions'!$D$6,'01 Major Assumptions'!BL$11,"m")+1&gt;=$E32,1,0)</f>
        <v>1</v>
      </c>
      <c r="BM32" s="90">
        <f>IF(DATEDIF('01 Major Assumptions'!$D$6,'01 Major Assumptions'!BM$11,"m")+1&gt;=$E32,1,0)</f>
        <v>1</v>
      </c>
      <c r="BN32" s="90">
        <f>IF(DATEDIF('01 Major Assumptions'!$D$6,'01 Major Assumptions'!BN$11,"m")+1&gt;=$E32,1,0)</f>
        <v>1</v>
      </c>
      <c r="BO32" s="90">
        <f>IF(DATEDIF('01 Major Assumptions'!$D$6,'01 Major Assumptions'!BO$11,"m")+1&gt;=$E32,1,0)</f>
        <v>1</v>
      </c>
    </row>
    <row r="33" spans="1:67">
      <c r="A33" s="11"/>
      <c r="B33" s="11" t="s">
        <v>621</v>
      </c>
      <c r="C33" s="92">
        <v>20</v>
      </c>
      <c r="D33" s="92">
        <v>6</v>
      </c>
      <c r="E33" s="101">
        <f t="shared" si="0"/>
        <v>26</v>
      </c>
      <c r="F33" s="101"/>
      <c r="G33" s="90">
        <f>IF(DATEDIF('01 Major Assumptions'!$D$6,'01 Major Assumptions'!G$11,"m")+1&gt;=$E33,1,0)</f>
        <v>0</v>
      </c>
      <c r="H33" s="90">
        <f>IF(DATEDIF('01 Major Assumptions'!$D$6,'01 Major Assumptions'!H$11,"m")+1&gt;=$E33,1,0)</f>
        <v>0</v>
      </c>
      <c r="I33" s="90">
        <f>IF(DATEDIF('01 Major Assumptions'!$D$6,'01 Major Assumptions'!I$11,"m")+1&gt;=$E33,1,0)</f>
        <v>0</v>
      </c>
      <c r="J33" s="90">
        <f>IF(DATEDIF('01 Major Assumptions'!$D$6,'01 Major Assumptions'!J$11,"m")+1&gt;=$E33,1,0)</f>
        <v>0</v>
      </c>
      <c r="K33" s="90">
        <f>IF(DATEDIF('01 Major Assumptions'!$D$6,'01 Major Assumptions'!K$11,"m")+1&gt;=$E33,1,0)</f>
        <v>0</v>
      </c>
      <c r="L33" s="90">
        <f>IF(DATEDIF('01 Major Assumptions'!$D$6,'01 Major Assumptions'!L$11,"m")+1&gt;=$E33,1,0)</f>
        <v>0</v>
      </c>
      <c r="M33" s="90">
        <f>IF(DATEDIF('01 Major Assumptions'!$D$6,'01 Major Assumptions'!M$11,"m")+1&gt;=$E33,1,0)</f>
        <v>0</v>
      </c>
      <c r="N33" s="90">
        <f>IF(DATEDIF('01 Major Assumptions'!$D$6,'01 Major Assumptions'!N$11,"m")+1&gt;=$E33,1,0)</f>
        <v>0</v>
      </c>
      <c r="O33" s="90">
        <f>IF(DATEDIF('01 Major Assumptions'!$D$6,'01 Major Assumptions'!O$11,"m")+1&gt;=$E33,1,0)</f>
        <v>0</v>
      </c>
      <c r="P33" s="90">
        <f>IF(DATEDIF('01 Major Assumptions'!$D$6,'01 Major Assumptions'!P$11,"m")+1&gt;=$E33,1,0)</f>
        <v>0</v>
      </c>
      <c r="Q33" s="90">
        <f>IF(DATEDIF('01 Major Assumptions'!$D$6,'01 Major Assumptions'!Q$11,"m")+1&gt;=$E33,1,0)</f>
        <v>0</v>
      </c>
      <c r="R33" s="90">
        <f>IF(DATEDIF('01 Major Assumptions'!$D$6,'01 Major Assumptions'!R$11,"m")+1&gt;=$E33,1,0)</f>
        <v>0</v>
      </c>
      <c r="S33" s="90">
        <f>IF(DATEDIF('01 Major Assumptions'!$D$6,'01 Major Assumptions'!S$11,"m")+1&gt;=$E33,1,0)</f>
        <v>0</v>
      </c>
      <c r="T33" s="90">
        <f>IF(DATEDIF('01 Major Assumptions'!$D$6,'01 Major Assumptions'!T$11,"m")+1&gt;=$E33,1,0)</f>
        <v>0</v>
      </c>
      <c r="U33" s="90">
        <f>IF(DATEDIF('01 Major Assumptions'!$D$6,'01 Major Assumptions'!U$11,"m")+1&gt;=$E33,1,0)</f>
        <v>0</v>
      </c>
      <c r="V33" s="90">
        <f>IF(DATEDIF('01 Major Assumptions'!$D$6,'01 Major Assumptions'!V$11,"m")+1&gt;=$E33,1,0)</f>
        <v>0</v>
      </c>
      <c r="W33" s="90">
        <f>IF(DATEDIF('01 Major Assumptions'!$D$6,'01 Major Assumptions'!W$11,"m")+1&gt;=$E33,1,0)</f>
        <v>0</v>
      </c>
      <c r="X33" s="90">
        <f>IF(DATEDIF('01 Major Assumptions'!$D$6,'01 Major Assumptions'!X$11,"m")+1&gt;=$E33,1,0)</f>
        <v>0</v>
      </c>
      <c r="Y33" s="90">
        <f>IF(DATEDIF('01 Major Assumptions'!$D$6,'01 Major Assumptions'!Y$11,"m")+1&gt;=$E33,1,0)</f>
        <v>0</v>
      </c>
      <c r="Z33" s="90">
        <f>IF(DATEDIF('01 Major Assumptions'!$D$6,'01 Major Assumptions'!Z$11,"m")+1&gt;=$E33,1,0)</f>
        <v>0</v>
      </c>
      <c r="AA33" s="90">
        <f>IF(DATEDIF('01 Major Assumptions'!$D$6,'01 Major Assumptions'!AA$11,"m")+1&gt;=$E33,1,0)</f>
        <v>0</v>
      </c>
      <c r="AB33" s="90">
        <f>IF(DATEDIF('01 Major Assumptions'!$D$6,'01 Major Assumptions'!AB$11,"m")+1&gt;=$E33,1,0)</f>
        <v>0</v>
      </c>
      <c r="AC33" s="90">
        <f>IF(DATEDIF('01 Major Assumptions'!$D$6,'01 Major Assumptions'!AC$11,"m")+1&gt;=$E33,1,0)</f>
        <v>0</v>
      </c>
      <c r="AD33" s="90">
        <f>IF(DATEDIF('01 Major Assumptions'!$D$6,'01 Major Assumptions'!AD$11,"m")+1&gt;=$E33,1,0)</f>
        <v>0</v>
      </c>
      <c r="AE33" s="90">
        <f>IF(DATEDIF('01 Major Assumptions'!$D$6,'01 Major Assumptions'!AE$11,"m")+1&gt;=$E33,1,0)</f>
        <v>0</v>
      </c>
      <c r="AF33" s="90">
        <f>IF(DATEDIF('01 Major Assumptions'!$D$6,'01 Major Assumptions'!AF$11,"m")+1&gt;=$E33,1,0)</f>
        <v>1</v>
      </c>
      <c r="AG33" s="90">
        <f>IF(DATEDIF('01 Major Assumptions'!$D$6,'01 Major Assumptions'!AG$11,"m")+1&gt;=$E33,1,0)</f>
        <v>1</v>
      </c>
      <c r="AH33" s="90">
        <f>IF(DATEDIF('01 Major Assumptions'!$D$6,'01 Major Assumptions'!AH$11,"m")+1&gt;=$E33,1,0)</f>
        <v>1</v>
      </c>
      <c r="AI33" s="90">
        <f>IF(DATEDIF('01 Major Assumptions'!$D$6,'01 Major Assumptions'!AI$11,"m")+1&gt;=$E33,1,0)</f>
        <v>1</v>
      </c>
      <c r="AJ33" s="90">
        <f>IF(DATEDIF('01 Major Assumptions'!$D$6,'01 Major Assumptions'!AJ$11,"m")+1&gt;=$E33,1,0)</f>
        <v>1</v>
      </c>
      <c r="AK33" s="90">
        <f>IF(DATEDIF('01 Major Assumptions'!$D$6,'01 Major Assumptions'!AK$11,"m")+1&gt;=$E33,1,0)</f>
        <v>1</v>
      </c>
      <c r="AL33" s="90">
        <f>IF(DATEDIF('01 Major Assumptions'!$D$6,'01 Major Assumptions'!AL$11,"m")+1&gt;=$E33,1,0)</f>
        <v>1</v>
      </c>
      <c r="AM33" s="90">
        <f>IF(DATEDIF('01 Major Assumptions'!$D$6,'01 Major Assumptions'!AM$11,"m")+1&gt;=$E33,1,0)</f>
        <v>1</v>
      </c>
      <c r="AN33" s="90">
        <f>IF(DATEDIF('01 Major Assumptions'!$D$6,'01 Major Assumptions'!AN$11,"m")+1&gt;=$E33,1,0)</f>
        <v>1</v>
      </c>
      <c r="AO33" s="90">
        <f>IF(DATEDIF('01 Major Assumptions'!$D$6,'01 Major Assumptions'!AO$11,"m")+1&gt;=$E33,1,0)</f>
        <v>1</v>
      </c>
      <c r="AP33" s="90">
        <f>IF(DATEDIF('01 Major Assumptions'!$D$6,'01 Major Assumptions'!AP$11,"m")+1&gt;=$E33,1,0)</f>
        <v>1</v>
      </c>
      <c r="AQ33" s="90">
        <f>IF(DATEDIF('01 Major Assumptions'!$D$6,'01 Major Assumptions'!AQ$11,"m")+1&gt;=$E33,1,0)</f>
        <v>1</v>
      </c>
      <c r="AR33" s="90">
        <f>IF(DATEDIF('01 Major Assumptions'!$D$6,'01 Major Assumptions'!AR$11,"m")+1&gt;=$E33,1,0)</f>
        <v>1</v>
      </c>
      <c r="AS33" s="90">
        <f>IF(DATEDIF('01 Major Assumptions'!$D$6,'01 Major Assumptions'!AS$11,"m")+1&gt;=$E33,1,0)</f>
        <v>1</v>
      </c>
      <c r="AT33" s="90">
        <f>IF(DATEDIF('01 Major Assumptions'!$D$6,'01 Major Assumptions'!AT$11,"m")+1&gt;=$E33,1,0)</f>
        <v>1</v>
      </c>
      <c r="AU33" s="90">
        <f>IF(DATEDIF('01 Major Assumptions'!$D$6,'01 Major Assumptions'!AU$11,"m")+1&gt;=$E33,1,0)</f>
        <v>1</v>
      </c>
      <c r="AV33" s="90">
        <f>IF(DATEDIF('01 Major Assumptions'!$D$6,'01 Major Assumptions'!AV$11,"m")+1&gt;=$E33,1,0)</f>
        <v>1</v>
      </c>
      <c r="AW33" s="90">
        <f>IF(DATEDIF('01 Major Assumptions'!$D$6,'01 Major Assumptions'!AW$11,"m")+1&gt;=$E33,1,0)</f>
        <v>1</v>
      </c>
      <c r="AX33" s="90">
        <f>IF(DATEDIF('01 Major Assumptions'!$D$6,'01 Major Assumptions'!AX$11,"m")+1&gt;=$E33,1,0)</f>
        <v>1</v>
      </c>
      <c r="AY33" s="90">
        <f>IF(DATEDIF('01 Major Assumptions'!$D$6,'01 Major Assumptions'!AY$11,"m")+1&gt;=$E33,1,0)</f>
        <v>1</v>
      </c>
      <c r="AZ33" s="90">
        <f>IF(DATEDIF('01 Major Assumptions'!$D$6,'01 Major Assumptions'!AZ$11,"m")+1&gt;=$E33,1,0)</f>
        <v>1</v>
      </c>
      <c r="BA33" s="90">
        <f>IF(DATEDIF('01 Major Assumptions'!$D$6,'01 Major Assumptions'!BA$11,"m")+1&gt;=$E33,1,0)</f>
        <v>1</v>
      </c>
      <c r="BB33" s="90">
        <f>IF(DATEDIF('01 Major Assumptions'!$D$6,'01 Major Assumptions'!BB$11,"m")+1&gt;=$E33,1,0)</f>
        <v>1</v>
      </c>
      <c r="BC33" s="90">
        <f>IF(DATEDIF('01 Major Assumptions'!$D$6,'01 Major Assumptions'!BC$11,"m")+1&gt;=$E33,1,0)</f>
        <v>1</v>
      </c>
      <c r="BD33" s="90">
        <f>IF(DATEDIF('01 Major Assumptions'!$D$6,'01 Major Assumptions'!BD$11,"m")+1&gt;=$E33,1,0)</f>
        <v>1</v>
      </c>
      <c r="BE33" s="90">
        <f>IF(DATEDIF('01 Major Assumptions'!$D$6,'01 Major Assumptions'!BE$11,"m")+1&gt;=$E33,1,0)</f>
        <v>1</v>
      </c>
      <c r="BF33" s="90">
        <f>IF(DATEDIF('01 Major Assumptions'!$D$6,'01 Major Assumptions'!BF$11,"m")+1&gt;=$E33,1,0)</f>
        <v>1</v>
      </c>
      <c r="BG33" s="90">
        <f>IF(DATEDIF('01 Major Assumptions'!$D$6,'01 Major Assumptions'!BG$11,"m")+1&gt;=$E33,1,0)</f>
        <v>1</v>
      </c>
      <c r="BH33" s="90">
        <f>IF(DATEDIF('01 Major Assumptions'!$D$6,'01 Major Assumptions'!BH$11,"m")+1&gt;=$E33,1,0)</f>
        <v>1</v>
      </c>
      <c r="BI33" s="90">
        <f>IF(DATEDIF('01 Major Assumptions'!$D$6,'01 Major Assumptions'!BI$11,"m")+1&gt;=$E33,1,0)</f>
        <v>1</v>
      </c>
      <c r="BJ33" s="90">
        <f>IF(DATEDIF('01 Major Assumptions'!$D$6,'01 Major Assumptions'!BJ$11,"m")+1&gt;=$E33,1,0)</f>
        <v>1</v>
      </c>
      <c r="BK33" s="90">
        <f>IF(DATEDIF('01 Major Assumptions'!$D$6,'01 Major Assumptions'!BK$11,"m")+1&gt;=$E33,1,0)</f>
        <v>1</v>
      </c>
      <c r="BL33" s="90">
        <f>IF(DATEDIF('01 Major Assumptions'!$D$6,'01 Major Assumptions'!BL$11,"m")+1&gt;=$E33,1,0)</f>
        <v>1</v>
      </c>
      <c r="BM33" s="90">
        <f>IF(DATEDIF('01 Major Assumptions'!$D$6,'01 Major Assumptions'!BM$11,"m")+1&gt;=$E33,1,0)</f>
        <v>1</v>
      </c>
      <c r="BN33" s="90">
        <f>IF(DATEDIF('01 Major Assumptions'!$D$6,'01 Major Assumptions'!BN$11,"m")+1&gt;=$E33,1,0)</f>
        <v>1</v>
      </c>
      <c r="BO33" s="90">
        <f>IF(DATEDIF('01 Major Assumptions'!$D$6,'01 Major Assumptions'!BO$11,"m")+1&gt;=$E33,1,0)</f>
        <v>1</v>
      </c>
    </row>
    <row r="34" spans="1:67">
      <c r="A34" s="11"/>
      <c r="B34" s="11" t="s">
        <v>622</v>
      </c>
      <c r="C34" s="92">
        <v>12</v>
      </c>
      <c r="D34" s="92">
        <v>12</v>
      </c>
      <c r="E34" s="101">
        <f t="shared" si="0"/>
        <v>24</v>
      </c>
      <c r="F34" s="101"/>
      <c r="G34" s="90">
        <f>IF(DATEDIF('01 Major Assumptions'!$D$6,'01 Major Assumptions'!G$11,"m")+1&gt;=$E34,1,0)</f>
        <v>0</v>
      </c>
      <c r="H34" s="90">
        <f>IF(DATEDIF('01 Major Assumptions'!$D$6,'01 Major Assumptions'!H$11,"m")+1&gt;=$E34,1,0)</f>
        <v>0</v>
      </c>
      <c r="I34" s="90">
        <f>IF(DATEDIF('01 Major Assumptions'!$D$6,'01 Major Assumptions'!I$11,"m")+1&gt;=$E34,1,0)</f>
        <v>0</v>
      </c>
      <c r="J34" s="90">
        <f>IF(DATEDIF('01 Major Assumptions'!$D$6,'01 Major Assumptions'!J$11,"m")+1&gt;=$E34,1,0)</f>
        <v>0</v>
      </c>
      <c r="K34" s="90">
        <f>IF(DATEDIF('01 Major Assumptions'!$D$6,'01 Major Assumptions'!K$11,"m")+1&gt;=$E34,1,0)</f>
        <v>0</v>
      </c>
      <c r="L34" s="90">
        <f>IF(DATEDIF('01 Major Assumptions'!$D$6,'01 Major Assumptions'!L$11,"m")+1&gt;=$E34,1,0)</f>
        <v>0</v>
      </c>
      <c r="M34" s="90">
        <f>IF(DATEDIF('01 Major Assumptions'!$D$6,'01 Major Assumptions'!M$11,"m")+1&gt;=$E34,1,0)</f>
        <v>0</v>
      </c>
      <c r="N34" s="90">
        <f>IF(DATEDIF('01 Major Assumptions'!$D$6,'01 Major Assumptions'!N$11,"m")+1&gt;=$E34,1,0)</f>
        <v>0</v>
      </c>
      <c r="O34" s="90">
        <f>IF(DATEDIF('01 Major Assumptions'!$D$6,'01 Major Assumptions'!O$11,"m")+1&gt;=$E34,1,0)</f>
        <v>0</v>
      </c>
      <c r="P34" s="90">
        <f>IF(DATEDIF('01 Major Assumptions'!$D$6,'01 Major Assumptions'!P$11,"m")+1&gt;=$E34,1,0)</f>
        <v>0</v>
      </c>
      <c r="Q34" s="90">
        <f>IF(DATEDIF('01 Major Assumptions'!$D$6,'01 Major Assumptions'!Q$11,"m")+1&gt;=$E34,1,0)</f>
        <v>0</v>
      </c>
      <c r="R34" s="90">
        <f>IF(DATEDIF('01 Major Assumptions'!$D$6,'01 Major Assumptions'!R$11,"m")+1&gt;=$E34,1,0)</f>
        <v>0</v>
      </c>
      <c r="S34" s="90">
        <f>IF(DATEDIF('01 Major Assumptions'!$D$6,'01 Major Assumptions'!S$11,"m")+1&gt;=$E34,1,0)</f>
        <v>0</v>
      </c>
      <c r="T34" s="90">
        <f>IF(DATEDIF('01 Major Assumptions'!$D$6,'01 Major Assumptions'!T$11,"m")+1&gt;=$E34,1,0)</f>
        <v>0</v>
      </c>
      <c r="U34" s="90">
        <f>IF(DATEDIF('01 Major Assumptions'!$D$6,'01 Major Assumptions'!U$11,"m")+1&gt;=$E34,1,0)</f>
        <v>0</v>
      </c>
      <c r="V34" s="90">
        <f>IF(DATEDIF('01 Major Assumptions'!$D$6,'01 Major Assumptions'!V$11,"m")+1&gt;=$E34,1,0)</f>
        <v>0</v>
      </c>
      <c r="W34" s="90">
        <f>IF(DATEDIF('01 Major Assumptions'!$D$6,'01 Major Assumptions'!W$11,"m")+1&gt;=$E34,1,0)</f>
        <v>0</v>
      </c>
      <c r="X34" s="90">
        <f>IF(DATEDIF('01 Major Assumptions'!$D$6,'01 Major Assumptions'!X$11,"m")+1&gt;=$E34,1,0)</f>
        <v>0</v>
      </c>
      <c r="Y34" s="90">
        <f>IF(DATEDIF('01 Major Assumptions'!$D$6,'01 Major Assumptions'!Y$11,"m")+1&gt;=$E34,1,0)</f>
        <v>0</v>
      </c>
      <c r="Z34" s="90">
        <f>IF(DATEDIF('01 Major Assumptions'!$D$6,'01 Major Assumptions'!Z$11,"m")+1&gt;=$E34,1,0)</f>
        <v>0</v>
      </c>
      <c r="AA34" s="90">
        <f>IF(DATEDIF('01 Major Assumptions'!$D$6,'01 Major Assumptions'!AA$11,"m")+1&gt;=$E34,1,0)</f>
        <v>0</v>
      </c>
      <c r="AB34" s="90">
        <f>IF(DATEDIF('01 Major Assumptions'!$D$6,'01 Major Assumptions'!AB$11,"m")+1&gt;=$E34,1,0)</f>
        <v>0</v>
      </c>
      <c r="AC34" s="90">
        <f>IF(DATEDIF('01 Major Assumptions'!$D$6,'01 Major Assumptions'!AC$11,"m")+1&gt;=$E34,1,0)</f>
        <v>0</v>
      </c>
      <c r="AD34" s="90">
        <f>IF(DATEDIF('01 Major Assumptions'!$D$6,'01 Major Assumptions'!AD$11,"m")+1&gt;=$E34,1,0)</f>
        <v>1</v>
      </c>
      <c r="AE34" s="90">
        <f>IF(DATEDIF('01 Major Assumptions'!$D$6,'01 Major Assumptions'!AE$11,"m")+1&gt;=$E34,1,0)</f>
        <v>1</v>
      </c>
      <c r="AF34" s="90">
        <f>IF(DATEDIF('01 Major Assumptions'!$D$6,'01 Major Assumptions'!AF$11,"m")+1&gt;=$E34,1,0)</f>
        <v>1</v>
      </c>
      <c r="AG34" s="90">
        <f>IF(DATEDIF('01 Major Assumptions'!$D$6,'01 Major Assumptions'!AG$11,"m")+1&gt;=$E34,1,0)</f>
        <v>1</v>
      </c>
      <c r="AH34" s="90">
        <f>IF(DATEDIF('01 Major Assumptions'!$D$6,'01 Major Assumptions'!AH$11,"m")+1&gt;=$E34,1,0)</f>
        <v>1</v>
      </c>
      <c r="AI34" s="90">
        <f>IF(DATEDIF('01 Major Assumptions'!$D$6,'01 Major Assumptions'!AI$11,"m")+1&gt;=$E34,1,0)</f>
        <v>1</v>
      </c>
      <c r="AJ34" s="90">
        <f>IF(DATEDIF('01 Major Assumptions'!$D$6,'01 Major Assumptions'!AJ$11,"m")+1&gt;=$E34,1,0)</f>
        <v>1</v>
      </c>
      <c r="AK34" s="90">
        <f>IF(DATEDIF('01 Major Assumptions'!$D$6,'01 Major Assumptions'!AK$11,"m")+1&gt;=$E34,1,0)</f>
        <v>1</v>
      </c>
      <c r="AL34" s="90">
        <f>IF(DATEDIF('01 Major Assumptions'!$D$6,'01 Major Assumptions'!AL$11,"m")+1&gt;=$E34,1,0)</f>
        <v>1</v>
      </c>
      <c r="AM34" s="90">
        <f>IF(DATEDIF('01 Major Assumptions'!$D$6,'01 Major Assumptions'!AM$11,"m")+1&gt;=$E34,1,0)</f>
        <v>1</v>
      </c>
      <c r="AN34" s="90">
        <f>IF(DATEDIF('01 Major Assumptions'!$D$6,'01 Major Assumptions'!AN$11,"m")+1&gt;=$E34,1,0)</f>
        <v>1</v>
      </c>
      <c r="AO34" s="90">
        <f>IF(DATEDIF('01 Major Assumptions'!$D$6,'01 Major Assumptions'!AO$11,"m")+1&gt;=$E34,1,0)</f>
        <v>1</v>
      </c>
      <c r="AP34" s="90">
        <f>IF(DATEDIF('01 Major Assumptions'!$D$6,'01 Major Assumptions'!AP$11,"m")+1&gt;=$E34,1,0)</f>
        <v>1</v>
      </c>
      <c r="AQ34" s="90">
        <f>IF(DATEDIF('01 Major Assumptions'!$D$6,'01 Major Assumptions'!AQ$11,"m")+1&gt;=$E34,1,0)</f>
        <v>1</v>
      </c>
      <c r="AR34" s="90">
        <f>IF(DATEDIF('01 Major Assumptions'!$D$6,'01 Major Assumptions'!AR$11,"m")+1&gt;=$E34,1,0)</f>
        <v>1</v>
      </c>
      <c r="AS34" s="90">
        <f>IF(DATEDIF('01 Major Assumptions'!$D$6,'01 Major Assumptions'!AS$11,"m")+1&gt;=$E34,1,0)</f>
        <v>1</v>
      </c>
      <c r="AT34" s="90">
        <f>IF(DATEDIF('01 Major Assumptions'!$D$6,'01 Major Assumptions'!AT$11,"m")+1&gt;=$E34,1,0)</f>
        <v>1</v>
      </c>
      <c r="AU34" s="90">
        <f>IF(DATEDIF('01 Major Assumptions'!$D$6,'01 Major Assumptions'!AU$11,"m")+1&gt;=$E34,1,0)</f>
        <v>1</v>
      </c>
      <c r="AV34" s="90">
        <f>IF(DATEDIF('01 Major Assumptions'!$D$6,'01 Major Assumptions'!AV$11,"m")+1&gt;=$E34,1,0)</f>
        <v>1</v>
      </c>
      <c r="AW34" s="90">
        <f>IF(DATEDIF('01 Major Assumptions'!$D$6,'01 Major Assumptions'!AW$11,"m")+1&gt;=$E34,1,0)</f>
        <v>1</v>
      </c>
      <c r="AX34" s="90">
        <f>IF(DATEDIF('01 Major Assumptions'!$D$6,'01 Major Assumptions'!AX$11,"m")+1&gt;=$E34,1,0)</f>
        <v>1</v>
      </c>
      <c r="AY34" s="90">
        <f>IF(DATEDIF('01 Major Assumptions'!$D$6,'01 Major Assumptions'!AY$11,"m")+1&gt;=$E34,1,0)</f>
        <v>1</v>
      </c>
      <c r="AZ34" s="90">
        <f>IF(DATEDIF('01 Major Assumptions'!$D$6,'01 Major Assumptions'!AZ$11,"m")+1&gt;=$E34,1,0)</f>
        <v>1</v>
      </c>
      <c r="BA34" s="90">
        <f>IF(DATEDIF('01 Major Assumptions'!$D$6,'01 Major Assumptions'!BA$11,"m")+1&gt;=$E34,1,0)</f>
        <v>1</v>
      </c>
      <c r="BB34" s="90">
        <f>IF(DATEDIF('01 Major Assumptions'!$D$6,'01 Major Assumptions'!BB$11,"m")+1&gt;=$E34,1,0)</f>
        <v>1</v>
      </c>
      <c r="BC34" s="90">
        <f>IF(DATEDIF('01 Major Assumptions'!$D$6,'01 Major Assumptions'!BC$11,"m")+1&gt;=$E34,1,0)</f>
        <v>1</v>
      </c>
      <c r="BD34" s="90">
        <f>IF(DATEDIF('01 Major Assumptions'!$D$6,'01 Major Assumptions'!BD$11,"m")+1&gt;=$E34,1,0)</f>
        <v>1</v>
      </c>
      <c r="BE34" s="90">
        <f>IF(DATEDIF('01 Major Assumptions'!$D$6,'01 Major Assumptions'!BE$11,"m")+1&gt;=$E34,1,0)</f>
        <v>1</v>
      </c>
      <c r="BF34" s="90">
        <f>IF(DATEDIF('01 Major Assumptions'!$D$6,'01 Major Assumptions'!BF$11,"m")+1&gt;=$E34,1,0)</f>
        <v>1</v>
      </c>
      <c r="BG34" s="90">
        <f>IF(DATEDIF('01 Major Assumptions'!$D$6,'01 Major Assumptions'!BG$11,"m")+1&gt;=$E34,1,0)</f>
        <v>1</v>
      </c>
      <c r="BH34" s="90">
        <f>IF(DATEDIF('01 Major Assumptions'!$D$6,'01 Major Assumptions'!BH$11,"m")+1&gt;=$E34,1,0)</f>
        <v>1</v>
      </c>
      <c r="BI34" s="90">
        <f>IF(DATEDIF('01 Major Assumptions'!$D$6,'01 Major Assumptions'!BI$11,"m")+1&gt;=$E34,1,0)</f>
        <v>1</v>
      </c>
      <c r="BJ34" s="90">
        <f>IF(DATEDIF('01 Major Assumptions'!$D$6,'01 Major Assumptions'!BJ$11,"m")+1&gt;=$E34,1,0)</f>
        <v>1</v>
      </c>
      <c r="BK34" s="90">
        <f>IF(DATEDIF('01 Major Assumptions'!$D$6,'01 Major Assumptions'!BK$11,"m")+1&gt;=$E34,1,0)</f>
        <v>1</v>
      </c>
      <c r="BL34" s="90">
        <f>IF(DATEDIF('01 Major Assumptions'!$D$6,'01 Major Assumptions'!BL$11,"m")+1&gt;=$E34,1,0)</f>
        <v>1</v>
      </c>
      <c r="BM34" s="90">
        <f>IF(DATEDIF('01 Major Assumptions'!$D$6,'01 Major Assumptions'!BM$11,"m")+1&gt;=$E34,1,0)</f>
        <v>1</v>
      </c>
      <c r="BN34" s="90">
        <f>IF(DATEDIF('01 Major Assumptions'!$D$6,'01 Major Assumptions'!BN$11,"m")+1&gt;=$E34,1,0)</f>
        <v>1</v>
      </c>
      <c r="BO34" s="90">
        <f>IF(DATEDIF('01 Major Assumptions'!$D$6,'01 Major Assumptions'!BO$11,"m")+1&gt;=$E34,1,0)</f>
        <v>1</v>
      </c>
    </row>
    <row r="35" spans="1:67">
      <c r="A35" s="11"/>
      <c r="B35" s="11" t="s">
        <v>623</v>
      </c>
      <c r="C35" s="92">
        <v>1</v>
      </c>
      <c r="D35" s="92">
        <v>12</v>
      </c>
      <c r="E35" s="101">
        <f t="shared" si="0"/>
        <v>13</v>
      </c>
      <c r="F35" s="101"/>
      <c r="G35" s="90">
        <f>IF(DATEDIF('01 Major Assumptions'!$D$6,'01 Major Assumptions'!G$11,"m")+1&gt;=$E35,1,0)</f>
        <v>0</v>
      </c>
      <c r="H35" s="90">
        <f>IF(DATEDIF('01 Major Assumptions'!$D$6,'01 Major Assumptions'!H$11,"m")+1&gt;=$E35,1,0)</f>
        <v>0</v>
      </c>
      <c r="I35" s="90">
        <f>IF(DATEDIF('01 Major Assumptions'!$D$6,'01 Major Assumptions'!I$11,"m")+1&gt;=$E35,1,0)</f>
        <v>0</v>
      </c>
      <c r="J35" s="90">
        <f>IF(DATEDIF('01 Major Assumptions'!$D$6,'01 Major Assumptions'!J$11,"m")+1&gt;=$E35,1,0)</f>
        <v>0</v>
      </c>
      <c r="K35" s="90">
        <f>IF(DATEDIF('01 Major Assumptions'!$D$6,'01 Major Assumptions'!K$11,"m")+1&gt;=$E35,1,0)</f>
        <v>0</v>
      </c>
      <c r="L35" s="90">
        <f>IF(DATEDIF('01 Major Assumptions'!$D$6,'01 Major Assumptions'!L$11,"m")+1&gt;=$E35,1,0)</f>
        <v>0</v>
      </c>
      <c r="M35" s="90">
        <f>IF(DATEDIF('01 Major Assumptions'!$D$6,'01 Major Assumptions'!M$11,"m")+1&gt;=$E35,1,0)</f>
        <v>0</v>
      </c>
      <c r="N35" s="90">
        <f>IF(DATEDIF('01 Major Assumptions'!$D$6,'01 Major Assumptions'!N$11,"m")+1&gt;=$E35,1,0)</f>
        <v>0</v>
      </c>
      <c r="O35" s="90">
        <f>IF(DATEDIF('01 Major Assumptions'!$D$6,'01 Major Assumptions'!O$11,"m")+1&gt;=$E35,1,0)</f>
        <v>0</v>
      </c>
      <c r="P35" s="90">
        <f>IF(DATEDIF('01 Major Assumptions'!$D$6,'01 Major Assumptions'!P$11,"m")+1&gt;=$E35,1,0)</f>
        <v>0</v>
      </c>
      <c r="Q35" s="90">
        <f>IF(DATEDIF('01 Major Assumptions'!$D$6,'01 Major Assumptions'!Q$11,"m")+1&gt;=$E35,1,0)</f>
        <v>0</v>
      </c>
      <c r="R35" s="90">
        <f>IF(DATEDIF('01 Major Assumptions'!$D$6,'01 Major Assumptions'!R$11,"m")+1&gt;=$E35,1,0)</f>
        <v>0</v>
      </c>
      <c r="S35" s="90">
        <f>IF(DATEDIF('01 Major Assumptions'!$D$6,'01 Major Assumptions'!S$11,"m")+1&gt;=$E35,1,0)</f>
        <v>1</v>
      </c>
      <c r="T35" s="90">
        <f>IF(DATEDIF('01 Major Assumptions'!$D$6,'01 Major Assumptions'!T$11,"m")+1&gt;=$E35,1,0)</f>
        <v>1</v>
      </c>
      <c r="U35" s="90">
        <f>IF(DATEDIF('01 Major Assumptions'!$D$6,'01 Major Assumptions'!U$11,"m")+1&gt;=$E35,1,0)</f>
        <v>1</v>
      </c>
      <c r="V35" s="90">
        <f>IF(DATEDIF('01 Major Assumptions'!$D$6,'01 Major Assumptions'!V$11,"m")+1&gt;=$E35,1,0)</f>
        <v>1</v>
      </c>
      <c r="W35" s="90">
        <f>IF(DATEDIF('01 Major Assumptions'!$D$6,'01 Major Assumptions'!W$11,"m")+1&gt;=$E35,1,0)</f>
        <v>1</v>
      </c>
      <c r="X35" s="90">
        <f>IF(DATEDIF('01 Major Assumptions'!$D$6,'01 Major Assumptions'!X$11,"m")+1&gt;=$E35,1,0)</f>
        <v>1</v>
      </c>
      <c r="Y35" s="90">
        <f>IF(DATEDIF('01 Major Assumptions'!$D$6,'01 Major Assumptions'!Y$11,"m")+1&gt;=$E35,1,0)</f>
        <v>1</v>
      </c>
      <c r="Z35" s="90">
        <f>IF(DATEDIF('01 Major Assumptions'!$D$6,'01 Major Assumptions'!Z$11,"m")+1&gt;=$E35,1,0)</f>
        <v>1</v>
      </c>
      <c r="AA35" s="90">
        <f>IF(DATEDIF('01 Major Assumptions'!$D$6,'01 Major Assumptions'!AA$11,"m")+1&gt;=$E35,1,0)</f>
        <v>1</v>
      </c>
      <c r="AB35" s="90">
        <f>IF(DATEDIF('01 Major Assumptions'!$D$6,'01 Major Assumptions'!AB$11,"m")+1&gt;=$E35,1,0)</f>
        <v>1</v>
      </c>
      <c r="AC35" s="90">
        <f>IF(DATEDIF('01 Major Assumptions'!$D$6,'01 Major Assumptions'!AC$11,"m")+1&gt;=$E35,1,0)</f>
        <v>1</v>
      </c>
      <c r="AD35" s="90">
        <f>IF(DATEDIF('01 Major Assumptions'!$D$6,'01 Major Assumptions'!AD$11,"m")+1&gt;=$E35,1,0)</f>
        <v>1</v>
      </c>
      <c r="AE35" s="90">
        <f>IF(DATEDIF('01 Major Assumptions'!$D$6,'01 Major Assumptions'!AE$11,"m")+1&gt;=$E35,1,0)</f>
        <v>1</v>
      </c>
      <c r="AF35" s="90">
        <f>IF(DATEDIF('01 Major Assumptions'!$D$6,'01 Major Assumptions'!AF$11,"m")+1&gt;=$E35,1,0)</f>
        <v>1</v>
      </c>
      <c r="AG35" s="90">
        <f>IF(DATEDIF('01 Major Assumptions'!$D$6,'01 Major Assumptions'!AG$11,"m")+1&gt;=$E35,1,0)</f>
        <v>1</v>
      </c>
      <c r="AH35" s="90">
        <f>IF(DATEDIF('01 Major Assumptions'!$D$6,'01 Major Assumptions'!AH$11,"m")+1&gt;=$E35,1,0)</f>
        <v>1</v>
      </c>
      <c r="AI35" s="90">
        <f>IF(DATEDIF('01 Major Assumptions'!$D$6,'01 Major Assumptions'!AI$11,"m")+1&gt;=$E35,1,0)</f>
        <v>1</v>
      </c>
      <c r="AJ35" s="90">
        <f>IF(DATEDIF('01 Major Assumptions'!$D$6,'01 Major Assumptions'!AJ$11,"m")+1&gt;=$E35,1,0)</f>
        <v>1</v>
      </c>
      <c r="AK35" s="90">
        <f>IF(DATEDIF('01 Major Assumptions'!$D$6,'01 Major Assumptions'!AK$11,"m")+1&gt;=$E35,1,0)</f>
        <v>1</v>
      </c>
      <c r="AL35" s="90">
        <f>IF(DATEDIF('01 Major Assumptions'!$D$6,'01 Major Assumptions'!AL$11,"m")+1&gt;=$E35,1,0)</f>
        <v>1</v>
      </c>
      <c r="AM35" s="90">
        <f>IF(DATEDIF('01 Major Assumptions'!$D$6,'01 Major Assumptions'!AM$11,"m")+1&gt;=$E35,1,0)</f>
        <v>1</v>
      </c>
      <c r="AN35" s="90">
        <f>IF(DATEDIF('01 Major Assumptions'!$D$6,'01 Major Assumptions'!AN$11,"m")+1&gt;=$E35,1,0)</f>
        <v>1</v>
      </c>
      <c r="AO35" s="90">
        <f>IF(DATEDIF('01 Major Assumptions'!$D$6,'01 Major Assumptions'!AO$11,"m")+1&gt;=$E35,1,0)</f>
        <v>1</v>
      </c>
      <c r="AP35" s="90">
        <f>IF(DATEDIF('01 Major Assumptions'!$D$6,'01 Major Assumptions'!AP$11,"m")+1&gt;=$E35,1,0)</f>
        <v>1</v>
      </c>
      <c r="AQ35" s="90">
        <f>IF(DATEDIF('01 Major Assumptions'!$D$6,'01 Major Assumptions'!AQ$11,"m")+1&gt;=$E35,1,0)</f>
        <v>1</v>
      </c>
      <c r="AR35" s="90">
        <f>IF(DATEDIF('01 Major Assumptions'!$D$6,'01 Major Assumptions'!AR$11,"m")+1&gt;=$E35,1,0)</f>
        <v>1</v>
      </c>
      <c r="AS35" s="90">
        <f>IF(DATEDIF('01 Major Assumptions'!$D$6,'01 Major Assumptions'!AS$11,"m")+1&gt;=$E35,1,0)</f>
        <v>1</v>
      </c>
      <c r="AT35" s="90">
        <f>IF(DATEDIF('01 Major Assumptions'!$D$6,'01 Major Assumptions'!AT$11,"m")+1&gt;=$E35,1,0)</f>
        <v>1</v>
      </c>
      <c r="AU35" s="90">
        <f>IF(DATEDIF('01 Major Assumptions'!$D$6,'01 Major Assumptions'!AU$11,"m")+1&gt;=$E35,1,0)</f>
        <v>1</v>
      </c>
      <c r="AV35" s="90">
        <f>IF(DATEDIF('01 Major Assumptions'!$D$6,'01 Major Assumptions'!AV$11,"m")+1&gt;=$E35,1,0)</f>
        <v>1</v>
      </c>
      <c r="AW35" s="90">
        <f>IF(DATEDIF('01 Major Assumptions'!$D$6,'01 Major Assumptions'!AW$11,"m")+1&gt;=$E35,1,0)</f>
        <v>1</v>
      </c>
      <c r="AX35" s="90">
        <f>IF(DATEDIF('01 Major Assumptions'!$D$6,'01 Major Assumptions'!AX$11,"m")+1&gt;=$E35,1,0)</f>
        <v>1</v>
      </c>
      <c r="AY35" s="90">
        <f>IF(DATEDIF('01 Major Assumptions'!$D$6,'01 Major Assumptions'!AY$11,"m")+1&gt;=$E35,1,0)</f>
        <v>1</v>
      </c>
      <c r="AZ35" s="90">
        <f>IF(DATEDIF('01 Major Assumptions'!$D$6,'01 Major Assumptions'!AZ$11,"m")+1&gt;=$E35,1,0)</f>
        <v>1</v>
      </c>
      <c r="BA35" s="90">
        <f>IF(DATEDIF('01 Major Assumptions'!$D$6,'01 Major Assumptions'!BA$11,"m")+1&gt;=$E35,1,0)</f>
        <v>1</v>
      </c>
      <c r="BB35" s="90">
        <f>IF(DATEDIF('01 Major Assumptions'!$D$6,'01 Major Assumptions'!BB$11,"m")+1&gt;=$E35,1,0)</f>
        <v>1</v>
      </c>
      <c r="BC35" s="90">
        <f>IF(DATEDIF('01 Major Assumptions'!$D$6,'01 Major Assumptions'!BC$11,"m")+1&gt;=$E35,1,0)</f>
        <v>1</v>
      </c>
      <c r="BD35" s="90">
        <f>IF(DATEDIF('01 Major Assumptions'!$D$6,'01 Major Assumptions'!BD$11,"m")+1&gt;=$E35,1,0)</f>
        <v>1</v>
      </c>
      <c r="BE35" s="90">
        <f>IF(DATEDIF('01 Major Assumptions'!$D$6,'01 Major Assumptions'!BE$11,"m")+1&gt;=$E35,1,0)</f>
        <v>1</v>
      </c>
      <c r="BF35" s="90">
        <f>IF(DATEDIF('01 Major Assumptions'!$D$6,'01 Major Assumptions'!BF$11,"m")+1&gt;=$E35,1,0)</f>
        <v>1</v>
      </c>
      <c r="BG35" s="90">
        <f>IF(DATEDIF('01 Major Assumptions'!$D$6,'01 Major Assumptions'!BG$11,"m")+1&gt;=$E35,1,0)</f>
        <v>1</v>
      </c>
      <c r="BH35" s="90">
        <f>IF(DATEDIF('01 Major Assumptions'!$D$6,'01 Major Assumptions'!BH$11,"m")+1&gt;=$E35,1,0)</f>
        <v>1</v>
      </c>
      <c r="BI35" s="90">
        <f>IF(DATEDIF('01 Major Assumptions'!$D$6,'01 Major Assumptions'!BI$11,"m")+1&gt;=$E35,1,0)</f>
        <v>1</v>
      </c>
      <c r="BJ35" s="90">
        <f>IF(DATEDIF('01 Major Assumptions'!$D$6,'01 Major Assumptions'!BJ$11,"m")+1&gt;=$E35,1,0)</f>
        <v>1</v>
      </c>
      <c r="BK35" s="90">
        <f>IF(DATEDIF('01 Major Assumptions'!$D$6,'01 Major Assumptions'!BK$11,"m")+1&gt;=$E35,1,0)</f>
        <v>1</v>
      </c>
      <c r="BL35" s="90">
        <f>IF(DATEDIF('01 Major Assumptions'!$D$6,'01 Major Assumptions'!BL$11,"m")+1&gt;=$E35,1,0)</f>
        <v>1</v>
      </c>
      <c r="BM35" s="90">
        <f>IF(DATEDIF('01 Major Assumptions'!$D$6,'01 Major Assumptions'!BM$11,"m")+1&gt;=$E35,1,0)</f>
        <v>1</v>
      </c>
      <c r="BN35" s="90">
        <f>IF(DATEDIF('01 Major Assumptions'!$D$6,'01 Major Assumptions'!BN$11,"m")+1&gt;=$E35,1,0)</f>
        <v>1</v>
      </c>
      <c r="BO35" s="90">
        <f>IF(DATEDIF('01 Major Assumptions'!$D$6,'01 Major Assumptions'!BO$11,"m")+1&gt;=$E35,1,0)</f>
        <v>1</v>
      </c>
    </row>
    <row r="36" spans="1:67">
      <c r="A36" s="11"/>
      <c r="B36" s="11" t="s">
        <v>624</v>
      </c>
      <c r="C36" s="92">
        <v>24</v>
      </c>
      <c r="D36" s="92">
        <v>12</v>
      </c>
      <c r="E36" s="101">
        <f t="shared" si="0"/>
        <v>36</v>
      </c>
      <c r="F36" s="101"/>
      <c r="G36" s="90">
        <f>IF(DATEDIF('01 Major Assumptions'!$D$6,'01 Major Assumptions'!G$11,"m")+1&gt;=$E36,1,0)</f>
        <v>0</v>
      </c>
      <c r="H36" s="90">
        <f>IF(DATEDIF('01 Major Assumptions'!$D$6,'01 Major Assumptions'!H$11,"m")+1&gt;=$E36,1,0)</f>
        <v>0</v>
      </c>
      <c r="I36" s="90">
        <f>IF(DATEDIF('01 Major Assumptions'!$D$6,'01 Major Assumptions'!I$11,"m")+1&gt;=$E36,1,0)</f>
        <v>0</v>
      </c>
      <c r="J36" s="90">
        <f>IF(DATEDIF('01 Major Assumptions'!$D$6,'01 Major Assumptions'!J$11,"m")+1&gt;=$E36,1,0)</f>
        <v>0</v>
      </c>
      <c r="K36" s="90">
        <f>IF(DATEDIF('01 Major Assumptions'!$D$6,'01 Major Assumptions'!K$11,"m")+1&gt;=$E36,1,0)</f>
        <v>0</v>
      </c>
      <c r="L36" s="90">
        <f>IF(DATEDIF('01 Major Assumptions'!$D$6,'01 Major Assumptions'!L$11,"m")+1&gt;=$E36,1,0)</f>
        <v>0</v>
      </c>
      <c r="M36" s="90">
        <f>IF(DATEDIF('01 Major Assumptions'!$D$6,'01 Major Assumptions'!M$11,"m")+1&gt;=$E36,1,0)</f>
        <v>0</v>
      </c>
      <c r="N36" s="90">
        <f>IF(DATEDIF('01 Major Assumptions'!$D$6,'01 Major Assumptions'!N$11,"m")+1&gt;=$E36,1,0)</f>
        <v>0</v>
      </c>
      <c r="O36" s="90">
        <f>IF(DATEDIF('01 Major Assumptions'!$D$6,'01 Major Assumptions'!O$11,"m")+1&gt;=$E36,1,0)</f>
        <v>0</v>
      </c>
      <c r="P36" s="90">
        <f>IF(DATEDIF('01 Major Assumptions'!$D$6,'01 Major Assumptions'!P$11,"m")+1&gt;=$E36,1,0)</f>
        <v>0</v>
      </c>
      <c r="Q36" s="90">
        <f>IF(DATEDIF('01 Major Assumptions'!$D$6,'01 Major Assumptions'!Q$11,"m")+1&gt;=$E36,1,0)</f>
        <v>0</v>
      </c>
      <c r="R36" s="90">
        <f>IF(DATEDIF('01 Major Assumptions'!$D$6,'01 Major Assumptions'!R$11,"m")+1&gt;=$E36,1,0)</f>
        <v>0</v>
      </c>
      <c r="S36" s="90">
        <f>IF(DATEDIF('01 Major Assumptions'!$D$6,'01 Major Assumptions'!S$11,"m")+1&gt;=$E36,1,0)</f>
        <v>0</v>
      </c>
      <c r="T36" s="90">
        <f>IF(DATEDIF('01 Major Assumptions'!$D$6,'01 Major Assumptions'!T$11,"m")+1&gt;=$E36,1,0)</f>
        <v>0</v>
      </c>
      <c r="U36" s="90">
        <f>IF(DATEDIF('01 Major Assumptions'!$D$6,'01 Major Assumptions'!U$11,"m")+1&gt;=$E36,1,0)</f>
        <v>0</v>
      </c>
      <c r="V36" s="90">
        <f>IF(DATEDIF('01 Major Assumptions'!$D$6,'01 Major Assumptions'!V$11,"m")+1&gt;=$E36,1,0)</f>
        <v>0</v>
      </c>
      <c r="W36" s="90">
        <f>IF(DATEDIF('01 Major Assumptions'!$D$6,'01 Major Assumptions'!W$11,"m")+1&gt;=$E36,1,0)</f>
        <v>0</v>
      </c>
      <c r="X36" s="90">
        <f>IF(DATEDIF('01 Major Assumptions'!$D$6,'01 Major Assumptions'!X$11,"m")+1&gt;=$E36,1,0)</f>
        <v>0</v>
      </c>
      <c r="Y36" s="90">
        <f>IF(DATEDIF('01 Major Assumptions'!$D$6,'01 Major Assumptions'!Y$11,"m")+1&gt;=$E36,1,0)</f>
        <v>0</v>
      </c>
      <c r="Z36" s="90">
        <f>IF(DATEDIF('01 Major Assumptions'!$D$6,'01 Major Assumptions'!Z$11,"m")+1&gt;=$E36,1,0)</f>
        <v>0</v>
      </c>
      <c r="AA36" s="90">
        <f>IF(DATEDIF('01 Major Assumptions'!$D$6,'01 Major Assumptions'!AA$11,"m")+1&gt;=$E36,1,0)</f>
        <v>0</v>
      </c>
      <c r="AB36" s="90">
        <f>IF(DATEDIF('01 Major Assumptions'!$D$6,'01 Major Assumptions'!AB$11,"m")+1&gt;=$E36,1,0)</f>
        <v>0</v>
      </c>
      <c r="AC36" s="90">
        <f>IF(DATEDIF('01 Major Assumptions'!$D$6,'01 Major Assumptions'!AC$11,"m")+1&gt;=$E36,1,0)</f>
        <v>0</v>
      </c>
      <c r="AD36" s="90">
        <f>IF(DATEDIF('01 Major Assumptions'!$D$6,'01 Major Assumptions'!AD$11,"m")+1&gt;=$E36,1,0)</f>
        <v>0</v>
      </c>
      <c r="AE36" s="90">
        <f>IF(DATEDIF('01 Major Assumptions'!$D$6,'01 Major Assumptions'!AE$11,"m")+1&gt;=$E36,1,0)</f>
        <v>0</v>
      </c>
      <c r="AF36" s="90">
        <f>IF(DATEDIF('01 Major Assumptions'!$D$6,'01 Major Assumptions'!AF$11,"m")+1&gt;=$E36,1,0)</f>
        <v>0</v>
      </c>
      <c r="AG36" s="90">
        <f>IF(DATEDIF('01 Major Assumptions'!$D$6,'01 Major Assumptions'!AG$11,"m")+1&gt;=$E36,1,0)</f>
        <v>0</v>
      </c>
      <c r="AH36" s="90">
        <f>IF(DATEDIF('01 Major Assumptions'!$D$6,'01 Major Assumptions'!AH$11,"m")+1&gt;=$E36,1,0)</f>
        <v>0</v>
      </c>
      <c r="AI36" s="90">
        <f>IF(DATEDIF('01 Major Assumptions'!$D$6,'01 Major Assumptions'!AI$11,"m")+1&gt;=$E36,1,0)</f>
        <v>0</v>
      </c>
      <c r="AJ36" s="90">
        <f>IF(DATEDIF('01 Major Assumptions'!$D$6,'01 Major Assumptions'!AJ$11,"m")+1&gt;=$E36,1,0)</f>
        <v>0</v>
      </c>
      <c r="AK36" s="90">
        <f>IF(DATEDIF('01 Major Assumptions'!$D$6,'01 Major Assumptions'!AK$11,"m")+1&gt;=$E36,1,0)</f>
        <v>0</v>
      </c>
      <c r="AL36" s="90">
        <f>IF(DATEDIF('01 Major Assumptions'!$D$6,'01 Major Assumptions'!AL$11,"m")+1&gt;=$E36,1,0)</f>
        <v>0</v>
      </c>
      <c r="AM36" s="90">
        <f>IF(DATEDIF('01 Major Assumptions'!$D$6,'01 Major Assumptions'!AM$11,"m")+1&gt;=$E36,1,0)</f>
        <v>0</v>
      </c>
      <c r="AN36" s="90">
        <f>IF(DATEDIF('01 Major Assumptions'!$D$6,'01 Major Assumptions'!AN$11,"m")+1&gt;=$E36,1,0)</f>
        <v>0</v>
      </c>
      <c r="AO36" s="90">
        <f>IF(DATEDIF('01 Major Assumptions'!$D$6,'01 Major Assumptions'!AO$11,"m")+1&gt;=$E36,1,0)</f>
        <v>0</v>
      </c>
      <c r="AP36" s="90">
        <f>IF(DATEDIF('01 Major Assumptions'!$D$6,'01 Major Assumptions'!AP$11,"m")+1&gt;=$E36,1,0)</f>
        <v>1</v>
      </c>
      <c r="AQ36" s="90">
        <f>IF(DATEDIF('01 Major Assumptions'!$D$6,'01 Major Assumptions'!AQ$11,"m")+1&gt;=$E36,1,0)</f>
        <v>1</v>
      </c>
      <c r="AR36" s="90">
        <f>IF(DATEDIF('01 Major Assumptions'!$D$6,'01 Major Assumptions'!AR$11,"m")+1&gt;=$E36,1,0)</f>
        <v>1</v>
      </c>
      <c r="AS36" s="90">
        <f>IF(DATEDIF('01 Major Assumptions'!$D$6,'01 Major Assumptions'!AS$11,"m")+1&gt;=$E36,1,0)</f>
        <v>1</v>
      </c>
      <c r="AT36" s="90">
        <f>IF(DATEDIF('01 Major Assumptions'!$D$6,'01 Major Assumptions'!AT$11,"m")+1&gt;=$E36,1,0)</f>
        <v>1</v>
      </c>
      <c r="AU36" s="90">
        <f>IF(DATEDIF('01 Major Assumptions'!$D$6,'01 Major Assumptions'!AU$11,"m")+1&gt;=$E36,1,0)</f>
        <v>1</v>
      </c>
      <c r="AV36" s="90">
        <f>IF(DATEDIF('01 Major Assumptions'!$D$6,'01 Major Assumptions'!AV$11,"m")+1&gt;=$E36,1,0)</f>
        <v>1</v>
      </c>
      <c r="AW36" s="90">
        <f>IF(DATEDIF('01 Major Assumptions'!$D$6,'01 Major Assumptions'!AW$11,"m")+1&gt;=$E36,1,0)</f>
        <v>1</v>
      </c>
      <c r="AX36" s="90">
        <f>IF(DATEDIF('01 Major Assumptions'!$D$6,'01 Major Assumptions'!AX$11,"m")+1&gt;=$E36,1,0)</f>
        <v>1</v>
      </c>
      <c r="AY36" s="90">
        <f>IF(DATEDIF('01 Major Assumptions'!$D$6,'01 Major Assumptions'!AY$11,"m")+1&gt;=$E36,1,0)</f>
        <v>1</v>
      </c>
      <c r="AZ36" s="90">
        <f>IF(DATEDIF('01 Major Assumptions'!$D$6,'01 Major Assumptions'!AZ$11,"m")+1&gt;=$E36,1,0)</f>
        <v>1</v>
      </c>
      <c r="BA36" s="90">
        <f>IF(DATEDIF('01 Major Assumptions'!$D$6,'01 Major Assumptions'!BA$11,"m")+1&gt;=$E36,1,0)</f>
        <v>1</v>
      </c>
      <c r="BB36" s="90">
        <f>IF(DATEDIF('01 Major Assumptions'!$D$6,'01 Major Assumptions'!BB$11,"m")+1&gt;=$E36,1,0)</f>
        <v>1</v>
      </c>
      <c r="BC36" s="90">
        <f>IF(DATEDIF('01 Major Assumptions'!$D$6,'01 Major Assumptions'!BC$11,"m")+1&gt;=$E36,1,0)</f>
        <v>1</v>
      </c>
      <c r="BD36" s="90">
        <f>IF(DATEDIF('01 Major Assumptions'!$D$6,'01 Major Assumptions'!BD$11,"m")+1&gt;=$E36,1,0)</f>
        <v>1</v>
      </c>
      <c r="BE36" s="90">
        <f>IF(DATEDIF('01 Major Assumptions'!$D$6,'01 Major Assumptions'!BE$11,"m")+1&gt;=$E36,1,0)</f>
        <v>1</v>
      </c>
      <c r="BF36" s="90">
        <f>IF(DATEDIF('01 Major Assumptions'!$D$6,'01 Major Assumptions'!BF$11,"m")+1&gt;=$E36,1,0)</f>
        <v>1</v>
      </c>
      <c r="BG36" s="90">
        <f>IF(DATEDIF('01 Major Assumptions'!$D$6,'01 Major Assumptions'!BG$11,"m")+1&gt;=$E36,1,0)</f>
        <v>1</v>
      </c>
      <c r="BH36" s="90">
        <f>IF(DATEDIF('01 Major Assumptions'!$D$6,'01 Major Assumptions'!BH$11,"m")+1&gt;=$E36,1,0)</f>
        <v>1</v>
      </c>
      <c r="BI36" s="90">
        <f>IF(DATEDIF('01 Major Assumptions'!$D$6,'01 Major Assumptions'!BI$11,"m")+1&gt;=$E36,1,0)</f>
        <v>1</v>
      </c>
      <c r="BJ36" s="90">
        <f>IF(DATEDIF('01 Major Assumptions'!$D$6,'01 Major Assumptions'!BJ$11,"m")+1&gt;=$E36,1,0)</f>
        <v>1</v>
      </c>
      <c r="BK36" s="90">
        <f>IF(DATEDIF('01 Major Assumptions'!$D$6,'01 Major Assumptions'!BK$11,"m")+1&gt;=$E36,1,0)</f>
        <v>1</v>
      </c>
      <c r="BL36" s="90">
        <f>IF(DATEDIF('01 Major Assumptions'!$D$6,'01 Major Assumptions'!BL$11,"m")+1&gt;=$E36,1,0)</f>
        <v>1</v>
      </c>
      <c r="BM36" s="90">
        <f>IF(DATEDIF('01 Major Assumptions'!$D$6,'01 Major Assumptions'!BM$11,"m")+1&gt;=$E36,1,0)</f>
        <v>1</v>
      </c>
      <c r="BN36" s="90">
        <f>IF(DATEDIF('01 Major Assumptions'!$D$6,'01 Major Assumptions'!BN$11,"m")+1&gt;=$E36,1,0)</f>
        <v>1</v>
      </c>
      <c r="BO36" s="90">
        <f>IF(DATEDIF('01 Major Assumptions'!$D$6,'01 Major Assumptions'!BO$11,"m")+1&gt;=$E36,1,0)</f>
        <v>1</v>
      </c>
    </row>
    <row r="37" spans="1:67">
      <c r="A37" s="11"/>
      <c r="B37" s="11"/>
      <c r="C37" s="11"/>
      <c r="D37" s="33"/>
      <c r="E37" s="43"/>
      <c r="F37" s="4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c r="BI37" s="33"/>
      <c r="BJ37" s="33"/>
      <c r="BK37" s="33"/>
      <c r="BL37" s="33"/>
      <c r="BM37" s="33"/>
      <c r="BN37" s="33"/>
      <c r="BO37" s="33"/>
    </row>
    <row r="38" spans="1:67">
      <c r="A38" s="18" t="s">
        <v>630</v>
      </c>
      <c r="B38" s="18"/>
      <c r="C38" s="18"/>
      <c r="D38" s="39"/>
      <c r="E38" s="39"/>
      <c r="F38" s="39"/>
      <c r="G38" s="39"/>
      <c r="H38" s="39"/>
      <c r="I38" s="39"/>
      <c r="J38" s="39"/>
      <c r="K38" s="39"/>
      <c r="L38" s="39"/>
      <c r="M38" s="39"/>
      <c r="N38" s="39"/>
      <c r="O38" s="39"/>
      <c r="P38" s="39"/>
      <c r="Q38" s="39"/>
      <c r="R38" s="39"/>
      <c r="S38" s="39"/>
      <c r="T38" s="39"/>
      <c r="U38" s="39"/>
      <c r="V38" s="39"/>
      <c r="W38" s="39"/>
      <c r="X38" s="39"/>
      <c r="Y38" s="39"/>
      <c r="Z38" s="39"/>
      <c r="AA38" s="39"/>
      <c r="AB38" s="39"/>
      <c r="AC38" s="39"/>
      <c r="AD38" s="39"/>
      <c r="AE38" s="39"/>
      <c r="AF38" s="39"/>
      <c r="AG38" s="39"/>
      <c r="AH38" s="39"/>
      <c r="AI38" s="39"/>
      <c r="AJ38" s="39"/>
      <c r="AK38" s="39"/>
      <c r="AL38" s="39"/>
      <c r="AM38" s="39"/>
      <c r="AN38" s="39"/>
      <c r="AO38" s="39"/>
      <c r="AP38" s="39"/>
      <c r="AQ38" s="39"/>
      <c r="AR38" s="39"/>
      <c r="AS38" s="39"/>
      <c r="AT38" s="39"/>
      <c r="AU38" s="39"/>
      <c r="AV38" s="39"/>
      <c r="AW38" s="39"/>
      <c r="AX38" s="39"/>
      <c r="AY38" s="39"/>
      <c r="AZ38" s="39"/>
      <c r="BA38" s="39"/>
      <c r="BB38" s="39"/>
      <c r="BC38" s="39"/>
      <c r="BD38" s="39"/>
      <c r="BE38" s="39"/>
      <c r="BF38" s="39"/>
      <c r="BG38" s="39"/>
      <c r="BH38" s="39"/>
      <c r="BI38" s="39"/>
      <c r="BJ38" s="39"/>
      <c r="BK38" s="39"/>
      <c r="BL38" s="39"/>
      <c r="BM38" s="39"/>
      <c r="BN38" s="39"/>
      <c r="BO38" s="39"/>
    </row>
    <row r="39" spans="1:67">
      <c r="A39" s="11"/>
      <c r="B39" s="11" t="s">
        <v>631</v>
      </c>
      <c r="C39" s="11"/>
      <c r="D39" s="33"/>
      <c r="E39" s="10" t="s">
        <v>460</v>
      </c>
      <c r="F39" s="10"/>
      <c r="G39" s="90">
        <f>G29</f>
        <v>0</v>
      </c>
      <c r="H39" s="90">
        <f t="shared" ref="H39:BO39" si="1">H29</f>
        <v>0</v>
      </c>
      <c r="I39" s="90">
        <f t="shared" si="1"/>
        <v>0</v>
      </c>
      <c r="J39" s="90">
        <f t="shared" si="1"/>
        <v>0</v>
      </c>
      <c r="K39" s="90">
        <f t="shared" si="1"/>
        <v>0</v>
      </c>
      <c r="L39" s="90">
        <f t="shared" si="1"/>
        <v>0</v>
      </c>
      <c r="M39" s="90">
        <f t="shared" si="1"/>
        <v>0</v>
      </c>
      <c r="N39" s="90">
        <f t="shared" si="1"/>
        <v>0</v>
      </c>
      <c r="O39" s="90">
        <f t="shared" si="1"/>
        <v>0</v>
      </c>
      <c r="P39" s="90">
        <f t="shared" si="1"/>
        <v>0</v>
      </c>
      <c r="Q39" s="90">
        <f t="shared" si="1"/>
        <v>0</v>
      </c>
      <c r="R39" s="90">
        <f t="shared" si="1"/>
        <v>0</v>
      </c>
      <c r="S39" s="90">
        <f t="shared" si="1"/>
        <v>0</v>
      </c>
      <c r="T39" s="90">
        <f t="shared" si="1"/>
        <v>0</v>
      </c>
      <c r="U39" s="90">
        <f t="shared" si="1"/>
        <v>0</v>
      </c>
      <c r="V39" s="90">
        <f t="shared" si="1"/>
        <v>0</v>
      </c>
      <c r="W39" s="90">
        <f t="shared" si="1"/>
        <v>0</v>
      </c>
      <c r="X39" s="90">
        <f t="shared" si="1"/>
        <v>0</v>
      </c>
      <c r="Y39" s="90">
        <f t="shared" si="1"/>
        <v>0</v>
      </c>
      <c r="Z39" s="90">
        <f t="shared" si="1"/>
        <v>1</v>
      </c>
      <c r="AA39" s="90">
        <f t="shared" si="1"/>
        <v>1</v>
      </c>
      <c r="AB39" s="90">
        <f t="shared" si="1"/>
        <v>1</v>
      </c>
      <c r="AC39" s="90">
        <f t="shared" si="1"/>
        <v>1</v>
      </c>
      <c r="AD39" s="90">
        <f t="shared" si="1"/>
        <v>1</v>
      </c>
      <c r="AE39" s="90">
        <f t="shared" si="1"/>
        <v>1</v>
      </c>
      <c r="AF39" s="90">
        <f t="shared" si="1"/>
        <v>1</v>
      </c>
      <c r="AG39" s="90">
        <f t="shared" si="1"/>
        <v>1</v>
      </c>
      <c r="AH39" s="90">
        <f t="shared" si="1"/>
        <v>1</v>
      </c>
      <c r="AI39" s="90">
        <f t="shared" si="1"/>
        <v>1</v>
      </c>
      <c r="AJ39" s="90">
        <f t="shared" si="1"/>
        <v>1</v>
      </c>
      <c r="AK39" s="90">
        <f t="shared" si="1"/>
        <v>1</v>
      </c>
      <c r="AL39" s="90">
        <f t="shared" si="1"/>
        <v>1</v>
      </c>
      <c r="AM39" s="90">
        <f t="shared" si="1"/>
        <v>1</v>
      </c>
      <c r="AN39" s="90">
        <f t="shared" si="1"/>
        <v>1</v>
      </c>
      <c r="AO39" s="90">
        <f t="shared" si="1"/>
        <v>1</v>
      </c>
      <c r="AP39" s="90">
        <f t="shared" si="1"/>
        <v>1</v>
      </c>
      <c r="AQ39" s="90">
        <f t="shared" si="1"/>
        <v>1</v>
      </c>
      <c r="AR39" s="90">
        <f t="shared" si="1"/>
        <v>1</v>
      </c>
      <c r="AS39" s="90">
        <f t="shared" si="1"/>
        <v>1</v>
      </c>
      <c r="AT39" s="90">
        <f t="shared" si="1"/>
        <v>1</v>
      </c>
      <c r="AU39" s="90">
        <f t="shared" si="1"/>
        <v>1</v>
      </c>
      <c r="AV39" s="90">
        <f t="shared" si="1"/>
        <v>1</v>
      </c>
      <c r="AW39" s="90">
        <f t="shared" si="1"/>
        <v>1</v>
      </c>
      <c r="AX39" s="90">
        <f t="shared" si="1"/>
        <v>1</v>
      </c>
      <c r="AY39" s="90">
        <f t="shared" si="1"/>
        <v>1</v>
      </c>
      <c r="AZ39" s="90">
        <f t="shared" si="1"/>
        <v>1</v>
      </c>
      <c r="BA39" s="90">
        <f t="shared" si="1"/>
        <v>1</v>
      </c>
      <c r="BB39" s="90">
        <f t="shared" si="1"/>
        <v>1</v>
      </c>
      <c r="BC39" s="90">
        <f t="shared" si="1"/>
        <v>1</v>
      </c>
      <c r="BD39" s="90">
        <f t="shared" si="1"/>
        <v>1</v>
      </c>
      <c r="BE39" s="90">
        <f t="shared" si="1"/>
        <v>1</v>
      </c>
      <c r="BF39" s="90">
        <f t="shared" si="1"/>
        <v>1</v>
      </c>
      <c r="BG39" s="90">
        <f t="shared" si="1"/>
        <v>1</v>
      </c>
      <c r="BH39" s="90">
        <f t="shared" si="1"/>
        <v>1</v>
      </c>
      <c r="BI39" s="90">
        <f t="shared" si="1"/>
        <v>1</v>
      </c>
      <c r="BJ39" s="90">
        <f t="shared" si="1"/>
        <v>1</v>
      </c>
      <c r="BK39" s="90">
        <f t="shared" si="1"/>
        <v>1</v>
      </c>
      <c r="BL39" s="90">
        <f t="shared" si="1"/>
        <v>1</v>
      </c>
      <c r="BM39" s="90">
        <f t="shared" si="1"/>
        <v>1</v>
      </c>
      <c r="BN39" s="90">
        <f t="shared" si="1"/>
        <v>1</v>
      </c>
      <c r="BO39" s="90">
        <f t="shared" si="1"/>
        <v>1</v>
      </c>
    </row>
    <row r="40" spans="1:67">
      <c r="A40" s="11"/>
      <c r="B40" s="11" t="s">
        <v>632</v>
      </c>
      <c r="C40" s="11"/>
      <c r="D40" s="33"/>
      <c r="E40" s="10" t="s">
        <v>460</v>
      </c>
      <c r="F40" s="10"/>
      <c r="G40" s="90">
        <f>MIN(G25,G26,G27)</f>
        <v>0</v>
      </c>
      <c r="H40" s="90">
        <f t="shared" ref="H40:BO40" si="2">MIN(H25,H26,H27)</f>
        <v>0</v>
      </c>
      <c r="I40" s="90">
        <f t="shared" si="2"/>
        <v>0</v>
      </c>
      <c r="J40" s="90">
        <f t="shared" si="2"/>
        <v>0</v>
      </c>
      <c r="K40" s="90">
        <f t="shared" si="2"/>
        <v>0</v>
      </c>
      <c r="L40" s="90">
        <f t="shared" si="2"/>
        <v>0</v>
      </c>
      <c r="M40" s="90">
        <f t="shared" si="2"/>
        <v>0</v>
      </c>
      <c r="N40" s="90">
        <f t="shared" si="2"/>
        <v>0</v>
      </c>
      <c r="O40" s="90">
        <f t="shared" si="2"/>
        <v>0</v>
      </c>
      <c r="P40" s="90">
        <f t="shared" si="2"/>
        <v>0</v>
      </c>
      <c r="Q40" s="90">
        <f t="shared" si="2"/>
        <v>0</v>
      </c>
      <c r="R40" s="90">
        <f t="shared" si="2"/>
        <v>0</v>
      </c>
      <c r="S40" s="90">
        <f t="shared" si="2"/>
        <v>0</v>
      </c>
      <c r="T40" s="90">
        <f t="shared" si="2"/>
        <v>0</v>
      </c>
      <c r="U40" s="90">
        <f t="shared" si="2"/>
        <v>0</v>
      </c>
      <c r="V40" s="90">
        <f t="shared" si="2"/>
        <v>0</v>
      </c>
      <c r="W40" s="90">
        <f t="shared" si="2"/>
        <v>0</v>
      </c>
      <c r="X40" s="90">
        <f t="shared" si="2"/>
        <v>0</v>
      </c>
      <c r="Y40" s="90">
        <f t="shared" si="2"/>
        <v>0</v>
      </c>
      <c r="Z40" s="90">
        <f t="shared" si="2"/>
        <v>1</v>
      </c>
      <c r="AA40" s="90">
        <f t="shared" si="2"/>
        <v>1</v>
      </c>
      <c r="AB40" s="90">
        <f t="shared" si="2"/>
        <v>1</v>
      </c>
      <c r="AC40" s="90">
        <f t="shared" si="2"/>
        <v>1</v>
      </c>
      <c r="AD40" s="90">
        <f t="shared" si="2"/>
        <v>1</v>
      </c>
      <c r="AE40" s="90">
        <f t="shared" si="2"/>
        <v>1</v>
      </c>
      <c r="AF40" s="90">
        <f t="shared" si="2"/>
        <v>1</v>
      </c>
      <c r="AG40" s="90">
        <f t="shared" si="2"/>
        <v>1</v>
      </c>
      <c r="AH40" s="90">
        <f t="shared" si="2"/>
        <v>1</v>
      </c>
      <c r="AI40" s="90">
        <f t="shared" si="2"/>
        <v>1</v>
      </c>
      <c r="AJ40" s="90">
        <f t="shared" si="2"/>
        <v>1</v>
      </c>
      <c r="AK40" s="90">
        <f t="shared" si="2"/>
        <v>1</v>
      </c>
      <c r="AL40" s="90">
        <f t="shared" si="2"/>
        <v>1</v>
      </c>
      <c r="AM40" s="90">
        <f t="shared" si="2"/>
        <v>1</v>
      </c>
      <c r="AN40" s="90">
        <f t="shared" si="2"/>
        <v>1</v>
      </c>
      <c r="AO40" s="90">
        <f t="shared" si="2"/>
        <v>1</v>
      </c>
      <c r="AP40" s="90">
        <f t="shared" si="2"/>
        <v>1</v>
      </c>
      <c r="AQ40" s="90">
        <f t="shared" si="2"/>
        <v>1</v>
      </c>
      <c r="AR40" s="90">
        <f t="shared" si="2"/>
        <v>1</v>
      </c>
      <c r="AS40" s="90">
        <f t="shared" si="2"/>
        <v>1</v>
      </c>
      <c r="AT40" s="90">
        <f t="shared" si="2"/>
        <v>1</v>
      </c>
      <c r="AU40" s="90">
        <f t="shared" si="2"/>
        <v>1</v>
      </c>
      <c r="AV40" s="90">
        <f t="shared" si="2"/>
        <v>1</v>
      </c>
      <c r="AW40" s="90">
        <f t="shared" si="2"/>
        <v>1</v>
      </c>
      <c r="AX40" s="90">
        <f t="shared" si="2"/>
        <v>1</v>
      </c>
      <c r="AY40" s="90">
        <f t="shared" si="2"/>
        <v>1</v>
      </c>
      <c r="AZ40" s="90">
        <f t="shared" si="2"/>
        <v>1</v>
      </c>
      <c r="BA40" s="90">
        <f t="shared" si="2"/>
        <v>1</v>
      </c>
      <c r="BB40" s="90">
        <f t="shared" si="2"/>
        <v>1</v>
      </c>
      <c r="BC40" s="90">
        <f t="shared" si="2"/>
        <v>1</v>
      </c>
      <c r="BD40" s="90">
        <f t="shared" si="2"/>
        <v>1</v>
      </c>
      <c r="BE40" s="90">
        <f t="shared" si="2"/>
        <v>1</v>
      </c>
      <c r="BF40" s="90">
        <f t="shared" si="2"/>
        <v>1</v>
      </c>
      <c r="BG40" s="90">
        <f t="shared" si="2"/>
        <v>1</v>
      </c>
      <c r="BH40" s="90">
        <f t="shared" si="2"/>
        <v>1</v>
      </c>
      <c r="BI40" s="90">
        <f t="shared" si="2"/>
        <v>1</v>
      </c>
      <c r="BJ40" s="90">
        <f t="shared" si="2"/>
        <v>1</v>
      </c>
      <c r="BK40" s="90">
        <f t="shared" si="2"/>
        <v>1</v>
      </c>
      <c r="BL40" s="90">
        <f t="shared" si="2"/>
        <v>1</v>
      </c>
      <c r="BM40" s="90">
        <f t="shared" si="2"/>
        <v>1</v>
      </c>
      <c r="BN40" s="90">
        <f t="shared" si="2"/>
        <v>1</v>
      </c>
      <c r="BO40" s="90">
        <f t="shared" si="2"/>
        <v>1</v>
      </c>
    </row>
    <row r="41" spans="1:67">
      <c r="A41" s="11"/>
      <c r="B41" s="84" t="s">
        <v>633</v>
      </c>
      <c r="C41" s="11"/>
      <c r="D41" s="19">
        <v>0.1</v>
      </c>
      <c r="E41" s="43"/>
      <c r="F41" s="4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row>
    <row r="42" spans="1:67">
      <c r="A42" s="11"/>
      <c r="B42" s="84" t="s">
        <v>634</v>
      </c>
      <c r="C42" s="11"/>
      <c r="D42" s="19">
        <v>0.15</v>
      </c>
      <c r="E42" s="43"/>
      <c r="F42" s="4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row>
    <row r="43" spans="1:67">
      <c r="A43" s="11"/>
      <c r="B43" s="84" t="s">
        <v>635</v>
      </c>
      <c r="C43" s="11"/>
      <c r="D43" s="19">
        <v>0.08</v>
      </c>
      <c r="E43" s="43"/>
      <c r="F43" s="4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row>
    <row r="44" spans="1:67">
      <c r="A44" s="11"/>
      <c r="B44" s="84" t="s">
        <v>636</v>
      </c>
      <c r="C44" s="11"/>
      <c r="D44" s="19">
        <v>0.6</v>
      </c>
      <c r="E44" s="43"/>
      <c r="F44" s="43"/>
      <c r="G44" s="33"/>
      <c r="H44" s="33"/>
      <c r="I44" s="33"/>
      <c r="J44" s="33"/>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row>
    <row r="45" spans="1:67">
      <c r="A45" s="11"/>
      <c r="B45" s="84" t="s">
        <v>637</v>
      </c>
      <c r="C45" s="11"/>
      <c r="D45" s="19">
        <v>1</v>
      </c>
      <c r="E45" s="43"/>
      <c r="F45" s="43"/>
      <c r="G45" s="33"/>
      <c r="H45" s="33"/>
      <c r="I45" s="33"/>
      <c r="J45" s="33"/>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row>
    <row r="46" spans="1:67">
      <c r="A46" s="11"/>
      <c r="B46" s="11" t="s">
        <v>638</v>
      </c>
      <c r="C46" s="11"/>
      <c r="D46" s="33"/>
      <c r="E46" s="10" t="s">
        <v>175</v>
      </c>
      <c r="F46" s="10"/>
      <c r="G46" s="90">
        <f>1+$D$41*G39</f>
        <v>1</v>
      </c>
      <c r="H46" s="90">
        <f t="shared" ref="H46:BO46" si="3">1+$D$41*H39</f>
        <v>1</v>
      </c>
      <c r="I46" s="90">
        <f t="shared" si="3"/>
        <v>1</v>
      </c>
      <c r="J46" s="90">
        <f t="shared" si="3"/>
        <v>1</v>
      </c>
      <c r="K46" s="90">
        <f t="shared" si="3"/>
        <v>1</v>
      </c>
      <c r="L46" s="90">
        <f t="shared" si="3"/>
        <v>1</v>
      </c>
      <c r="M46" s="90">
        <f t="shared" si="3"/>
        <v>1</v>
      </c>
      <c r="N46" s="90">
        <f t="shared" si="3"/>
        <v>1</v>
      </c>
      <c r="O46" s="90">
        <f t="shared" si="3"/>
        <v>1</v>
      </c>
      <c r="P46" s="90">
        <f t="shared" si="3"/>
        <v>1</v>
      </c>
      <c r="Q46" s="90">
        <f t="shared" si="3"/>
        <v>1</v>
      </c>
      <c r="R46" s="90">
        <f t="shared" si="3"/>
        <v>1</v>
      </c>
      <c r="S46" s="90">
        <f t="shared" si="3"/>
        <v>1</v>
      </c>
      <c r="T46" s="90">
        <f t="shared" si="3"/>
        <v>1</v>
      </c>
      <c r="U46" s="90">
        <f t="shared" si="3"/>
        <v>1</v>
      </c>
      <c r="V46" s="90">
        <f t="shared" si="3"/>
        <v>1</v>
      </c>
      <c r="W46" s="90">
        <f t="shared" si="3"/>
        <v>1</v>
      </c>
      <c r="X46" s="90">
        <f t="shared" si="3"/>
        <v>1</v>
      </c>
      <c r="Y46" s="90">
        <f t="shared" si="3"/>
        <v>1</v>
      </c>
      <c r="Z46" s="63">
        <f t="shared" si="3"/>
        <v>1.1000000000000001</v>
      </c>
      <c r="AA46" s="63">
        <f t="shared" si="3"/>
        <v>1.1000000000000001</v>
      </c>
      <c r="AB46" s="63">
        <f t="shared" si="3"/>
        <v>1.1000000000000001</v>
      </c>
      <c r="AC46" s="63">
        <f t="shared" si="3"/>
        <v>1.1000000000000001</v>
      </c>
      <c r="AD46" s="63">
        <f t="shared" si="3"/>
        <v>1.1000000000000001</v>
      </c>
      <c r="AE46" s="63">
        <f t="shared" si="3"/>
        <v>1.1000000000000001</v>
      </c>
      <c r="AF46" s="63">
        <f t="shared" si="3"/>
        <v>1.1000000000000001</v>
      </c>
      <c r="AG46" s="63">
        <f t="shared" si="3"/>
        <v>1.1000000000000001</v>
      </c>
      <c r="AH46" s="63">
        <f t="shared" si="3"/>
        <v>1.1000000000000001</v>
      </c>
      <c r="AI46" s="63">
        <f t="shared" si="3"/>
        <v>1.1000000000000001</v>
      </c>
      <c r="AJ46" s="63">
        <f t="shared" si="3"/>
        <v>1.1000000000000001</v>
      </c>
      <c r="AK46" s="63">
        <f t="shared" si="3"/>
        <v>1.1000000000000001</v>
      </c>
      <c r="AL46" s="63">
        <f t="shared" si="3"/>
        <v>1.1000000000000001</v>
      </c>
      <c r="AM46" s="63">
        <f t="shared" si="3"/>
        <v>1.1000000000000001</v>
      </c>
      <c r="AN46" s="63">
        <f t="shared" si="3"/>
        <v>1.1000000000000001</v>
      </c>
      <c r="AO46" s="63">
        <f t="shared" si="3"/>
        <v>1.1000000000000001</v>
      </c>
      <c r="AP46" s="63">
        <f t="shared" si="3"/>
        <v>1.1000000000000001</v>
      </c>
      <c r="AQ46" s="63">
        <f t="shared" si="3"/>
        <v>1.1000000000000001</v>
      </c>
      <c r="AR46" s="63">
        <f t="shared" si="3"/>
        <v>1.1000000000000001</v>
      </c>
      <c r="AS46" s="63">
        <f t="shared" si="3"/>
        <v>1.1000000000000001</v>
      </c>
      <c r="AT46" s="63">
        <f t="shared" si="3"/>
        <v>1.1000000000000001</v>
      </c>
      <c r="AU46" s="63">
        <f t="shared" si="3"/>
        <v>1.1000000000000001</v>
      </c>
      <c r="AV46" s="63">
        <f t="shared" si="3"/>
        <v>1.1000000000000001</v>
      </c>
      <c r="AW46" s="63">
        <f t="shared" si="3"/>
        <v>1.1000000000000001</v>
      </c>
      <c r="AX46" s="63">
        <f t="shared" si="3"/>
        <v>1.1000000000000001</v>
      </c>
      <c r="AY46" s="63">
        <f t="shared" si="3"/>
        <v>1.1000000000000001</v>
      </c>
      <c r="AZ46" s="63">
        <f t="shared" si="3"/>
        <v>1.1000000000000001</v>
      </c>
      <c r="BA46" s="63">
        <f t="shared" si="3"/>
        <v>1.1000000000000001</v>
      </c>
      <c r="BB46" s="63">
        <f t="shared" si="3"/>
        <v>1.1000000000000001</v>
      </c>
      <c r="BC46" s="63">
        <f t="shared" si="3"/>
        <v>1.1000000000000001</v>
      </c>
      <c r="BD46" s="63">
        <f t="shared" si="3"/>
        <v>1.1000000000000001</v>
      </c>
      <c r="BE46" s="63">
        <f t="shared" si="3"/>
        <v>1.1000000000000001</v>
      </c>
      <c r="BF46" s="63">
        <f t="shared" si="3"/>
        <v>1.1000000000000001</v>
      </c>
      <c r="BG46" s="63">
        <f t="shared" si="3"/>
        <v>1.1000000000000001</v>
      </c>
      <c r="BH46" s="63">
        <f t="shared" si="3"/>
        <v>1.1000000000000001</v>
      </c>
      <c r="BI46" s="63">
        <f t="shared" si="3"/>
        <v>1.1000000000000001</v>
      </c>
      <c r="BJ46" s="63">
        <f t="shared" si="3"/>
        <v>1.1000000000000001</v>
      </c>
      <c r="BK46" s="63">
        <f t="shared" si="3"/>
        <v>1.1000000000000001</v>
      </c>
      <c r="BL46" s="63">
        <f t="shared" si="3"/>
        <v>1.1000000000000001</v>
      </c>
      <c r="BM46" s="63">
        <f t="shared" si="3"/>
        <v>1.1000000000000001</v>
      </c>
      <c r="BN46" s="63">
        <f t="shared" si="3"/>
        <v>1.1000000000000001</v>
      </c>
      <c r="BO46" s="63">
        <f t="shared" si="3"/>
        <v>1.1000000000000001</v>
      </c>
    </row>
    <row r="47" spans="1:67">
      <c r="A47" s="11"/>
      <c r="B47" s="11" t="s">
        <v>639</v>
      </c>
      <c r="C47" s="11"/>
      <c r="D47" s="33"/>
      <c r="E47" s="10" t="s">
        <v>175</v>
      </c>
      <c r="F47" s="10"/>
      <c r="G47" s="90">
        <f>1+$D$42*G39</f>
        <v>1</v>
      </c>
      <c r="H47" s="90">
        <f t="shared" ref="H47:BO47" si="4">1+$D$42*H39</f>
        <v>1</v>
      </c>
      <c r="I47" s="90">
        <f t="shared" si="4"/>
        <v>1</v>
      </c>
      <c r="J47" s="90">
        <f t="shared" si="4"/>
        <v>1</v>
      </c>
      <c r="K47" s="90">
        <f t="shared" si="4"/>
        <v>1</v>
      </c>
      <c r="L47" s="90">
        <f t="shared" si="4"/>
        <v>1</v>
      </c>
      <c r="M47" s="90">
        <f t="shared" si="4"/>
        <v>1</v>
      </c>
      <c r="N47" s="90">
        <f t="shared" si="4"/>
        <v>1</v>
      </c>
      <c r="O47" s="90">
        <f t="shared" si="4"/>
        <v>1</v>
      </c>
      <c r="P47" s="90">
        <f t="shared" si="4"/>
        <v>1</v>
      </c>
      <c r="Q47" s="90">
        <f t="shared" si="4"/>
        <v>1</v>
      </c>
      <c r="R47" s="90">
        <f t="shared" si="4"/>
        <v>1</v>
      </c>
      <c r="S47" s="90">
        <f t="shared" si="4"/>
        <v>1</v>
      </c>
      <c r="T47" s="90">
        <f t="shared" si="4"/>
        <v>1</v>
      </c>
      <c r="U47" s="90">
        <f t="shared" si="4"/>
        <v>1</v>
      </c>
      <c r="V47" s="90">
        <f t="shared" si="4"/>
        <v>1</v>
      </c>
      <c r="W47" s="90">
        <f t="shared" si="4"/>
        <v>1</v>
      </c>
      <c r="X47" s="90">
        <f t="shared" si="4"/>
        <v>1</v>
      </c>
      <c r="Y47" s="90">
        <f t="shared" si="4"/>
        <v>1</v>
      </c>
      <c r="Z47" s="63">
        <f t="shared" si="4"/>
        <v>1.1499999999999999</v>
      </c>
      <c r="AA47" s="63">
        <f t="shared" si="4"/>
        <v>1.1499999999999999</v>
      </c>
      <c r="AB47" s="63">
        <f t="shared" si="4"/>
        <v>1.1499999999999999</v>
      </c>
      <c r="AC47" s="63">
        <f t="shared" si="4"/>
        <v>1.1499999999999999</v>
      </c>
      <c r="AD47" s="63">
        <f t="shared" si="4"/>
        <v>1.1499999999999999</v>
      </c>
      <c r="AE47" s="63">
        <f t="shared" si="4"/>
        <v>1.1499999999999999</v>
      </c>
      <c r="AF47" s="63">
        <f t="shared" si="4"/>
        <v>1.1499999999999999</v>
      </c>
      <c r="AG47" s="63">
        <f t="shared" si="4"/>
        <v>1.1499999999999999</v>
      </c>
      <c r="AH47" s="63">
        <f t="shared" si="4"/>
        <v>1.1499999999999999</v>
      </c>
      <c r="AI47" s="63">
        <f t="shared" si="4"/>
        <v>1.1499999999999999</v>
      </c>
      <c r="AJ47" s="63">
        <f t="shared" si="4"/>
        <v>1.1499999999999999</v>
      </c>
      <c r="AK47" s="63">
        <f t="shared" si="4"/>
        <v>1.1499999999999999</v>
      </c>
      <c r="AL47" s="63">
        <f t="shared" si="4"/>
        <v>1.1499999999999999</v>
      </c>
      <c r="AM47" s="63">
        <f t="shared" si="4"/>
        <v>1.1499999999999999</v>
      </c>
      <c r="AN47" s="63">
        <f t="shared" si="4"/>
        <v>1.1499999999999999</v>
      </c>
      <c r="AO47" s="63">
        <f t="shared" si="4"/>
        <v>1.1499999999999999</v>
      </c>
      <c r="AP47" s="63">
        <f t="shared" si="4"/>
        <v>1.1499999999999999</v>
      </c>
      <c r="AQ47" s="63">
        <f t="shared" si="4"/>
        <v>1.1499999999999999</v>
      </c>
      <c r="AR47" s="63">
        <f t="shared" si="4"/>
        <v>1.1499999999999999</v>
      </c>
      <c r="AS47" s="63">
        <f t="shared" si="4"/>
        <v>1.1499999999999999</v>
      </c>
      <c r="AT47" s="63">
        <f t="shared" si="4"/>
        <v>1.1499999999999999</v>
      </c>
      <c r="AU47" s="63">
        <f t="shared" si="4"/>
        <v>1.1499999999999999</v>
      </c>
      <c r="AV47" s="63">
        <f t="shared" si="4"/>
        <v>1.1499999999999999</v>
      </c>
      <c r="AW47" s="63">
        <f t="shared" si="4"/>
        <v>1.1499999999999999</v>
      </c>
      <c r="AX47" s="63">
        <f t="shared" si="4"/>
        <v>1.1499999999999999</v>
      </c>
      <c r="AY47" s="63">
        <f t="shared" si="4"/>
        <v>1.1499999999999999</v>
      </c>
      <c r="AZ47" s="63">
        <f t="shared" si="4"/>
        <v>1.1499999999999999</v>
      </c>
      <c r="BA47" s="63">
        <f t="shared" si="4"/>
        <v>1.1499999999999999</v>
      </c>
      <c r="BB47" s="63">
        <f t="shared" si="4"/>
        <v>1.1499999999999999</v>
      </c>
      <c r="BC47" s="63">
        <f t="shared" si="4"/>
        <v>1.1499999999999999</v>
      </c>
      <c r="BD47" s="63">
        <f t="shared" si="4"/>
        <v>1.1499999999999999</v>
      </c>
      <c r="BE47" s="63">
        <f t="shared" si="4"/>
        <v>1.1499999999999999</v>
      </c>
      <c r="BF47" s="63">
        <f t="shared" si="4"/>
        <v>1.1499999999999999</v>
      </c>
      <c r="BG47" s="63">
        <f t="shared" si="4"/>
        <v>1.1499999999999999</v>
      </c>
      <c r="BH47" s="63">
        <f t="shared" si="4"/>
        <v>1.1499999999999999</v>
      </c>
      <c r="BI47" s="63">
        <f t="shared" si="4"/>
        <v>1.1499999999999999</v>
      </c>
      <c r="BJ47" s="63">
        <f t="shared" si="4"/>
        <v>1.1499999999999999</v>
      </c>
      <c r="BK47" s="63">
        <f t="shared" si="4"/>
        <v>1.1499999999999999</v>
      </c>
      <c r="BL47" s="63">
        <f t="shared" si="4"/>
        <v>1.1499999999999999</v>
      </c>
      <c r="BM47" s="63">
        <f t="shared" si="4"/>
        <v>1.1499999999999999</v>
      </c>
      <c r="BN47" s="63">
        <f t="shared" si="4"/>
        <v>1.1499999999999999</v>
      </c>
      <c r="BO47" s="63">
        <f t="shared" si="4"/>
        <v>1.1499999999999999</v>
      </c>
    </row>
    <row r="48" spans="1:67">
      <c r="A48" s="11"/>
      <c r="B48" s="11" t="s">
        <v>640</v>
      </c>
      <c r="C48" s="11"/>
      <c r="D48" s="33"/>
      <c r="E48" s="10" t="s">
        <v>175</v>
      </c>
      <c r="F48" s="10"/>
      <c r="G48" s="90">
        <f>1+$D$43*G39</f>
        <v>1</v>
      </c>
      <c r="H48" s="90">
        <f t="shared" ref="H48:BO48" si="5">1+$D$43*H39</f>
        <v>1</v>
      </c>
      <c r="I48" s="90">
        <f t="shared" si="5"/>
        <v>1</v>
      </c>
      <c r="J48" s="90">
        <f t="shared" si="5"/>
        <v>1</v>
      </c>
      <c r="K48" s="90">
        <f t="shared" si="5"/>
        <v>1</v>
      </c>
      <c r="L48" s="90">
        <f t="shared" si="5"/>
        <v>1</v>
      </c>
      <c r="M48" s="90">
        <f t="shared" si="5"/>
        <v>1</v>
      </c>
      <c r="N48" s="90">
        <f t="shared" si="5"/>
        <v>1</v>
      </c>
      <c r="O48" s="90">
        <f t="shared" si="5"/>
        <v>1</v>
      </c>
      <c r="P48" s="90">
        <f t="shared" si="5"/>
        <v>1</v>
      </c>
      <c r="Q48" s="90">
        <f t="shared" si="5"/>
        <v>1</v>
      </c>
      <c r="R48" s="90">
        <f t="shared" si="5"/>
        <v>1</v>
      </c>
      <c r="S48" s="90">
        <f t="shared" si="5"/>
        <v>1</v>
      </c>
      <c r="T48" s="90">
        <f t="shared" si="5"/>
        <v>1</v>
      </c>
      <c r="U48" s="90">
        <f t="shared" si="5"/>
        <v>1</v>
      </c>
      <c r="V48" s="90">
        <f t="shared" si="5"/>
        <v>1</v>
      </c>
      <c r="W48" s="90">
        <f t="shared" si="5"/>
        <v>1</v>
      </c>
      <c r="X48" s="90">
        <f t="shared" si="5"/>
        <v>1</v>
      </c>
      <c r="Y48" s="90">
        <f t="shared" si="5"/>
        <v>1</v>
      </c>
      <c r="Z48" s="63">
        <f t="shared" si="5"/>
        <v>1.08</v>
      </c>
      <c r="AA48" s="63">
        <f t="shared" si="5"/>
        <v>1.08</v>
      </c>
      <c r="AB48" s="63">
        <f t="shared" si="5"/>
        <v>1.08</v>
      </c>
      <c r="AC48" s="63">
        <f t="shared" si="5"/>
        <v>1.08</v>
      </c>
      <c r="AD48" s="63">
        <f t="shared" si="5"/>
        <v>1.08</v>
      </c>
      <c r="AE48" s="63">
        <f t="shared" si="5"/>
        <v>1.08</v>
      </c>
      <c r="AF48" s="63">
        <f t="shared" si="5"/>
        <v>1.08</v>
      </c>
      <c r="AG48" s="63">
        <f t="shared" si="5"/>
        <v>1.08</v>
      </c>
      <c r="AH48" s="63">
        <f t="shared" si="5"/>
        <v>1.08</v>
      </c>
      <c r="AI48" s="63">
        <f t="shared" si="5"/>
        <v>1.08</v>
      </c>
      <c r="AJ48" s="63">
        <f t="shared" si="5"/>
        <v>1.08</v>
      </c>
      <c r="AK48" s="63">
        <f t="shared" si="5"/>
        <v>1.08</v>
      </c>
      <c r="AL48" s="63">
        <f t="shared" si="5"/>
        <v>1.08</v>
      </c>
      <c r="AM48" s="63">
        <f t="shared" si="5"/>
        <v>1.08</v>
      </c>
      <c r="AN48" s="63">
        <f t="shared" si="5"/>
        <v>1.08</v>
      </c>
      <c r="AO48" s="63">
        <f t="shared" si="5"/>
        <v>1.08</v>
      </c>
      <c r="AP48" s="63">
        <f t="shared" si="5"/>
        <v>1.08</v>
      </c>
      <c r="AQ48" s="63">
        <f t="shared" si="5"/>
        <v>1.08</v>
      </c>
      <c r="AR48" s="63">
        <f t="shared" si="5"/>
        <v>1.08</v>
      </c>
      <c r="AS48" s="63">
        <f t="shared" si="5"/>
        <v>1.08</v>
      </c>
      <c r="AT48" s="63">
        <f t="shared" si="5"/>
        <v>1.08</v>
      </c>
      <c r="AU48" s="63">
        <f t="shared" si="5"/>
        <v>1.08</v>
      </c>
      <c r="AV48" s="63">
        <f t="shared" si="5"/>
        <v>1.08</v>
      </c>
      <c r="AW48" s="63">
        <f t="shared" si="5"/>
        <v>1.08</v>
      </c>
      <c r="AX48" s="63">
        <f t="shared" si="5"/>
        <v>1.08</v>
      </c>
      <c r="AY48" s="63">
        <f t="shared" si="5"/>
        <v>1.08</v>
      </c>
      <c r="AZ48" s="63">
        <f t="shared" si="5"/>
        <v>1.08</v>
      </c>
      <c r="BA48" s="63">
        <f t="shared" si="5"/>
        <v>1.08</v>
      </c>
      <c r="BB48" s="63">
        <f t="shared" si="5"/>
        <v>1.08</v>
      </c>
      <c r="BC48" s="63">
        <f t="shared" si="5"/>
        <v>1.08</v>
      </c>
      <c r="BD48" s="63">
        <f t="shared" si="5"/>
        <v>1.08</v>
      </c>
      <c r="BE48" s="63">
        <f t="shared" si="5"/>
        <v>1.08</v>
      </c>
      <c r="BF48" s="63">
        <f t="shared" si="5"/>
        <v>1.08</v>
      </c>
      <c r="BG48" s="63">
        <f t="shared" si="5"/>
        <v>1.08</v>
      </c>
      <c r="BH48" s="63">
        <f t="shared" si="5"/>
        <v>1.08</v>
      </c>
      <c r="BI48" s="63">
        <f t="shared" si="5"/>
        <v>1.08</v>
      </c>
      <c r="BJ48" s="63">
        <f t="shared" si="5"/>
        <v>1.08</v>
      </c>
      <c r="BK48" s="63">
        <f t="shared" si="5"/>
        <v>1.08</v>
      </c>
      <c r="BL48" s="63">
        <f t="shared" si="5"/>
        <v>1.08</v>
      </c>
      <c r="BM48" s="63">
        <f t="shared" si="5"/>
        <v>1.08</v>
      </c>
      <c r="BN48" s="63">
        <f t="shared" si="5"/>
        <v>1.08</v>
      </c>
      <c r="BO48" s="63">
        <f t="shared" si="5"/>
        <v>1.08</v>
      </c>
    </row>
    <row r="49" spans="1:67">
      <c r="A49" s="11"/>
      <c r="B49" s="11" t="s">
        <v>641</v>
      </c>
      <c r="C49" s="11"/>
      <c r="D49" s="33"/>
      <c r="E49" s="10" t="s">
        <v>7</v>
      </c>
      <c r="F49" s="10"/>
      <c r="G49" s="6">
        <f>IF(G39=1,$D$45,$D$44)</f>
        <v>0.6</v>
      </c>
      <c r="H49" s="6">
        <f t="shared" ref="H49:BO49" si="6">IF(H39=1,$D$45,$D$44)</f>
        <v>0.6</v>
      </c>
      <c r="I49" s="6">
        <f t="shared" si="6"/>
        <v>0.6</v>
      </c>
      <c r="J49" s="6">
        <f t="shared" si="6"/>
        <v>0.6</v>
      </c>
      <c r="K49" s="6">
        <f t="shared" si="6"/>
        <v>0.6</v>
      </c>
      <c r="L49" s="6">
        <f t="shared" si="6"/>
        <v>0.6</v>
      </c>
      <c r="M49" s="6">
        <f t="shared" si="6"/>
        <v>0.6</v>
      </c>
      <c r="N49" s="6">
        <f t="shared" si="6"/>
        <v>0.6</v>
      </c>
      <c r="O49" s="6">
        <f t="shared" si="6"/>
        <v>0.6</v>
      </c>
      <c r="P49" s="6">
        <f t="shared" si="6"/>
        <v>0.6</v>
      </c>
      <c r="Q49" s="6">
        <f t="shared" si="6"/>
        <v>0.6</v>
      </c>
      <c r="R49" s="6">
        <f t="shared" si="6"/>
        <v>0.6</v>
      </c>
      <c r="S49" s="6">
        <f t="shared" si="6"/>
        <v>0.6</v>
      </c>
      <c r="T49" s="6">
        <f t="shared" si="6"/>
        <v>0.6</v>
      </c>
      <c r="U49" s="6">
        <f t="shared" si="6"/>
        <v>0.6</v>
      </c>
      <c r="V49" s="6">
        <f t="shared" si="6"/>
        <v>0.6</v>
      </c>
      <c r="W49" s="6">
        <f t="shared" si="6"/>
        <v>0.6</v>
      </c>
      <c r="X49" s="6">
        <f t="shared" si="6"/>
        <v>0.6</v>
      </c>
      <c r="Y49" s="6">
        <f t="shared" si="6"/>
        <v>0.6</v>
      </c>
      <c r="Z49" s="6">
        <f t="shared" si="6"/>
        <v>1</v>
      </c>
      <c r="AA49" s="6">
        <f t="shared" si="6"/>
        <v>1</v>
      </c>
      <c r="AB49" s="6">
        <f t="shared" si="6"/>
        <v>1</v>
      </c>
      <c r="AC49" s="6">
        <f t="shared" si="6"/>
        <v>1</v>
      </c>
      <c r="AD49" s="6">
        <f t="shared" si="6"/>
        <v>1</v>
      </c>
      <c r="AE49" s="6">
        <f t="shared" si="6"/>
        <v>1</v>
      </c>
      <c r="AF49" s="6">
        <f t="shared" si="6"/>
        <v>1</v>
      </c>
      <c r="AG49" s="6">
        <f t="shared" si="6"/>
        <v>1</v>
      </c>
      <c r="AH49" s="6">
        <f t="shared" si="6"/>
        <v>1</v>
      </c>
      <c r="AI49" s="6">
        <f t="shared" si="6"/>
        <v>1</v>
      </c>
      <c r="AJ49" s="6">
        <f t="shared" si="6"/>
        <v>1</v>
      </c>
      <c r="AK49" s="6">
        <f t="shared" si="6"/>
        <v>1</v>
      </c>
      <c r="AL49" s="6">
        <f t="shared" si="6"/>
        <v>1</v>
      </c>
      <c r="AM49" s="6">
        <f t="shared" si="6"/>
        <v>1</v>
      </c>
      <c r="AN49" s="6">
        <f t="shared" si="6"/>
        <v>1</v>
      </c>
      <c r="AO49" s="6">
        <f t="shared" si="6"/>
        <v>1</v>
      </c>
      <c r="AP49" s="6">
        <f t="shared" si="6"/>
        <v>1</v>
      </c>
      <c r="AQ49" s="6">
        <f t="shared" si="6"/>
        <v>1</v>
      </c>
      <c r="AR49" s="6">
        <f t="shared" si="6"/>
        <v>1</v>
      </c>
      <c r="AS49" s="6">
        <f t="shared" si="6"/>
        <v>1</v>
      </c>
      <c r="AT49" s="6">
        <f t="shared" si="6"/>
        <v>1</v>
      </c>
      <c r="AU49" s="6">
        <f t="shared" si="6"/>
        <v>1</v>
      </c>
      <c r="AV49" s="6">
        <f t="shared" si="6"/>
        <v>1</v>
      </c>
      <c r="AW49" s="6">
        <f t="shared" si="6"/>
        <v>1</v>
      </c>
      <c r="AX49" s="6">
        <f t="shared" si="6"/>
        <v>1</v>
      </c>
      <c r="AY49" s="6">
        <f t="shared" si="6"/>
        <v>1</v>
      </c>
      <c r="AZ49" s="6">
        <f t="shared" si="6"/>
        <v>1</v>
      </c>
      <c r="BA49" s="6">
        <f t="shared" si="6"/>
        <v>1</v>
      </c>
      <c r="BB49" s="6">
        <f t="shared" si="6"/>
        <v>1</v>
      </c>
      <c r="BC49" s="6">
        <f t="shared" si="6"/>
        <v>1</v>
      </c>
      <c r="BD49" s="6">
        <f t="shared" si="6"/>
        <v>1</v>
      </c>
      <c r="BE49" s="6">
        <f t="shared" si="6"/>
        <v>1</v>
      </c>
      <c r="BF49" s="6">
        <f t="shared" si="6"/>
        <v>1</v>
      </c>
      <c r="BG49" s="6">
        <f t="shared" si="6"/>
        <v>1</v>
      </c>
      <c r="BH49" s="6">
        <f t="shared" si="6"/>
        <v>1</v>
      </c>
      <c r="BI49" s="6">
        <f t="shared" si="6"/>
        <v>1</v>
      </c>
      <c r="BJ49" s="6">
        <f t="shared" si="6"/>
        <v>1</v>
      </c>
      <c r="BK49" s="6">
        <f t="shared" si="6"/>
        <v>1</v>
      </c>
      <c r="BL49" s="6">
        <f t="shared" si="6"/>
        <v>1</v>
      </c>
      <c r="BM49" s="6">
        <f t="shared" si="6"/>
        <v>1</v>
      </c>
      <c r="BN49" s="6">
        <f t="shared" si="6"/>
        <v>1</v>
      </c>
      <c r="BO49" s="6">
        <f t="shared" si="6"/>
        <v>1</v>
      </c>
    </row>
    <row r="50" spans="1:67">
      <c r="A50" s="11"/>
      <c r="B50" s="11"/>
      <c r="C50" s="11"/>
      <c r="D50" s="33"/>
      <c r="E50" s="43"/>
      <c r="F50" s="43"/>
      <c r="G50" s="33"/>
      <c r="H50" s="33"/>
      <c r="I50" s="33"/>
      <c r="J50" s="33"/>
      <c r="K50" s="33"/>
      <c r="L50" s="33"/>
      <c r="M50" s="33"/>
      <c r="N50" s="33"/>
      <c r="O50" s="33"/>
      <c r="P50" s="33"/>
      <c r="Q50" s="33"/>
      <c r="R50" s="33"/>
      <c r="S50" s="33"/>
      <c r="T50" s="33"/>
      <c r="U50" s="33"/>
      <c r="V50" s="33"/>
      <c r="W50" s="33"/>
      <c r="X50" s="33"/>
      <c r="Y50" s="33"/>
      <c r="Z50" s="33"/>
      <c r="AA50" s="33"/>
      <c r="AB50" s="33"/>
      <c r="AC50" s="33"/>
      <c r="AD50" s="33"/>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3"/>
      <c r="BN50" s="33"/>
      <c r="BO50" s="33"/>
    </row>
    <row r="51" spans="1:67">
      <c r="A51" s="18" t="s">
        <v>642</v>
      </c>
      <c r="B51" s="18"/>
      <c r="C51" s="18"/>
      <c r="D51" s="39"/>
      <c r="E51" s="39"/>
      <c r="F51" s="39"/>
      <c r="G51" s="39"/>
      <c r="H51" s="39"/>
      <c r="I51" s="39"/>
      <c r="J51" s="39"/>
      <c r="K51" s="39"/>
      <c r="L51" s="39"/>
      <c r="M51" s="39"/>
      <c r="N51" s="39"/>
      <c r="O51" s="39"/>
      <c r="P51" s="39"/>
      <c r="Q51" s="39"/>
      <c r="R51" s="39"/>
      <c r="S51" s="39"/>
      <c r="T51" s="39"/>
      <c r="U51" s="39"/>
      <c r="V51" s="39"/>
      <c r="W51" s="39"/>
      <c r="X51" s="39"/>
      <c r="Y51" s="39"/>
      <c r="Z51" s="39"/>
      <c r="AA51" s="39"/>
      <c r="AB51" s="39"/>
      <c r="AC51" s="39"/>
      <c r="AD51" s="39"/>
      <c r="AE51" s="39"/>
      <c r="AF51" s="39"/>
      <c r="AG51" s="39"/>
      <c r="AH51" s="39"/>
      <c r="AI51" s="39"/>
      <c r="AJ51" s="39"/>
      <c r="AK51" s="39"/>
      <c r="AL51" s="39"/>
      <c r="AM51" s="39"/>
      <c r="AN51" s="39"/>
      <c r="AO51" s="39"/>
      <c r="AP51" s="39"/>
      <c r="AQ51" s="39"/>
      <c r="AR51" s="39"/>
      <c r="AS51" s="39"/>
      <c r="AT51" s="39"/>
      <c r="AU51" s="39"/>
      <c r="AV51" s="39"/>
      <c r="AW51" s="39"/>
      <c r="AX51" s="39"/>
      <c r="AY51" s="39"/>
      <c r="AZ51" s="39"/>
      <c r="BA51" s="39"/>
      <c r="BB51" s="39"/>
      <c r="BC51" s="39"/>
      <c r="BD51" s="39"/>
      <c r="BE51" s="39"/>
      <c r="BF51" s="39"/>
      <c r="BG51" s="39"/>
      <c r="BH51" s="39"/>
      <c r="BI51" s="39"/>
      <c r="BJ51" s="39"/>
      <c r="BK51" s="39"/>
      <c r="BL51" s="39"/>
      <c r="BM51" s="39"/>
      <c r="BN51" s="39"/>
      <c r="BO51" s="39"/>
    </row>
    <row r="52" spans="1:67">
      <c r="A52" s="11"/>
      <c r="B52" s="32" t="str">
        <f t="shared" ref="B52:B63" si="7">B25</f>
        <v>ISO 9001 — quality management system</v>
      </c>
      <c r="C52" s="11"/>
      <c r="D52" s="33"/>
      <c r="E52" s="10" t="s">
        <v>13</v>
      </c>
      <c r="F52" s="10"/>
      <c r="G52" s="90">
        <f>IF(AND((DATEDIF('01 Major Assumptions'!$D$6,'01 Major Assumptions'!G$11,"m")+1)&gt;=$C25,(DATEDIF('01 Major Assumptions'!$D$6,'01 Major Assumptions'!G$11,"m")+1)&lt;$E25),$C9/$D25*'01 Major Assumptions'!G$14,0)+IF((DATEDIF('01 Major Assumptions'!$D$6,'01 Major Assumptions'!G$11,"m")+1)&gt;=$E25,$D9/12*'01 Major Assumptions'!G$14,0)</f>
        <v>0</v>
      </c>
      <c r="H52" s="90">
        <f>IF(AND((DATEDIF('01 Major Assumptions'!$D$6,'01 Major Assumptions'!H$11,"m")+1)&gt;=$C25,(DATEDIF('01 Major Assumptions'!$D$6,'01 Major Assumptions'!H$11,"m")+1)&lt;$E25),$C9/$D25*'01 Major Assumptions'!H$14,0)+IF((DATEDIF('01 Major Assumptions'!$D$6,'01 Major Assumptions'!H$11,"m")+1)&gt;=$E25,$D9/12*'01 Major Assumptions'!H$14,0)</f>
        <v>0</v>
      </c>
      <c r="I52" s="90">
        <f>IF(AND((DATEDIF('01 Major Assumptions'!$D$6,'01 Major Assumptions'!I$11,"m")+1)&gt;=$C25,(DATEDIF('01 Major Assumptions'!$D$6,'01 Major Assumptions'!I$11,"m")+1)&lt;$E25),$C9/$D25*'01 Major Assumptions'!I$14,0)+IF((DATEDIF('01 Major Assumptions'!$D$6,'01 Major Assumptions'!I$11,"m")+1)&gt;=$E25,$D9/12*'01 Major Assumptions'!I$14,0)</f>
        <v>0</v>
      </c>
      <c r="J52" s="90">
        <f>IF(AND((DATEDIF('01 Major Assumptions'!$D$6,'01 Major Assumptions'!J$11,"m")+1)&gt;=$C25,(DATEDIF('01 Major Assumptions'!$D$6,'01 Major Assumptions'!J$11,"m")+1)&lt;$E25),$C9/$D25*'01 Major Assumptions'!J$14,0)+IF((DATEDIF('01 Major Assumptions'!$D$6,'01 Major Assumptions'!J$11,"m")+1)&gt;=$E25,$D9/12*'01 Major Assumptions'!J$14,0)</f>
        <v>0</v>
      </c>
      <c r="K52" s="90">
        <f>IF(AND((DATEDIF('01 Major Assumptions'!$D$6,'01 Major Assumptions'!K$11,"m")+1)&gt;=$C25,(DATEDIF('01 Major Assumptions'!$D$6,'01 Major Assumptions'!K$11,"m")+1)&lt;$E25),$C9/$D25*'01 Major Assumptions'!K$14,0)+IF((DATEDIF('01 Major Assumptions'!$D$6,'01 Major Assumptions'!K$11,"m")+1)&gt;=$E25,$D9/12*'01 Major Assumptions'!K$14,0)</f>
        <v>0</v>
      </c>
      <c r="L52" s="90">
        <f>IF(AND((DATEDIF('01 Major Assumptions'!$D$6,'01 Major Assumptions'!L$11,"m")+1)&gt;=$C25,(DATEDIF('01 Major Assumptions'!$D$6,'01 Major Assumptions'!L$11,"m")+1)&lt;$E25),$C9/$D25*'01 Major Assumptions'!L$14,0)+IF((DATEDIF('01 Major Assumptions'!$D$6,'01 Major Assumptions'!L$11,"m")+1)&gt;=$E25,$D9/12*'01 Major Assumptions'!L$14,0)</f>
        <v>0</v>
      </c>
      <c r="M52" s="90">
        <f>IF(AND((DATEDIF('01 Major Assumptions'!$D$6,'01 Major Assumptions'!M$11,"m")+1)&gt;=$C25,(DATEDIF('01 Major Assumptions'!$D$6,'01 Major Assumptions'!M$11,"m")+1)&lt;$E25),$C9/$D25*'01 Major Assumptions'!M$14,0)+IF((DATEDIF('01 Major Assumptions'!$D$6,'01 Major Assumptions'!M$11,"m")+1)&gt;=$E25,$D9/12*'01 Major Assumptions'!M$14,0)</f>
        <v>0</v>
      </c>
      <c r="N52" s="90">
        <f>IF(AND((DATEDIF('01 Major Assumptions'!$D$6,'01 Major Assumptions'!N$11,"m")+1)&gt;=$C25,(DATEDIF('01 Major Assumptions'!$D$6,'01 Major Assumptions'!N$11,"m")+1)&lt;$E25),$C9/$D25*'01 Major Assumptions'!N$14,0)+IF((DATEDIF('01 Major Assumptions'!$D$6,'01 Major Assumptions'!N$11,"m")+1)&gt;=$E25,$D9/12*'01 Major Assumptions'!N$14,0)</f>
        <v>0</v>
      </c>
      <c r="O52" s="90">
        <f>IF(AND((DATEDIF('01 Major Assumptions'!$D$6,'01 Major Assumptions'!O$11,"m")+1)&gt;=$C25,(DATEDIF('01 Major Assumptions'!$D$6,'01 Major Assumptions'!O$11,"m")+1)&lt;$E25),$C9/$D25*'01 Major Assumptions'!O$14,0)+IF((DATEDIF('01 Major Assumptions'!$D$6,'01 Major Assumptions'!O$11,"m")+1)&gt;=$E25,$D9/12*'01 Major Assumptions'!O$14,0)</f>
        <v>0</v>
      </c>
      <c r="P52" s="90">
        <f>IF(AND((DATEDIF('01 Major Assumptions'!$D$6,'01 Major Assumptions'!P$11,"m")+1)&gt;=$C25,(DATEDIF('01 Major Assumptions'!$D$6,'01 Major Assumptions'!P$11,"m")+1)&lt;$E25),$C9/$D25*'01 Major Assumptions'!P$14,0)+IF((DATEDIF('01 Major Assumptions'!$D$6,'01 Major Assumptions'!P$11,"m")+1)&gt;=$E25,$D9/12*'01 Major Assumptions'!P$14,0)</f>
        <v>43750</v>
      </c>
      <c r="Q52" s="90">
        <f>IF(AND((DATEDIF('01 Major Assumptions'!$D$6,'01 Major Assumptions'!Q$11,"m")+1)&gt;=$C25,(DATEDIF('01 Major Assumptions'!$D$6,'01 Major Assumptions'!Q$11,"m")+1)&lt;$E25),$C9/$D25*'01 Major Assumptions'!Q$14,0)+IF((DATEDIF('01 Major Assumptions'!$D$6,'01 Major Assumptions'!Q$11,"m")+1)&gt;=$E25,$D9/12*'01 Major Assumptions'!Q$14,0)</f>
        <v>43750</v>
      </c>
      <c r="R52" s="90">
        <f>IF(AND((DATEDIF('01 Major Assumptions'!$D$6,'01 Major Assumptions'!R$11,"m")+1)&gt;=$C25,(DATEDIF('01 Major Assumptions'!$D$6,'01 Major Assumptions'!R$11,"m")+1)&lt;$E25),$C9/$D25*'01 Major Assumptions'!R$14,0)+IF((DATEDIF('01 Major Assumptions'!$D$6,'01 Major Assumptions'!R$11,"m")+1)&gt;=$E25,$D9/12*'01 Major Assumptions'!R$14,0)</f>
        <v>43750</v>
      </c>
      <c r="S52" s="90">
        <f>IF(AND((DATEDIF('01 Major Assumptions'!$D$6,'01 Major Assumptions'!S$11,"m")+1)&gt;=$C25,(DATEDIF('01 Major Assumptions'!$D$6,'01 Major Assumptions'!S$11,"m")+1)&lt;$E25),$C9/$D25*'01 Major Assumptions'!S$14,0)+IF((DATEDIF('01 Major Assumptions'!$D$6,'01 Major Assumptions'!S$11,"m")+1)&gt;=$E25,$D9/12*'01 Major Assumptions'!S$14,0)</f>
        <v>43750</v>
      </c>
      <c r="T52" s="90">
        <f>IF(AND((DATEDIF('01 Major Assumptions'!$D$6,'01 Major Assumptions'!T$11,"m")+1)&gt;=$C25,(DATEDIF('01 Major Assumptions'!$D$6,'01 Major Assumptions'!T$11,"m")+1)&lt;$E25),$C9/$D25*'01 Major Assumptions'!T$14,0)+IF((DATEDIF('01 Major Assumptions'!$D$6,'01 Major Assumptions'!T$11,"m")+1)&gt;=$E25,$D9/12*'01 Major Assumptions'!T$14,0)</f>
        <v>43750</v>
      </c>
      <c r="U52" s="90">
        <f>IF(AND((DATEDIF('01 Major Assumptions'!$D$6,'01 Major Assumptions'!U$11,"m")+1)&gt;=$C25,(DATEDIF('01 Major Assumptions'!$D$6,'01 Major Assumptions'!U$11,"m")+1)&lt;$E25),$C9/$D25*'01 Major Assumptions'!U$14,0)+IF((DATEDIF('01 Major Assumptions'!$D$6,'01 Major Assumptions'!U$11,"m")+1)&gt;=$E25,$D9/12*'01 Major Assumptions'!U$14,0)</f>
        <v>43750</v>
      </c>
      <c r="V52" s="90">
        <f>IF(AND((DATEDIF('01 Major Assumptions'!$D$6,'01 Major Assumptions'!V$11,"m")+1)&gt;=$C25,(DATEDIF('01 Major Assumptions'!$D$6,'01 Major Assumptions'!V$11,"m")+1)&lt;$E25),$C9/$D25*'01 Major Assumptions'!V$14,0)+IF((DATEDIF('01 Major Assumptions'!$D$6,'01 Major Assumptions'!V$11,"m")+1)&gt;=$E25,$D9/12*'01 Major Assumptions'!V$14,0)</f>
        <v>43750</v>
      </c>
      <c r="W52" s="90">
        <f>IF(AND((DATEDIF('01 Major Assumptions'!$D$6,'01 Major Assumptions'!W$11,"m")+1)&gt;=$C25,(DATEDIF('01 Major Assumptions'!$D$6,'01 Major Assumptions'!W$11,"m")+1)&lt;$E25),$C9/$D25*'01 Major Assumptions'!W$14,0)+IF((DATEDIF('01 Major Assumptions'!$D$6,'01 Major Assumptions'!W$11,"m")+1)&gt;=$E25,$D9/12*'01 Major Assumptions'!W$14,0)</f>
        <v>43750</v>
      </c>
      <c r="X52" s="90">
        <f>IF(AND((DATEDIF('01 Major Assumptions'!$D$6,'01 Major Assumptions'!X$11,"m")+1)&gt;=$C25,(DATEDIF('01 Major Assumptions'!$D$6,'01 Major Assumptions'!X$11,"m")+1)&lt;$E25),$C9/$D25*'01 Major Assumptions'!X$14,0)+IF((DATEDIF('01 Major Assumptions'!$D$6,'01 Major Assumptions'!X$11,"m")+1)&gt;=$E25,$D9/12*'01 Major Assumptions'!X$14,0)</f>
        <v>10000</v>
      </c>
      <c r="Y52" s="90">
        <f>IF(AND((DATEDIF('01 Major Assumptions'!$D$6,'01 Major Assumptions'!Y$11,"m")+1)&gt;=$C25,(DATEDIF('01 Major Assumptions'!$D$6,'01 Major Assumptions'!Y$11,"m")+1)&lt;$E25),$C9/$D25*'01 Major Assumptions'!Y$14,0)+IF((DATEDIF('01 Major Assumptions'!$D$6,'01 Major Assumptions'!Y$11,"m")+1)&gt;=$E25,$D9/12*'01 Major Assumptions'!Y$14,0)</f>
        <v>10000</v>
      </c>
      <c r="Z52" s="90">
        <f>IF(AND((DATEDIF('01 Major Assumptions'!$D$6,'01 Major Assumptions'!Z$11,"m")+1)&gt;=$C25,(DATEDIF('01 Major Assumptions'!$D$6,'01 Major Assumptions'!Z$11,"m")+1)&lt;$E25),$C9/$D25*'01 Major Assumptions'!Z$14,0)+IF((DATEDIF('01 Major Assumptions'!$D$6,'01 Major Assumptions'!Z$11,"m")+1)&gt;=$E25,$D9/12*'01 Major Assumptions'!Z$14,0)</f>
        <v>10000</v>
      </c>
      <c r="AA52" s="90">
        <f>IF(AND((DATEDIF('01 Major Assumptions'!$D$6,'01 Major Assumptions'!AA$11,"m")+1)&gt;=$C25,(DATEDIF('01 Major Assumptions'!$D$6,'01 Major Assumptions'!AA$11,"m")+1)&lt;$E25),$C9/$D25*'01 Major Assumptions'!AA$14,0)+IF((DATEDIF('01 Major Assumptions'!$D$6,'01 Major Assumptions'!AA$11,"m")+1)&gt;=$E25,$D9/12*'01 Major Assumptions'!AA$14,0)</f>
        <v>10000</v>
      </c>
      <c r="AB52" s="90">
        <f>IF(AND((DATEDIF('01 Major Assumptions'!$D$6,'01 Major Assumptions'!AB$11,"m")+1)&gt;=$C25,(DATEDIF('01 Major Assumptions'!$D$6,'01 Major Assumptions'!AB$11,"m")+1)&lt;$E25),$C9/$D25*'01 Major Assumptions'!AB$14,0)+IF((DATEDIF('01 Major Assumptions'!$D$6,'01 Major Assumptions'!AB$11,"m")+1)&gt;=$E25,$D9/12*'01 Major Assumptions'!AB$14,0)</f>
        <v>10000</v>
      </c>
      <c r="AC52" s="90">
        <f>IF(AND((DATEDIF('01 Major Assumptions'!$D$6,'01 Major Assumptions'!AC$11,"m")+1)&gt;=$C25,(DATEDIF('01 Major Assumptions'!$D$6,'01 Major Assumptions'!AC$11,"m")+1)&lt;$E25),$C9/$D25*'01 Major Assumptions'!AC$14,0)+IF((DATEDIF('01 Major Assumptions'!$D$6,'01 Major Assumptions'!AC$11,"m")+1)&gt;=$E25,$D9/12*'01 Major Assumptions'!AC$14,0)</f>
        <v>10000</v>
      </c>
      <c r="AD52" s="90">
        <f>IF(AND((DATEDIF('01 Major Assumptions'!$D$6,'01 Major Assumptions'!AD$11,"m")+1)&gt;=$C25,(DATEDIF('01 Major Assumptions'!$D$6,'01 Major Assumptions'!AD$11,"m")+1)&lt;$E25),$C9/$D25*'01 Major Assumptions'!AD$14,0)+IF((DATEDIF('01 Major Assumptions'!$D$6,'01 Major Assumptions'!AD$11,"m")+1)&gt;=$E25,$D9/12*'01 Major Assumptions'!AD$14,0)</f>
        <v>10000</v>
      </c>
      <c r="AE52" s="90">
        <f>IF(AND((DATEDIF('01 Major Assumptions'!$D$6,'01 Major Assumptions'!AE$11,"m")+1)&gt;=$C25,(DATEDIF('01 Major Assumptions'!$D$6,'01 Major Assumptions'!AE$11,"m")+1)&lt;$E25),$C9/$D25*'01 Major Assumptions'!AE$14,0)+IF((DATEDIF('01 Major Assumptions'!$D$6,'01 Major Assumptions'!AE$11,"m")+1)&gt;=$E25,$D9/12*'01 Major Assumptions'!AE$14,0)</f>
        <v>10000</v>
      </c>
      <c r="AF52" s="90">
        <f>IF(AND((DATEDIF('01 Major Assumptions'!$D$6,'01 Major Assumptions'!AF$11,"m")+1)&gt;=$C25,(DATEDIF('01 Major Assumptions'!$D$6,'01 Major Assumptions'!AF$11,"m")+1)&lt;$E25),$C9/$D25*'01 Major Assumptions'!AF$14,0)+IF((DATEDIF('01 Major Assumptions'!$D$6,'01 Major Assumptions'!AF$11,"m")+1)&gt;=$E25,$D9/12*'01 Major Assumptions'!AF$14,0)</f>
        <v>10000</v>
      </c>
      <c r="AG52" s="90">
        <f>IF(AND((DATEDIF('01 Major Assumptions'!$D$6,'01 Major Assumptions'!AG$11,"m")+1)&gt;=$C25,(DATEDIF('01 Major Assumptions'!$D$6,'01 Major Assumptions'!AG$11,"m")+1)&lt;$E25),$C9/$D25*'01 Major Assumptions'!AG$14,0)+IF((DATEDIF('01 Major Assumptions'!$D$6,'01 Major Assumptions'!AG$11,"m")+1)&gt;=$E25,$D9/12*'01 Major Assumptions'!AG$14,0)</f>
        <v>10000</v>
      </c>
      <c r="AH52" s="90">
        <f>IF(AND((DATEDIF('01 Major Assumptions'!$D$6,'01 Major Assumptions'!AH$11,"m")+1)&gt;=$C25,(DATEDIF('01 Major Assumptions'!$D$6,'01 Major Assumptions'!AH$11,"m")+1)&lt;$E25),$C9/$D25*'01 Major Assumptions'!AH$14,0)+IF((DATEDIF('01 Major Assumptions'!$D$6,'01 Major Assumptions'!AH$11,"m")+1)&gt;=$E25,$D9/12*'01 Major Assumptions'!AH$14,0)</f>
        <v>10000</v>
      </c>
      <c r="AI52" s="90">
        <f>IF(AND((DATEDIF('01 Major Assumptions'!$D$6,'01 Major Assumptions'!AI$11,"m")+1)&gt;=$C25,(DATEDIF('01 Major Assumptions'!$D$6,'01 Major Assumptions'!AI$11,"m")+1)&lt;$E25),$C9/$D25*'01 Major Assumptions'!AI$14,0)+IF((DATEDIF('01 Major Assumptions'!$D$6,'01 Major Assumptions'!AI$11,"m")+1)&gt;=$E25,$D9/12*'01 Major Assumptions'!AI$14,0)</f>
        <v>10000</v>
      </c>
      <c r="AJ52" s="90">
        <f>IF(AND((DATEDIF('01 Major Assumptions'!$D$6,'01 Major Assumptions'!AJ$11,"m")+1)&gt;=$C25,(DATEDIF('01 Major Assumptions'!$D$6,'01 Major Assumptions'!AJ$11,"m")+1)&lt;$E25),$C9/$D25*'01 Major Assumptions'!AJ$14,0)+IF((DATEDIF('01 Major Assumptions'!$D$6,'01 Major Assumptions'!AJ$11,"m")+1)&gt;=$E25,$D9/12*'01 Major Assumptions'!AJ$14,0)</f>
        <v>10000</v>
      </c>
      <c r="AK52" s="90">
        <f>IF(AND((DATEDIF('01 Major Assumptions'!$D$6,'01 Major Assumptions'!AK$11,"m")+1)&gt;=$C25,(DATEDIF('01 Major Assumptions'!$D$6,'01 Major Assumptions'!AK$11,"m")+1)&lt;$E25),$C9/$D25*'01 Major Assumptions'!AK$14,0)+IF((DATEDIF('01 Major Assumptions'!$D$6,'01 Major Assumptions'!AK$11,"m")+1)&gt;=$E25,$D9/12*'01 Major Assumptions'!AK$14,0)</f>
        <v>10000</v>
      </c>
      <c r="AL52" s="90">
        <f>IF(AND((DATEDIF('01 Major Assumptions'!$D$6,'01 Major Assumptions'!AL$11,"m")+1)&gt;=$C25,(DATEDIF('01 Major Assumptions'!$D$6,'01 Major Assumptions'!AL$11,"m")+1)&lt;$E25),$C9/$D25*'01 Major Assumptions'!AL$14,0)+IF((DATEDIF('01 Major Assumptions'!$D$6,'01 Major Assumptions'!AL$11,"m")+1)&gt;=$E25,$D9/12*'01 Major Assumptions'!AL$14,0)</f>
        <v>10000</v>
      </c>
      <c r="AM52" s="90">
        <f>IF(AND((DATEDIF('01 Major Assumptions'!$D$6,'01 Major Assumptions'!AM$11,"m")+1)&gt;=$C25,(DATEDIF('01 Major Assumptions'!$D$6,'01 Major Assumptions'!AM$11,"m")+1)&lt;$E25),$C9/$D25*'01 Major Assumptions'!AM$14,0)+IF((DATEDIF('01 Major Assumptions'!$D$6,'01 Major Assumptions'!AM$11,"m")+1)&gt;=$E25,$D9/12*'01 Major Assumptions'!AM$14,0)</f>
        <v>10000</v>
      </c>
      <c r="AN52" s="90">
        <f>IF(AND((DATEDIF('01 Major Assumptions'!$D$6,'01 Major Assumptions'!AN$11,"m")+1)&gt;=$C25,(DATEDIF('01 Major Assumptions'!$D$6,'01 Major Assumptions'!AN$11,"m")+1)&lt;$E25),$C9/$D25*'01 Major Assumptions'!AN$14,0)+IF((DATEDIF('01 Major Assumptions'!$D$6,'01 Major Assumptions'!AN$11,"m")+1)&gt;=$E25,$D9/12*'01 Major Assumptions'!AN$14,0)</f>
        <v>10000</v>
      </c>
      <c r="AO52" s="90">
        <f>IF(AND((DATEDIF('01 Major Assumptions'!$D$6,'01 Major Assumptions'!AO$11,"m")+1)&gt;=$C25,(DATEDIF('01 Major Assumptions'!$D$6,'01 Major Assumptions'!AO$11,"m")+1)&lt;$E25),$C9/$D25*'01 Major Assumptions'!AO$14,0)+IF((DATEDIF('01 Major Assumptions'!$D$6,'01 Major Assumptions'!AO$11,"m")+1)&gt;=$E25,$D9/12*'01 Major Assumptions'!AO$14,0)</f>
        <v>10000</v>
      </c>
      <c r="AP52" s="90">
        <f>IF(AND((DATEDIF('01 Major Assumptions'!$D$6,'01 Major Assumptions'!AP$11,"m")+1)&gt;=$C25,(DATEDIF('01 Major Assumptions'!$D$6,'01 Major Assumptions'!AP$11,"m")+1)&lt;$E25),$C9/$D25*'01 Major Assumptions'!AP$14,0)+IF((DATEDIF('01 Major Assumptions'!$D$6,'01 Major Assumptions'!AP$11,"m")+1)&gt;=$E25,$D9/12*'01 Major Assumptions'!AP$14,0)</f>
        <v>10000</v>
      </c>
      <c r="AQ52" s="90">
        <f>IF(AND((DATEDIF('01 Major Assumptions'!$D$6,'01 Major Assumptions'!AQ$11,"m")+1)&gt;=$C25,(DATEDIF('01 Major Assumptions'!$D$6,'01 Major Assumptions'!AQ$11,"m")+1)&lt;$E25),$C9/$D25*'01 Major Assumptions'!AQ$14,0)+IF((DATEDIF('01 Major Assumptions'!$D$6,'01 Major Assumptions'!AQ$11,"m")+1)&gt;=$E25,$D9/12*'01 Major Assumptions'!AQ$14,0)</f>
        <v>10000</v>
      </c>
      <c r="AR52" s="90">
        <f>IF(AND((DATEDIF('01 Major Assumptions'!$D$6,'01 Major Assumptions'!AR$11,"m")+1)&gt;=$C25,(DATEDIF('01 Major Assumptions'!$D$6,'01 Major Assumptions'!AR$11,"m")+1)&lt;$E25),$C9/$D25*'01 Major Assumptions'!AR$14,0)+IF((DATEDIF('01 Major Assumptions'!$D$6,'01 Major Assumptions'!AR$11,"m")+1)&gt;=$E25,$D9/12*'01 Major Assumptions'!AR$14,0)</f>
        <v>10000</v>
      </c>
      <c r="AS52" s="90">
        <f>IF(AND((DATEDIF('01 Major Assumptions'!$D$6,'01 Major Assumptions'!AS$11,"m")+1)&gt;=$C25,(DATEDIF('01 Major Assumptions'!$D$6,'01 Major Assumptions'!AS$11,"m")+1)&lt;$E25),$C9/$D25*'01 Major Assumptions'!AS$14,0)+IF((DATEDIF('01 Major Assumptions'!$D$6,'01 Major Assumptions'!AS$11,"m")+1)&gt;=$E25,$D9/12*'01 Major Assumptions'!AS$14,0)</f>
        <v>10000</v>
      </c>
      <c r="AT52" s="90">
        <f>IF(AND((DATEDIF('01 Major Assumptions'!$D$6,'01 Major Assumptions'!AT$11,"m")+1)&gt;=$C25,(DATEDIF('01 Major Assumptions'!$D$6,'01 Major Assumptions'!AT$11,"m")+1)&lt;$E25),$C9/$D25*'01 Major Assumptions'!AT$14,0)+IF((DATEDIF('01 Major Assumptions'!$D$6,'01 Major Assumptions'!AT$11,"m")+1)&gt;=$E25,$D9/12*'01 Major Assumptions'!AT$14,0)</f>
        <v>10000</v>
      </c>
      <c r="AU52" s="90">
        <f>IF(AND((DATEDIF('01 Major Assumptions'!$D$6,'01 Major Assumptions'!AU$11,"m")+1)&gt;=$C25,(DATEDIF('01 Major Assumptions'!$D$6,'01 Major Assumptions'!AU$11,"m")+1)&lt;$E25),$C9/$D25*'01 Major Assumptions'!AU$14,0)+IF((DATEDIF('01 Major Assumptions'!$D$6,'01 Major Assumptions'!AU$11,"m")+1)&gt;=$E25,$D9/12*'01 Major Assumptions'!AU$14,0)</f>
        <v>10000</v>
      </c>
      <c r="AV52" s="90">
        <f>IF(AND((DATEDIF('01 Major Assumptions'!$D$6,'01 Major Assumptions'!AV$11,"m")+1)&gt;=$C25,(DATEDIF('01 Major Assumptions'!$D$6,'01 Major Assumptions'!AV$11,"m")+1)&lt;$E25),$C9/$D25*'01 Major Assumptions'!AV$14,0)+IF((DATEDIF('01 Major Assumptions'!$D$6,'01 Major Assumptions'!AV$11,"m")+1)&gt;=$E25,$D9/12*'01 Major Assumptions'!AV$14,0)</f>
        <v>10000</v>
      </c>
      <c r="AW52" s="90">
        <f>IF(AND((DATEDIF('01 Major Assumptions'!$D$6,'01 Major Assumptions'!AW$11,"m")+1)&gt;=$C25,(DATEDIF('01 Major Assumptions'!$D$6,'01 Major Assumptions'!AW$11,"m")+1)&lt;$E25),$C9/$D25*'01 Major Assumptions'!AW$14,0)+IF((DATEDIF('01 Major Assumptions'!$D$6,'01 Major Assumptions'!AW$11,"m")+1)&gt;=$E25,$D9/12*'01 Major Assumptions'!AW$14,0)</f>
        <v>10000</v>
      </c>
      <c r="AX52" s="90">
        <f>IF(AND((DATEDIF('01 Major Assumptions'!$D$6,'01 Major Assumptions'!AX$11,"m")+1)&gt;=$C25,(DATEDIF('01 Major Assumptions'!$D$6,'01 Major Assumptions'!AX$11,"m")+1)&lt;$E25),$C9/$D25*'01 Major Assumptions'!AX$14,0)+IF((DATEDIF('01 Major Assumptions'!$D$6,'01 Major Assumptions'!AX$11,"m")+1)&gt;=$E25,$D9/12*'01 Major Assumptions'!AX$14,0)</f>
        <v>10000</v>
      </c>
      <c r="AY52" s="90">
        <f>IF(AND((DATEDIF('01 Major Assumptions'!$D$6,'01 Major Assumptions'!AY$11,"m")+1)&gt;=$C25,(DATEDIF('01 Major Assumptions'!$D$6,'01 Major Assumptions'!AY$11,"m")+1)&lt;$E25),$C9/$D25*'01 Major Assumptions'!AY$14,0)+IF((DATEDIF('01 Major Assumptions'!$D$6,'01 Major Assumptions'!AY$11,"m")+1)&gt;=$E25,$D9/12*'01 Major Assumptions'!AY$14,0)</f>
        <v>10000</v>
      </c>
      <c r="AZ52" s="90">
        <f>IF(AND((DATEDIF('01 Major Assumptions'!$D$6,'01 Major Assumptions'!AZ$11,"m")+1)&gt;=$C25,(DATEDIF('01 Major Assumptions'!$D$6,'01 Major Assumptions'!AZ$11,"m")+1)&lt;$E25),$C9/$D25*'01 Major Assumptions'!AZ$14,0)+IF((DATEDIF('01 Major Assumptions'!$D$6,'01 Major Assumptions'!AZ$11,"m")+1)&gt;=$E25,$D9/12*'01 Major Assumptions'!AZ$14,0)</f>
        <v>10000</v>
      </c>
      <c r="BA52" s="90">
        <f>IF(AND((DATEDIF('01 Major Assumptions'!$D$6,'01 Major Assumptions'!BA$11,"m")+1)&gt;=$C25,(DATEDIF('01 Major Assumptions'!$D$6,'01 Major Assumptions'!BA$11,"m")+1)&lt;$E25),$C9/$D25*'01 Major Assumptions'!BA$14,0)+IF((DATEDIF('01 Major Assumptions'!$D$6,'01 Major Assumptions'!BA$11,"m")+1)&gt;=$E25,$D9/12*'01 Major Assumptions'!BA$14,0)</f>
        <v>10000</v>
      </c>
      <c r="BB52" s="90">
        <f>IF(AND((DATEDIF('01 Major Assumptions'!$D$6,'01 Major Assumptions'!BB$11,"m")+1)&gt;=$C25,(DATEDIF('01 Major Assumptions'!$D$6,'01 Major Assumptions'!BB$11,"m")+1)&lt;$E25),$C9/$D25*'01 Major Assumptions'!BB$14,0)+IF((DATEDIF('01 Major Assumptions'!$D$6,'01 Major Assumptions'!BB$11,"m")+1)&gt;=$E25,$D9/12*'01 Major Assumptions'!BB$14,0)</f>
        <v>10000</v>
      </c>
      <c r="BC52" s="90">
        <f>IF(AND((DATEDIF('01 Major Assumptions'!$D$6,'01 Major Assumptions'!BC$11,"m")+1)&gt;=$C25,(DATEDIF('01 Major Assumptions'!$D$6,'01 Major Assumptions'!BC$11,"m")+1)&lt;$E25),$C9/$D25*'01 Major Assumptions'!BC$14,0)+IF((DATEDIF('01 Major Assumptions'!$D$6,'01 Major Assumptions'!BC$11,"m")+1)&gt;=$E25,$D9/12*'01 Major Assumptions'!BC$14,0)</f>
        <v>10000</v>
      </c>
      <c r="BD52" s="90">
        <f>IF(AND((DATEDIF('01 Major Assumptions'!$D$6,'01 Major Assumptions'!BD$11,"m")+1)&gt;=$C25,(DATEDIF('01 Major Assumptions'!$D$6,'01 Major Assumptions'!BD$11,"m")+1)&lt;$E25),$C9/$D25*'01 Major Assumptions'!BD$14,0)+IF((DATEDIF('01 Major Assumptions'!$D$6,'01 Major Assumptions'!BD$11,"m")+1)&gt;=$E25,$D9/12*'01 Major Assumptions'!BD$14,0)</f>
        <v>10000</v>
      </c>
      <c r="BE52" s="90">
        <f>IF(AND((DATEDIF('01 Major Assumptions'!$D$6,'01 Major Assumptions'!BE$11,"m")+1)&gt;=$C25,(DATEDIF('01 Major Assumptions'!$D$6,'01 Major Assumptions'!BE$11,"m")+1)&lt;$E25),$C9/$D25*'01 Major Assumptions'!BE$14,0)+IF((DATEDIF('01 Major Assumptions'!$D$6,'01 Major Assumptions'!BE$11,"m")+1)&gt;=$E25,$D9/12*'01 Major Assumptions'!BE$14,0)</f>
        <v>10000</v>
      </c>
      <c r="BF52" s="90">
        <f>IF(AND((DATEDIF('01 Major Assumptions'!$D$6,'01 Major Assumptions'!BF$11,"m")+1)&gt;=$C25,(DATEDIF('01 Major Assumptions'!$D$6,'01 Major Assumptions'!BF$11,"m")+1)&lt;$E25),$C9/$D25*'01 Major Assumptions'!BF$14,0)+IF((DATEDIF('01 Major Assumptions'!$D$6,'01 Major Assumptions'!BF$11,"m")+1)&gt;=$E25,$D9/12*'01 Major Assumptions'!BF$14,0)</f>
        <v>10000</v>
      </c>
      <c r="BG52" s="90">
        <f>IF(AND((DATEDIF('01 Major Assumptions'!$D$6,'01 Major Assumptions'!BG$11,"m")+1)&gt;=$C25,(DATEDIF('01 Major Assumptions'!$D$6,'01 Major Assumptions'!BG$11,"m")+1)&lt;$E25),$C9/$D25*'01 Major Assumptions'!BG$14,0)+IF((DATEDIF('01 Major Assumptions'!$D$6,'01 Major Assumptions'!BG$11,"m")+1)&gt;=$E25,$D9/12*'01 Major Assumptions'!BG$14,0)</f>
        <v>10000</v>
      </c>
      <c r="BH52" s="90">
        <f>IF(AND((DATEDIF('01 Major Assumptions'!$D$6,'01 Major Assumptions'!BH$11,"m")+1)&gt;=$C25,(DATEDIF('01 Major Assumptions'!$D$6,'01 Major Assumptions'!BH$11,"m")+1)&lt;$E25),$C9/$D25*'01 Major Assumptions'!BH$14,0)+IF((DATEDIF('01 Major Assumptions'!$D$6,'01 Major Assumptions'!BH$11,"m")+1)&gt;=$E25,$D9/12*'01 Major Assumptions'!BH$14,0)</f>
        <v>10000</v>
      </c>
      <c r="BI52" s="90">
        <f>IF(AND((DATEDIF('01 Major Assumptions'!$D$6,'01 Major Assumptions'!BI$11,"m")+1)&gt;=$C25,(DATEDIF('01 Major Assumptions'!$D$6,'01 Major Assumptions'!BI$11,"m")+1)&lt;$E25),$C9/$D25*'01 Major Assumptions'!BI$14,0)+IF((DATEDIF('01 Major Assumptions'!$D$6,'01 Major Assumptions'!BI$11,"m")+1)&gt;=$E25,$D9/12*'01 Major Assumptions'!BI$14,0)</f>
        <v>120000</v>
      </c>
      <c r="BJ52" s="90">
        <f>IF(AND((DATEDIF('01 Major Assumptions'!$D$6,'01 Major Assumptions'!BJ$11,"m")+1)&gt;=$C25,(DATEDIF('01 Major Assumptions'!$D$6,'01 Major Assumptions'!BJ$11,"m")+1)&lt;$E25),$C9/$D25*'01 Major Assumptions'!BJ$14,0)+IF((DATEDIF('01 Major Assumptions'!$D$6,'01 Major Assumptions'!BJ$11,"m")+1)&gt;=$E25,$D9/12*'01 Major Assumptions'!BJ$14,0)</f>
        <v>120000</v>
      </c>
      <c r="BK52" s="90">
        <f>IF(AND((DATEDIF('01 Major Assumptions'!$D$6,'01 Major Assumptions'!BK$11,"m")+1)&gt;=$C25,(DATEDIF('01 Major Assumptions'!$D$6,'01 Major Assumptions'!BK$11,"m")+1)&lt;$E25),$C9/$D25*'01 Major Assumptions'!BK$14,0)+IF((DATEDIF('01 Major Assumptions'!$D$6,'01 Major Assumptions'!BK$11,"m")+1)&gt;=$E25,$D9/12*'01 Major Assumptions'!BK$14,0)</f>
        <v>120000</v>
      </c>
      <c r="BL52" s="90">
        <f>IF(AND((DATEDIF('01 Major Assumptions'!$D$6,'01 Major Assumptions'!BL$11,"m")+1)&gt;=$C25,(DATEDIF('01 Major Assumptions'!$D$6,'01 Major Assumptions'!BL$11,"m")+1)&lt;$E25),$C9/$D25*'01 Major Assumptions'!BL$14,0)+IF((DATEDIF('01 Major Assumptions'!$D$6,'01 Major Assumptions'!BL$11,"m")+1)&gt;=$E25,$D9/12*'01 Major Assumptions'!BL$14,0)</f>
        <v>120000</v>
      </c>
      <c r="BM52" s="90">
        <f>IF(AND((DATEDIF('01 Major Assumptions'!$D$6,'01 Major Assumptions'!BM$11,"m")+1)&gt;=$C25,(DATEDIF('01 Major Assumptions'!$D$6,'01 Major Assumptions'!BM$11,"m")+1)&lt;$E25),$C9/$D25*'01 Major Assumptions'!BM$14,0)+IF((DATEDIF('01 Major Assumptions'!$D$6,'01 Major Assumptions'!BM$11,"m")+1)&gt;=$E25,$D9/12*'01 Major Assumptions'!BM$14,0)</f>
        <v>120000</v>
      </c>
      <c r="BN52" s="90">
        <f>IF(AND((DATEDIF('01 Major Assumptions'!$D$6,'01 Major Assumptions'!BN$11,"m")+1)&gt;=$C25,(DATEDIF('01 Major Assumptions'!$D$6,'01 Major Assumptions'!BN$11,"m")+1)&lt;$E25),$C9/$D25*'01 Major Assumptions'!BN$14,0)+IF((DATEDIF('01 Major Assumptions'!$D$6,'01 Major Assumptions'!BN$11,"m")+1)&gt;=$E25,$D9/12*'01 Major Assumptions'!BN$14,0)</f>
        <v>120000</v>
      </c>
      <c r="BO52" s="90">
        <f>IF(AND((DATEDIF('01 Major Assumptions'!$D$6,'01 Major Assumptions'!BO$11,"m")+1)&gt;=$C25,(DATEDIF('01 Major Assumptions'!$D$6,'01 Major Assumptions'!BO$11,"m")+1)&lt;$E25),$C9/$D25*'01 Major Assumptions'!BO$14,0)+IF((DATEDIF('01 Major Assumptions'!$D$6,'01 Major Assumptions'!BO$11,"m")+1)&gt;=$E25,$D9/12*'01 Major Assumptions'!BO$14,0)</f>
        <v>120000</v>
      </c>
    </row>
    <row r="53" spans="1:67">
      <c r="A53" s="11"/>
      <c r="B53" s="32" t="str">
        <f t="shared" si="7"/>
        <v>ISO 14001 — environmental management system</v>
      </c>
      <c r="C53" s="11"/>
      <c r="D53" s="33"/>
      <c r="E53" s="10" t="s">
        <v>13</v>
      </c>
      <c r="F53" s="10"/>
      <c r="G53" s="90">
        <f>IF(AND((DATEDIF('01 Major Assumptions'!$D$6,'01 Major Assumptions'!G$11,"m")+1)&gt;=$C26,(DATEDIF('01 Major Assumptions'!$D$6,'01 Major Assumptions'!G$11,"m")+1)&lt;$E26),$C10/$D26*'01 Major Assumptions'!G$14,0)+IF((DATEDIF('01 Major Assumptions'!$D$6,'01 Major Assumptions'!G$11,"m")+1)&gt;=$E26,$D10/12*'01 Major Assumptions'!G$14,0)</f>
        <v>0</v>
      </c>
      <c r="H53" s="90">
        <f>IF(AND((DATEDIF('01 Major Assumptions'!$D$6,'01 Major Assumptions'!H$11,"m")+1)&gt;=$C26,(DATEDIF('01 Major Assumptions'!$D$6,'01 Major Assumptions'!H$11,"m")+1)&lt;$E26),$C10/$D26*'01 Major Assumptions'!H$14,0)+IF((DATEDIF('01 Major Assumptions'!$D$6,'01 Major Assumptions'!H$11,"m")+1)&gt;=$E26,$D10/12*'01 Major Assumptions'!H$14,0)</f>
        <v>0</v>
      </c>
      <c r="I53" s="90">
        <f>IF(AND((DATEDIF('01 Major Assumptions'!$D$6,'01 Major Assumptions'!I$11,"m")+1)&gt;=$C26,(DATEDIF('01 Major Assumptions'!$D$6,'01 Major Assumptions'!I$11,"m")+1)&lt;$E26),$C10/$D26*'01 Major Assumptions'!I$14,0)+IF((DATEDIF('01 Major Assumptions'!$D$6,'01 Major Assumptions'!I$11,"m")+1)&gt;=$E26,$D10/12*'01 Major Assumptions'!I$14,0)</f>
        <v>0</v>
      </c>
      <c r="J53" s="90">
        <f>IF(AND((DATEDIF('01 Major Assumptions'!$D$6,'01 Major Assumptions'!J$11,"m")+1)&gt;=$C26,(DATEDIF('01 Major Assumptions'!$D$6,'01 Major Assumptions'!J$11,"m")+1)&lt;$E26),$C10/$D26*'01 Major Assumptions'!J$14,0)+IF((DATEDIF('01 Major Assumptions'!$D$6,'01 Major Assumptions'!J$11,"m")+1)&gt;=$E26,$D10/12*'01 Major Assumptions'!J$14,0)</f>
        <v>0</v>
      </c>
      <c r="K53" s="90">
        <f>IF(AND((DATEDIF('01 Major Assumptions'!$D$6,'01 Major Assumptions'!K$11,"m")+1)&gt;=$C26,(DATEDIF('01 Major Assumptions'!$D$6,'01 Major Assumptions'!K$11,"m")+1)&lt;$E26),$C10/$D26*'01 Major Assumptions'!K$14,0)+IF((DATEDIF('01 Major Assumptions'!$D$6,'01 Major Assumptions'!K$11,"m")+1)&gt;=$E26,$D10/12*'01 Major Assumptions'!K$14,0)</f>
        <v>0</v>
      </c>
      <c r="L53" s="90">
        <f>IF(AND((DATEDIF('01 Major Assumptions'!$D$6,'01 Major Assumptions'!L$11,"m")+1)&gt;=$C26,(DATEDIF('01 Major Assumptions'!$D$6,'01 Major Assumptions'!L$11,"m")+1)&lt;$E26),$C10/$D26*'01 Major Assumptions'!L$14,0)+IF((DATEDIF('01 Major Assumptions'!$D$6,'01 Major Assumptions'!L$11,"m")+1)&gt;=$E26,$D10/12*'01 Major Assumptions'!L$14,0)</f>
        <v>0</v>
      </c>
      <c r="M53" s="90">
        <f>IF(AND((DATEDIF('01 Major Assumptions'!$D$6,'01 Major Assumptions'!M$11,"m")+1)&gt;=$C26,(DATEDIF('01 Major Assumptions'!$D$6,'01 Major Assumptions'!M$11,"m")+1)&lt;$E26),$C10/$D26*'01 Major Assumptions'!M$14,0)+IF((DATEDIF('01 Major Assumptions'!$D$6,'01 Major Assumptions'!M$11,"m")+1)&gt;=$E26,$D10/12*'01 Major Assumptions'!M$14,0)</f>
        <v>0</v>
      </c>
      <c r="N53" s="90">
        <f>IF(AND((DATEDIF('01 Major Assumptions'!$D$6,'01 Major Assumptions'!N$11,"m")+1)&gt;=$C26,(DATEDIF('01 Major Assumptions'!$D$6,'01 Major Assumptions'!N$11,"m")+1)&lt;$E26),$C10/$D26*'01 Major Assumptions'!N$14,0)+IF((DATEDIF('01 Major Assumptions'!$D$6,'01 Major Assumptions'!N$11,"m")+1)&gt;=$E26,$D10/12*'01 Major Assumptions'!N$14,0)</f>
        <v>0</v>
      </c>
      <c r="O53" s="90">
        <f>IF(AND((DATEDIF('01 Major Assumptions'!$D$6,'01 Major Assumptions'!O$11,"m")+1)&gt;=$C26,(DATEDIF('01 Major Assumptions'!$D$6,'01 Major Assumptions'!O$11,"m")+1)&lt;$E26),$C10/$D26*'01 Major Assumptions'!O$14,0)+IF((DATEDIF('01 Major Assumptions'!$D$6,'01 Major Assumptions'!O$11,"m")+1)&gt;=$E26,$D10/12*'01 Major Assumptions'!O$14,0)</f>
        <v>0</v>
      </c>
      <c r="P53" s="90">
        <f>IF(AND((DATEDIF('01 Major Assumptions'!$D$6,'01 Major Assumptions'!P$11,"m")+1)&gt;=$C26,(DATEDIF('01 Major Assumptions'!$D$6,'01 Major Assumptions'!P$11,"m")+1)&lt;$E26),$C10/$D26*'01 Major Assumptions'!P$14,0)+IF((DATEDIF('01 Major Assumptions'!$D$6,'01 Major Assumptions'!P$11,"m")+1)&gt;=$E26,$D10/12*'01 Major Assumptions'!P$14,0)</f>
        <v>50000</v>
      </c>
      <c r="Q53" s="90">
        <f>IF(AND((DATEDIF('01 Major Assumptions'!$D$6,'01 Major Assumptions'!Q$11,"m")+1)&gt;=$C26,(DATEDIF('01 Major Assumptions'!$D$6,'01 Major Assumptions'!Q$11,"m")+1)&lt;$E26),$C10/$D26*'01 Major Assumptions'!Q$14,0)+IF((DATEDIF('01 Major Assumptions'!$D$6,'01 Major Assumptions'!Q$11,"m")+1)&gt;=$E26,$D10/12*'01 Major Assumptions'!Q$14,0)</f>
        <v>50000</v>
      </c>
      <c r="R53" s="90">
        <f>IF(AND((DATEDIF('01 Major Assumptions'!$D$6,'01 Major Assumptions'!R$11,"m")+1)&gt;=$C26,(DATEDIF('01 Major Assumptions'!$D$6,'01 Major Assumptions'!R$11,"m")+1)&lt;$E26),$C10/$D26*'01 Major Assumptions'!R$14,0)+IF((DATEDIF('01 Major Assumptions'!$D$6,'01 Major Assumptions'!R$11,"m")+1)&gt;=$E26,$D10/12*'01 Major Assumptions'!R$14,0)</f>
        <v>50000</v>
      </c>
      <c r="S53" s="90">
        <f>IF(AND((DATEDIF('01 Major Assumptions'!$D$6,'01 Major Assumptions'!S$11,"m")+1)&gt;=$C26,(DATEDIF('01 Major Assumptions'!$D$6,'01 Major Assumptions'!S$11,"m")+1)&lt;$E26),$C10/$D26*'01 Major Assumptions'!S$14,0)+IF((DATEDIF('01 Major Assumptions'!$D$6,'01 Major Assumptions'!S$11,"m")+1)&gt;=$E26,$D10/12*'01 Major Assumptions'!S$14,0)</f>
        <v>50000</v>
      </c>
      <c r="T53" s="90">
        <f>IF(AND((DATEDIF('01 Major Assumptions'!$D$6,'01 Major Assumptions'!T$11,"m")+1)&gt;=$C26,(DATEDIF('01 Major Assumptions'!$D$6,'01 Major Assumptions'!T$11,"m")+1)&lt;$E26),$C10/$D26*'01 Major Assumptions'!T$14,0)+IF((DATEDIF('01 Major Assumptions'!$D$6,'01 Major Assumptions'!T$11,"m")+1)&gt;=$E26,$D10/12*'01 Major Assumptions'!T$14,0)</f>
        <v>50000</v>
      </c>
      <c r="U53" s="90">
        <f>IF(AND((DATEDIF('01 Major Assumptions'!$D$6,'01 Major Assumptions'!U$11,"m")+1)&gt;=$C26,(DATEDIF('01 Major Assumptions'!$D$6,'01 Major Assumptions'!U$11,"m")+1)&lt;$E26),$C10/$D26*'01 Major Assumptions'!U$14,0)+IF((DATEDIF('01 Major Assumptions'!$D$6,'01 Major Assumptions'!U$11,"m")+1)&gt;=$E26,$D10/12*'01 Major Assumptions'!U$14,0)</f>
        <v>50000</v>
      </c>
      <c r="V53" s="90">
        <f>IF(AND((DATEDIF('01 Major Assumptions'!$D$6,'01 Major Assumptions'!V$11,"m")+1)&gt;=$C26,(DATEDIF('01 Major Assumptions'!$D$6,'01 Major Assumptions'!V$11,"m")+1)&lt;$E26),$C10/$D26*'01 Major Assumptions'!V$14,0)+IF((DATEDIF('01 Major Assumptions'!$D$6,'01 Major Assumptions'!V$11,"m")+1)&gt;=$E26,$D10/12*'01 Major Assumptions'!V$14,0)</f>
        <v>50000</v>
      </c>
      <c r="W53" s="90">
        <f>IF(AND((DATEDIF('01 Major Assumptions'!$D$6,'01 Major Assumptions'!W$11,"m")+1)&gt;=$C26,(DATEDIF('01 Major Assumptions'!$D$6,'01 Major Assumptions'!W$11,"m")+1)&lt;$E26),$C10/$D26*'01 Major Assumptions'!W$14,0)+IF((DATEDIF('01 Major Assumptions'!$D$6,'01 Major Assumptions'!W$11,"m")+1)&gt;=$E26,$D10/12*'01 Major Assumptions'!W$14,0)</f>
        <v>50000</v>
      </c>
      <c r="X53" s="90">
        <f>IF(AND((DATEDIF('01 Major Assumptions'!$D$6,'01 Major Assumptions'!X$11,"m")+1)&gt;=$C26,(DATEDIF('01 Major Assumptions'!$D$6,'01 Major Assumptions'!X$11,"m")+1)&lt;$E26),$C10/$D26*'01 Major Assumptions'!X$14,0)+IF((DATEDIF('01 Major Assumptions'!$D$6,'01 Major Assumptions'!X$11,"m")+1)&gt;=$E26,$D10/12*'01 Major Assumptions'!X$14,0)</f>
        <v>10833.333333333334</v>
      </c>
      <c r="Y53" s="90">
        <f>IF(AND((DATEDIF('01 Major Assumptions'!$D$6,'01 Major Assumptions'!Y$11,"m")+1)&gt;=$C26,(DATEDIF('01 Major Assumptions'!$D$6,'01 Major Assumptions'!Y$11,"m")+1)&lt;$E26),$C10/$D26*'01 Major Assumptions'!Y$14,0)+IF((DATEDIF('01 Major Assumptions'!$D$6,'01 Major Assumptions'!Y$11,"m")+1)&gt;=$E26,$D10/12*'01 Major Assumptions'!Y$14,0)</f>
        <v>10833.333333333334</v>
      </c>
      <c r="Z53" s="90">
        <f>IF(AND((DATEDIF('01 Major Assumptions'!$D$6,'01 Major Assumptions'!Z$11,"m")+1)&gt;=$C26,(DATEDIF('01 Major Assumptions'!$D$6,'01 Major Assumptions'!Z$11,"m")+1)&lt;$E26),$C10/$D26*'01 Major Assumptions'!Z$14,0)+IF((DATEDIF('01 Major Assumptions'!$D$6,'01 Major Assumptions'!Z$11,"m")+1)&gt;=$E26,$D10/12*'01 Major Assumptions'!Z$14,0)</f>
        <v>10833.333333333334</v>
      </c>
      <c r="AA53" s="90">
        <f>IF(AND((DATEDIF('01 Major Assumptions'!$D$6,'01 Major Assumptions'!AA$11,"m")+1)&gt;=$C26,(DATEDIF('01 Major Assumptions'!$D$6,'01 Major Assumptions'!AA$11,"m")+1)&lt;$E26),$C10/$D26*'01 Major Assumptions'!AA$14,0)+IF((DATEDIF('01 Major Assumptions'!$D$6,'01 Major Assumptions'!AA$11,"m")+1)&gt;=$E26,$D10/12*'01 Major Assumptions'!AA$14,0)</f>
        <v>10833.333333333334</v>
      </c>
      <c r="AB53" s="90">
        <f>IF(AND((DATEDIF('01 Major Assumptions'!$D$6,'01 Major Assumptions'!AB$11,"m")+1)&gt;=$C26,(DATEDIF('01 Major Assumptions'!$D$6,'01 Major Assumptions'!AB$11,"m")+1)&lt;$E26),$C10/$D26*'01 Major Assumptions'!AB$14,0)+IF((DATEDIF('01 Major Assumptions'!$D$6,'01 Major Assumptions'!AB$11,"m")+1)&gt;=$E26,$D10/12*'01 Major Assumptions'!AB$14,0)</f>
        <v>10833.333333333334</v>
      </c>
      <c r="AC53" s="90">
        <f>IF(AND((DATEDIF('01 Major Assumptions'!$D$6,'01 Major Assumptions'!AC$11,"m")+1)&gt;=$C26,(DATEDIF('01 Major Assumptions'!$D$6,'01 Major Assumptions'!AC$11,"m")+1)&lt;$E26),$C10/$D26*'01 Major Assumptions'!AC$14,0)+IF((DATEDIF('01 Major Assumptions'!$D$6,'01 Major Assumptions'!AC$11,"m")+1)&gt;=$E26,$D10/12*'01 Major Assumptions'!AC$14,0)</f>
        <v>10833.333333333334</v>
      </c>
      <c r="AD53" s="90">
        <f>IF(AND((DATEDIF('01 Major Assumptions'!$D$6,'01 Major Assumptions'!AD$11,"m")+1)&gt;=$C26,(DATEDIF('01 Major Assumptions'!$D$6,'01 Major Assumptions'!AD$11,"m")+1)&lt;$E26),$C10/$D26*'01 Major Assumptions'!AD$14,0)+IF((DATEDIF('01 Major Assumptions'!$D$6,'01 Major Assumptions'!AD$11,"m")+1)&gt;=$E26,$D10/12*'01 Major Assumptions'!AD$14,0)</f>
        <v>10833.333333333334</v>
      </c>
      <c r="AE53" s="90">
        <f>IF(AND((DATEDIF('01 Major Assumptions'!$D$6,'01 Major Assumptions'!AE$11,"m")+1)&gt;=$C26,(DATEDIF('01 Major Assumptions'!$D$6,'01 Major Assumptions'!AE$11,"m")+1)&lt;$E26),$C10/$D26*'01 Major Assumptions'!AE$14,0)+IF((DATEDIF('01 Major Assumptions'!$D$6,'01 Major Assumptions'!AE$11,"m")+1)&gt;=$E26,$D10/12*'01 Major Assumptions'!AE$14,0)</f>
        <v>10833.333333333334</v>
      </c>
      <c r="AF53" s="90">
        <f>IF(AND((DATEDIF('01 Major Assumptions'!$D$6,'01 Major Assumptions'!AF$11,"m")+1)&gt;=$C26,(DATEDIF('01 Major Assumptions'!$D$6,'01 Major Assumptions'!AF$11,"m")+1)&lt;$E26),$C10/$D26*'01 Major Assumptions'!AF$14,0)+IF((DATEDIF('01 Major Assumptions'!$D$6,'01 Major Assumptions'!AF$11,"m")+1)&gt;=$E26,$D10/12*'01 Major Assumptions'!AF$14,0)</f>
        <v>10833.333333333334</v>
      </c>
      <c r="AG53" s="90">
        <f>IF(AND((DATEDIF('01 Major Assumptions'!$D$6,'01 Major Assumptions'!AG$11,"m")+1)&gt;=$C26,(DATEDIF('01 Major Assumptions'!$D$6,'01 Major Assumptions'!AG$11,"m")+1)&lt;$E26),$C10/$D26*'01 Major Assumptions'!AG$14,0)+IF((DATEDIF('01 Major Assumptions'!$D$6,'01 Major Assumptions'!AG$11,"m")+1)&gt;=$E26,$D10/12*'01 Major Assumptions'!AG$14,0)</f>
        <v>10833.333333333334</v>
      </c>
      <c r="AH53" s="90">
        <f>IF(AND((DATEDIF('01 Major Assumptions'!$D$6,'01 Major Assumptions'!AH$11,"m")+1)&gt;=$C26,(DATEDIF('01 Major Assumptions'!$D$6,'01 Major Assumptions'!AH$11,"m")+1)&lt;$E26),$C10/$D26*'01 Major Assumptions'!AH$14,0)+IF((DATEDIF('01 Major Assumptions'!$D$6,'01 Major Assumptions'!AH$11,"m")+1)&gt;=$E26,$D10/12*'01 Major Assumptions'!AH$14,0)</f>
        <v>10833.333333333334</v>
      </c>
      <c r="AI53" s="90">
        <f>IF(AND((DATEDIF('01 Major Assumptions'!$D$6,'01 Major Assumptions'!AI$11,"m")+1)&gt;=$C26,(DATEDIF('01 Major Assumptions'!$D$6,'01 Major Assumptions'!AI$11,"m")+1)&lt;$E26),$C10/$D26*'01 Major Assumptions'!AI$14,0)+IF((DATEDIF('01 Major Assumptions'!$D$6,'01 Major Assumptions'!AI$11,"m")+1)&gt;=$E26,$D10/12*'01 Major Assumptions'!AI$14,0)</f>
        <v>10833.333333333334</v>
      </c>
      <c r="AJ53" s="90">
        <f>IF(AND((DATEDIF('01 Major Assumptions'!$D$6,'01 Major Assumptions'!AJ$11,"m")+1)&gt;=$C26,(DATEDIF('01 Major Assumptions'!$D$6,'01 Major Assumptions'!AJ$11,"m")+1)&lt;$E26),$C10/$D26*'01 Major Assumptions'!AJ$14,0)+IF((DATEDIF('01 Major Assumptions'!$D$6,'01 Major Assumptions'!AJ$11,"m")+1)&gt;=$E26,$D10/12*'01 Major Assumptions'!AJ$14,0)</f>
        <v>10833.333333333334</v>
      </c>
      <c r="AK53" s="90">
        <f>IF(AND((DATEDIF('01 Major Assumptions'!$D$6,'01 Major Assumptions'!AK$11,"m")+1)&gt;=$C26,(DATEDIF('01 Major Assumptions'!$D$6,'01 Major Assumptions'!AK$11,"m")+1)&lt;$E26),$C10/$D26*'01 Major Assumptions'!AK$14,0)+IF((DATEDIF('01 Major Assumptions'!$D$6,'01 Major Assumptions'!AK$11,"m")+1)&gt;=$E26,$D10/12*'01 Major Assumptions'!AK$14,0)</f>
        <v>10833.333333333334</v>
      </c>
      <c r="AL53" s="90">
        <f>IF(AND((DATEDIF('01 Major Assumptions'!$D$6,'01 Major Assumptions'!AL$11,"m")+1)&gt;=$C26,(DATEDIF('01 Major Assumptions'!$D$6,'01 Major Assumptions'!AL$11,"m")+1)&lt;$E26),$C10/$D26*'01 Major Assumptions'!AL$14,0)+IF((DATEDIF('01 Major Assumptions'!$D$6,'01 Major Assumptions'!AL$11,"m")+1)&gt;=$E26,$D10/12*'01 Major Assumptions'!AL$14,0)</f>
        <v>10833.333333333334</v>
      </c>
      <c r="AM53" s="90">
        <f>IF(AND((DATEDIF('01 Major Assumptions'!$D$6,'01 Major Assumptions'!AM$11,"m")+1)&gt;=$C26,(DATEDIF('01 Major Assumptions'!$D$6,'01 Major Assumptions'!AM$11,"m")+1)&lt;$E26),$C10/$D26*'01 Major Assumptions'!AM$14,0)+IF((DATEDIF('01 Major Assumptions'!$D$6,'01 Major Assumptions'!AM$11,"m")+1)&gt;=$E26,$D10/12*'01 Major Assumptions'!AM$14,0)</f>
        <v>10833.333333333334</v>
      </c>
      <c r="AN53" s="90">
        <f>IF(AND((DATEDIF('01 Major Assumptions'!$D$6,'01 Major Assumptions'!AN$11,"m")+1)&gt;=$C26,(DATEDIF('01 Major Assumptions'!$D$6,'01 Major Assumptions'!AN$11,"m")+1)&lt;$E26),$C10/$D26*'01 Major Assumptions'!AN$14,0)+IF((DATEDIF('01 Major Assumptions'!$D$6,'01 Major Assumptions'!AN$11,"m")+1)&gt;=$E26,$D10/12*'01 Major Assumptions'!AN$14,0)</f>
        <v>10833.333333333334</v>
      </c>
      <c r="AO53" s="90">
        <f>IF(AND((DATEDIF('01 Major Assumptions'!$D$6,'01 Major Assumptions'!AO$11,"m")+1)&gt;=$C26,(DATEDIF('01 Major Assumptions'!$D$6,'01 Major Assumptions'!AO$11,"m")+1)&lt;$E26),$C10/$D26*'01 Major Assumptions'!AO$14,0)+IF((DATEDIF('01 Major Assumptions'!$D$6,'01 Major Assumptions'!AO$11,"m")+1)&gt;=$E26,$D10/12*'01 Major Assumptions'!AO$14,0)</f>
        <v>10833.333333333334</v>
      </c>
      <c r="AP53" s="90">
        <f>IF(AND((DATEDIF('01 Major Assumptions'!$D$6,'01 Major Assumptions'!AP$11,"m")+1)&gt;=$C26,(DATEDIF('01 Major Assumptions'!$D$6,'01 Major Assumptions'!AP$11,"m")+1)&lt;$E26),$C10/$D26*'01 Major Assumptions'!AP$14,0)+IF((DATEDIF('01 Major Assumptions'!$D$6,'01 Major Assumptions'!AP$11,"m")+1)&gt;=$E26,$D10/12*'01 Major Assumptions'!AP$14,0)</f>
        <v>10833.333333333334</v>
      </c>
      <c r="AQ53" s="90">
        <f>IF(AND((DATEDIF('01 Major Assumptions'!$D$6,'01 Major Assumptions'!AQ$11,"m")+1)&gt;=$C26,(DATEDIF('01 Major Assumptions'!$D$6,'01 Major Assumptions'!AQ$11,"m")+1)&lt;$E26),$C10/$D26*'01 Major Assumptions'!AQ$14,0)+IF((DATEDIF('01 Major Assumptions'!$D$6,'01 Major Assumptions'!AQ$11,"m")+1)&gt;=$E26,$D10/12*'01 Major Assumptions'!AQ$14,0)</f>
        <v>10833.333333333334</v>
      </c>
      <c r="AR53" s="90">
        <f>IF(AND((DATEDIF('01 Major Assumptions'!$D$6,'01 Major Assumptions'!AR$11,"m")+1)&gt;=$C26,(DATEDIF('01 Major Assumptions'!$D$6,'01 Major Assumptions'!AR$11,"m")+1)&lt;$E26),$C10/$D26*'01 Major Assumptions'!AR$14,0)+IF((DATEDIF('01 Major Assumptions'!$D$6,'01 Major Assumptions'!AR$11,"m")+1)&gt;=$E26,$D10/12*'01 Major Assumptions'!AR$14,0)</f>
        <v>10833.333333333334</v>
      </c>
      <c r="AS53" s="90">
        <f>IF(AND((DATEDIF('01 Major Assumptions'!$D$6,'01 Major Assumptions'!AS$11,"m")+1)&gt;=$C26,(DATEDIF('01 Major Assumptions'!$D$6,'01 Major Assumptions'!AS$11,"m")+1)&lt;$E26),$C10/$D26*'01 Major Assumptions'!AS$14,0)+IF((DATEDIF('01 Major Assumptions'!$D$6,'01 Major Assumptions'!AS$11,"m")+1)&gt;=$E26,$D10/12*'01 Major Assumptions'!AS$14,0)</f>
        <v>10833.333333333334</v>
      </c>
      <c r="AT53" s="90">
        <f>IF(AND((DATEDIF('01 Major Assumptions'!$D$6,'01 Major Assumptions'!AT$11,"m")+1)&gt;=$C26,(DATEDIF('01 Major Assumptions'!$D$6,'01 Major Assumptions'!AT$11,"m")+1)&lt;$E26),$C10/$D26*'01 Major Assumptions'!AT$14,0)+IF((DATEDIF('01 Major Assumptions'!$D$6,'01 Major Assumptions'!AT$11,"m")+1)&gt;=$E26,$D10/12*'01 Major Assumptions'!AT$14,0)</f>
        <v>10833.333333333334</v>
      </c>
      <c r="AU53" s="90">
        <f>IF(AND((DATEDIF('01 Major Assumptions'!$D$6,'01 Major Assumptions'!AU$11,"m")+1)&gt;=$C26,(DATEDIF('01 Major Assumptions'!$D$6,'01 Major Assumptions'!AU$11,"m")+1)&lt;$E26),$C10/$D26*'01 Major Assumptions'!AU$14,0)+IF((DATEDIF('01 Major Assumptions'!$D$6,'01 Major Assumptions'!AU$11,"m")+1)&gt;=$E26,$D10/12*'01 Major Assumptions'!AU$14,0)</f>
        <v>10833.333333333334</v>
      </c>
      <c r="AV53" s="90">
        <f>IF(AND((DATEDIF('01 Major Assumptions'!$D$6,'01 Major Assumptions'!AV$11,"m")+1)&gt;=$C26,(DATEDIF('01 Major Assumptions'!$D$6,'01 Major Assumptions'!AV$11,"m")+1)&lt;$E26),$C10/$D26*'01 Major Assumptions'!AV$14,0)+IF((DATEDIF('01 Major Assumptions'!$D$6,'01 Major Assumptions'!AV$11,"m")+1)&gt;=$E26,$D10/12*'01 Major Assumptions'!AV$14,0)</f>
        <v>10833.333333333334</v>
      </c>
      <c r="AW53" s="90">
        <f>IF(AND((DATEDIF('01 Major Assumptions'!$D$6,'01 Major Assumptions'!AW$11,"m")+1)&gt;=$C26,(DATEDIF('01 Major Assumptions'!$D$6,'01 Major Assumptions'!AW$11,"m")+1)&lt;$E26),$C10/$D26*'01 Major Assumptions'!AW$14,0)+IF((DATEDIF('01 Major Assumptions'!$D$6,'01 Major Assumptions'!AW$11,"m")+1)&gt;=$E26,$D10/12*'01 Major Assumptions'!AW$14,0)</f>
        <v>10833.333333333334</v>
      </c>
      <c r="AX53" s="90">
        <f>IF(AND((DATEDIF('01 Major Assumptions'!$D$6,'01 Major Assumptions'!AX$11,"m")+1)&gt;=$C26,(DATEDIF('01 Major Assumptions'!$D$6,'01 Major Assumptions'!AX$11,"m")+1)&lt;$E26),$C10/$D26*'01 Major Assumptions'!AX$14,0)+IF((DATEDIF('01 Major Assumptions'!$D$6,'01 Major Assumptions'!AX$11,"m")+1)&gt;=$E26,$D10/12*'01 Major Assumptions'!AX$14,0)</f>
        <v>10833.333333333334</v>
      </c>
      <c r="AY53" s="90">
        <f>IF(AND((DATEDIF('01 Major Assumptions'!$D$6,'01 Major Assumptions'!AY$11,"m")+1)&gt;=$C26,(DATEDIF('01 Major Assumptions'!$D$6,'01 Major Assumptions'!AY$11,"m")+1)&lt;$E26),$C10/$D26*'01 Major Assumptions'!AY$14,0)+IF((DATEDIF('01 Major Assumptions'!$D$6,'01 Major Assumptions'!AY$11,"m")+1)&gt;=$E26,$D10/12*'01 Major Assumptions'!AY$14,0)</f>
        <v>10833.333333333334</v>
      </c>
      <c r="AZ53" s="90">
        <f>IF(AND((DATEDIF('01 Major Assumptions'!$D$6,'01 Major Assumptions'!AZ$11,"m")+1)&gt;=$C26,(DATEDIF('01 Major Assumptions'!$D$6,'01 Major Assumptions'!AZ$11,"m")+1)&lt;$E26),$C10/$D26*'01 Major Assumptions'!AZ$14,0)+IF((DATEDIF('01 Major Assumptions'!$D$6,'01 Major Assumptions'!AZ$11,"m")+1)&gt;=$E26,$D10/12*'01 Major Assumptions'!AZ$14,0)</f>
        <v>10833.333333333334</v>
      </c>
      <c r="BA53" s="90">
        <f>IF(AND((DATEDIF('01 Major Assumptions'!$D$6,'01 Major Assumptions'!BA$11,"m")+1)&gt;=$C26,(DATEDIF('01 Major Assumptions'!$D$6,'01 Major Assumptions'!BA$11,"m")+1)&lt;$E26),$C10/$D26*'01 Major Assumptions'!BA$14,0)+IF((DATEDIF('01 Major Assumptions'!$D$6,'01 Major Assumptions'!BA$11,"m")+1)&gt;=$E26,$D10/12*'01 Major Assumptions'!BA$14,0)</f>
        <v>10833.333333333334</v>
      </c>
      <c r="BB53" s="90">
        <f>IF(AND((DATEDIF('01 Major Assumptions'!$D$6,'01 Major Assumptions'!BB$11,"m")+1)&gt;=$C26,(DATEDIF('01 Major Assumptions'!$D$6,'01 Major Assumptions'!BB$11,"m")+1)&lt;$E26),$C10/$D26*'01 Major Assumptions'!BB$14,0)+IF((DATEDIF('01 Major Assumptions'!$D$6,'01 Major Assumptions'!BB$11,"m")+1)&gt;=$E26,$D10/12*'01 Major Assumptions'!BB$14,0)</f>
        <v>10833.333333333334</v>
      </c>
      <c r="BC53" s="90">
        <f>IF(AND((DATEDIF('01 Major Assumptions'!$D$6,'01 Major Assumptions'!BC$11,"m")+1)&gt;=$C26,(DATEDIF('01 Major Assumptions'!$D$6,'01 Major Assumptions'!BC$11,"m")+1)&lt;$E26),$C10/$D26*'01 Major Assumptions'!BC$14,0)+IF((DATEDIF('01 Major Assumptions'!$D$6,'01 Major Assumptions'!BC$11,"m")+1)&gt;=$E26,$D10/12*'01 Major Assumptions'!BC$14,0)</f>
        <v>10833.333333333334</v>
      </c>
      <c r="BD53" s="90">
        <f>IF(AND((DATEDIF('01 Major Assumptions'!$D$6,'01 Major Assumptions'!BD$11,"m")+1)&gt;=$C26,(DATEDIF('01 Major Assumptions'!$D$6,'01 Major Assumptions'!BD$11,"m")+1)&lt;$E26),$C10/$D26*'01 Major Assumptions'!BD$14,0)+IF((DATEDIF('01 Major Assumptions'!$D$6,'01 Major Assumptions'!BD$11,"m")+1)&gt;=$E26,$D10/12*'01 Major Assumptions'!BD$14,0)</f>
        <v>10833.333333333334</v>
      </c>
      <c r="BE53" s="90">
        <f>IF(AND((DATEDIF('01 Major Assumptions'!$D$6,'01 Major Assumptions'!BE$11,"m")+1)&gt;=$C26,(DATEDIF('01 Major Assumptions'!$D$6,'01 Major Assumptions'!BE$11,"m")+1)&lt;$E26),$C10/$D26*'01 Major Assumptions'!BE$14,0)+IF((DATEDIF('01 Major Assumptions'!$D$6,'01 Major Assumptions'!BE$11,"m")+1)&gt;=$E26,$D10/12*'01 Major Assumptions'!BE$14,0)</f>
        <v>10833.333333333334</v>
      </c>
      <c r="BF53" s="90">
        <f>IF(AND((DATEDIF('01 Major Assumptions'!$D$6,'01 Major Assumptions'!BF$11,"m")+1)&gt;=$C26,(DATEDIF('01 Major Assumptions'!$D$6,'01 Major Assumptions'!BF$11,"m")+1)&lt;$E26),$C10/$D26*'01 Major Assumptions'!BF$14,0)+IF((DATEDIF('01 Major Assumptions'!$D$6,'01 Major Assumptions'!BF$11,"m")+1)&gt;=$E26,$D10/12*'01 Major Assumptions'!BF$14,0)</f>
        <v>10833.333333333334</v>
      </c>
      <c r="BG53" s="90">
        <f>IF(AND((DATEDIF('01 Major Assumptions'!$D$6,'01 Major Assumptions'!BG$11,"m")+1)&gt;=$C26,(DATEDIF('01 Major Assumptions'!$D$6,'01 Major Assumptions'!BG$11,"m")+1)&lt;$E26),$C10/$D26*'01 Major Assumptions'!BG$14,0)+IF((DATEDIF('01 Major Assumptions'!$D$6,'01 Major Assumptions'!BG$11,"m")+1)&gt;=$E26,$D10/12*'01 Major Assumptions'!BG$14,0)</f>
        <v>10833.333333333334</v>
      </c>
      <c r="BH53" s="90">
        <f>IF(AND((DATEDIF('01 Major Assumptions'!$D$6,'01 Major Assumptions'!BH$11,"m")+1)&gt;=$C26,(DATEDIF('01 Major Assumptions'!$D$6,'01 Major Assumptions'!BH$11,"m")+1)&lt;$E26),$C10/$D26*'01 Major Assumptions'!BH$14,0)+IF((DATEDIF('01 Major Assumptions'!$D$6,'01 Major Assumptions'!BH$11,"m")+1)&gt;=$E26,$D10/12*'01 Major Assumptions'!BH$14,0)</f>
        <v>10833.333333333334</v>
      </c>
      <c r="BI53" s="90">
        <f>IF(AND((DATEDIF('01 Major Assumptions'!$D$6,'01 Major Assumptions'!BI$11,"m")+1)&gt;=$C26,(DATEDIF('01 Major Assumptions'!$D$6,'01 Major Assumptions'!BI$11,"m")+1)&lt;$E26),$C10/$D26*'01 Major Assumptions'!BI$14,0)+IF((DATEDIF('01 Major Assumptions'!$D$6,'01 Major Assumptions'!BI$11,"m")+1)&gt;=$E26,$D10/12*'01 Major Assumptions'!BI$14,0)</f>
        <v>130000</v>
      </c>
      <c r="BJ53" s="90">
        <f>IF(AND((DATEDIF('01 Major Assumptions'!$D$6,'01 Major Assumptions'!BJ$11,"m")+1)&gt;=$C26,(DATEDIF('01 Major Assumptions'!$D$6,'01 Major Assumptions'!BJ$11,"m")+1)&lt;$E26),$C10/$D26*'01 Major Assumptions'!BJ$14,0)+IF((DATEDIF('01 Major Assumptions'!$D$6,'01 Major Assumptions'!BJ$11,"m")+1)&gt;=$E26,$D10/12*'01 Major Assumptions'!BJ$14,0)</f>
        <v>130000</v>
      </c>
      <c r="BK53" s="90">
        <f>IF(AND((DATEDIF('01 Major Assumptions'!$D$6,'01 Major Assumptions'!BK$11,"m")+1)&gt;=$C26,(DATEDIF('01 Major Assumptions'!$D$6,'01 Major Assumptions'!BK$11,"m")+1)&lt;$E26),$C10/$D26*'01 Major Assumptions'!BK$14,0)+IF((DATEDIF('01 Major Assumptions'!$D$6,'01 Major Assumptions'!BK$11,"m")+1)&gt;=$E26,$D10/12*'01 Major Assumptions'!BK$14,0)</f>
        <v>130000</v>
      </c>
      <c r="BL53" s="90">
        <f>IF(AND((DATEDIF('01 Major Assumptions'!$D$6,'01 Major Assumptions'!BL$11,"m")+1)&gt;=$C26,(DATEDIF('01 Major Assumptions'!$D$6,'01 Major Assumptions'!BL$11,"m")+1)&lt;$E26),$C10/$D26*'01 Major Assumptions'!BL$14,0)+IF((DATEDIF('01 Major Assumptions'!$D$6,'01 Major Assumptions'!BL$11,"m")+1)&gt;=$E26,$D10/12*'01 Major Assumptions'!BL$14,0)</f>
        <v>130000</v>
      </c>
      <c r="BM53" s="90">
        <f>IF(AND((DATEDIF('01 Major Assumptions'!$D$6,'01 Major Assumptions'!BM$11,"m")+1)&gt;=$C26,(DATEDIF('01 Major Assumptions'!$D$6,'01 Major Assumptions'!BM$11,"m")+1)&lt;$E26),$C10/$D26*'01 Major Assumptions'!BM$14,0)+IF((DATEDIF('01 Major Assumptions'!$D$6,'01 Major Assumptions'!BM$11,"m")+1)&gt;=$E26,$D10/12*'01 Major Assumptions'!BM$14,0)</f>
        <v>130000</v>
      </c>
      <c r="BN53" s="90">
        <f>IF(AND((DATEDIF('01 Major Assumptions'!$D$6,'01 Major Assumptions'!BN$11,"m")+1)&gt;=$C26,(DATEDIF('01 Major Assumptions'!$D$6,'01 Major Assumptions'!BN$11,"m")+1)&lt;$E26),$C10/$D26*'01 Major Assumptions'!BN$14,0)+IF((DATEDIF('01 Major Assumptions'!$D$6,'01 Major Assumptions'!BN$11,"m")+1)&gt;=$E26,$D10/12*'01 Major Assumptions'!BN$14,0)</f>
        <v>130000</v>
      </c>
      <c r="BO53" s="90">
        <f>IF(AND((DATEDIF('01 Major Assumptions'!$D$6,'01 Major Assumptions'!BO$11,"m")+1)&gt;=$C26,(DATEDIF('01 Major Assumptions'!$D$6,'01 Major Assumptions'!BO$11,"m")+1)&lt;$E26),$C10/$D26*'01 Major Assumptions'!BO$14,0)+IF((DATEDIF('01 Major Assumptions'!$D$6,'01 Major Assumptions'!BO$11,"m")+1)&gt;=$E26,$D10/12*'01 Major Assumptions'!BO$14,0)</f>
        <v>130000</v>
      </c>
    </row>
    <row r="54" spans="1:67">
      <c r="A54" s="11"/>
      <c r="B54" s="32" t="str">
        <f t="shared" si="7"/>
        <v>ISO 45001 — occupational health &amp; safety</v>
      </c>
      <c r="C54" s="11"/>
      <c r="D54" s="33"/>
      <c r="E54" s="10" t="s">
        <v>13</v>
      </c>
      <c r="F54" s="10"/>
      <c r="G54" s="90">
        <f>IF(AND((DATEDIF('01 Major Assumptions'!$D$6,'01 Major Assumptions'!G$11,"m")+1)&gt;=$C27,(DATEDIF('01 Major Assumptions'!$D$6,'01 Major Assumptions'!G$11,"m")+1)&lt;$E27),$C11/$D27*'01 Major Assumptions'!G$14,0)+IF((DATEDIF('01 Major Assumptions'!$D$6,'01 Major Assumptions'!G$11,"m")+1)&gt;=$E27,$D11/12*'01 Major Assumptions'!G$14,0)</f>
        <v>0</v>
      </c>
      <c r="H54" s="90">
        <f>IF(AND((DATEDIF('01 Major Assumptions'!$D$6,'01 Major Assumptions'!H$11,"m")+1)&gt;=$C27,(DATEDIF('01 Major Assumptions'!$D$6,'01 Major Assumptions'!H$11,"m")+1)&lt;$E27),$C11/$D27*'01 Major Assumptions'!H$14,0)+IF((DATEDIF('01 Major Assumptions'!$D$6,'01 Major Assumptions'!H$11,"m")+1)&gt;=$E27,$D11/12*'01 Major Assumptions'!H$14,0)</f>
        <v>0</v>
      </c>
      <c r="I54" s="90">
        <f>IF(AND((DATEDIF('01 Major Assumptions'!$D$6,'01 Major Assumptions'!I$11,"m")+1)&gt;=$C27,(DATEDIF('01 Major Assumptions'!$D$6,'01 Major Assumptions'!I$11,"m")+1)&lt;$E27),$C11/$D27*'01 Major Assumptions'!I$14,0)+IF((DATEDIF('01 Major Assumptions'!$D$6,'01 Major Assumptions'!I$11,"m")+1)&gt;=$E27,$D11/12*'01 Major Assumptions'!I$14,0)</f>
        <v>0</v>
      </c>
      <c r="J54" s="90">
        <f>IF(AND((DATEDIF('01 Major Assumptions'!$D$6,'01 Major Assumptions'!J$11,"m")+1)&gt;=$C27,(DATEDIF('01 Major Assumptions'!$D$6,'01 Major Assumptions'!J$11,"m")+1)&lt;$E27),$C11/$D27*'01 Major Assumptions'!J$14,0)+IF((DATEDIF('01 Major Assumptions'!$D$6,'01 Major Assumptions'!J$11,"m")+1)&gt;=$E27,$D11/12*'01 Major Assumptions'!J$14,0)</f>
        <v>0</v>
      </c>
      <c r="K54" s="90">
        <f>IF(AND((DATEDIF('01 Major Assumptions'!$D$6,'01 Major Assumptions'!K$11,"m")+1)&gt;=$C27,(DATEDIF('01 Major Assumptions'!$D$6,'01 Major Assumptions'!K$11,"m")+1)&lt;$E27),$C11/$D27*'01 Major Assumptions'!K$14,0)+IF((DATEDIF('01 Major Assumptions'!$D$6,'01 Major Assumptions'!K$11,"m")+1)&gt;=$E27,$D11/12*'01 Major Assumptions'!K$14,0)</f>
        <v>0</v>
      </c>
      <c r="L54" s="90">
        <f>IF(AND((DATEDIF('01 Major Assumptions'!$D$6,'01 Major Assumptions'!L$11,"m")+1)&gt;=$C27,(DATEDIF('01 Major Assumptions'!$D$6,'01 Major Assumptions'!L$11,"m")+1)&lt;$E27),$C11/$D27*'01 Major Assumptions'!L$14,0)+IF((DATEDIF('01 Major Assumptions'!$D$6,'01 Major Assumptions'!L$11,"m")+1)&gt;=$E27,$D11/12*'01 Major Assumptions'!L$14,0)</f>
        <v>0</v>
      </c>
      <c r="M54" s="90">
        <f>IF(AND((DATEDIF('01 Major Assumptions'!$D$6,'01 Major Assumptions'!M$11,"m")+1)&gt;=$C27,(DATEDIF('01 Major Assumptions'!$D$6,'01 Major Assumptions'!M$11,"m")+1)&lt;$E27),$C11/$D27*'01 Major Assumptions'!M$14,0)+IF((DATEDIF('01 Major Assumptions'!$D$6,'01 Major Assumptions'!M$11,"m")+1)&gt;=$E27,$D11/12*'01 Major Assumptions'!M$14,0)</f>
        <v>0</v>
      </c>
      <c r="N54" s="90">
        <f>IF(AND((DATEDIF('01 Major Assumptions'!$D$6,'01 Major Assumptions'!N$11,"m")+1)&gt;=$C27,(DATEDIF('01 Major Assumptions'!$D$6,'01 Major Assumptions'!N$11,"m")+1)&lt;$E27),$C11/$D27*'01 Major Assumptions'!N$14,0)+IF((DATEDIF('01 Major Assumptions'!$D$6,'01 Major Assumptions'!N$11,"m")+1)&gt;=$E27,$D11/12*'01 Major Assumptions'!N$14,0)</f>
        <v>0</v>
      </c>
      <c r="O54" s="90">
        <f>IF(AND((DATEDIF('01 Major Assumptions'!$D$6,'01 Major Assumptions'!O$11,"m")+1)&gt;=$C27,(DATEDIF('01 Major Assumptions'!$D$6,'01 Major Assumptions'!O$11,"m")+1)&lt;$E27),$C11/$D27*'01 Major Assumptions'!O$14,0)+IF((DATEDIF('01 Major Assumptions'!$D$6,'01 Major Assumptions'!O$11,"m")+1)&gt;=$E27,$D11/12*'01 Major Assumptions'!O$14,0)</f>
        <v>0</v>
      </c>
      <c r="P54" s="90">
        <f>IF(AND((DATEDIF('01 Major Assumptions'!$D$6,'01 Major Assumptions'!P$11,"m")+1)&gt;=$C27,(DATEDIF('01 Major Assumptions'!$D$6,'01 Major Assumptions'!P$11,"m")+1)&lt;$E27),$C11/$D27*'01 Major Assumptions'!P$14,0)+IF((DATEDIF('01 Major Assumptions'!$D$6,'01 Major Assumptions'!P$11,"m")+1)&gt;=$E27,$D11/12*'01 Major Assumptions'!P$14,0)</f>
        <v>0</v>
      </c>
      <c r="Q54" s="90">
        <f>IF(AND((DATEDIF('01 Major Assumptions'!$D$6,'01 Major Assumptions'!Q$11,"m")+1)&gt;=$C27,(DATEDIF('01 Major Assumptions'!$D$6,'01 Major Assumptions'!Q$11,"m")+1)&lt;$E27),$C11/$D27*'01 Major Assumptions'!Q$14,0)+IF((DATEDIF('01 Major Assumptions'!$D$6,'01 Major Assumptions'!Q$11,"m")+1)&gt;=$E27,$D11/12*'01 Major Assumptions'!Q$14,0)</f>
        <v>0</v>
      </c>
      <c r="R54" s="90">
        <f>IF(AND((DATEDIF('01 Major Assumptions'!$D$6,'01 Major Assumptions'!R$11,"m")+1)&gt;=$C27,(DATEDIF('01 Major Assumptions'!$D$6,'01 Major Assumptions'!R$11,"m")+1)&lt;$E27),$C11/$D27*'01 Major Assumptions'!R$14,0)+IF((DATEDIF('01 Major Assumptions'!$D$6,'01 Major Assumptions'!R$11,"m")+1)&gt;=$E27,$D11/12*'01 Major Assumptions'!R$14,0)</f>
        <v>47500</v>
      </c>
      <c r="S54" s="90">
        <f>IF(AND((DATEDIF('01 Major Assumptions'!$D$6,'01 Major Assumptions'!S$11,"m")+1)&gt;=$C27,(DATEDIF('01 Major Assumptions'!$D$6,'01 Major Assumptions'!S$11,"m")+1)&lt;$E27),$C11/$D27*'01 Major Assumptions'!S$14,0)+IF((DATEDIF('01 Major Assumptions'!$D$6,'01 Major Assumptions'!S$11,"m")+1)&gt;=$E27,$D11/12*'01 Major Assumptions'!S$14,0)</f>
        <v>47500</v>
      </c>
      <c r="T54" s="90">
        <f>IF(AND((DATEDIF('01 Major Assumptions'!$D$6,'01 Major Assumptions'!T$11,"m")+1)&gt;=$C27,(DATEDIF('01 Major Assumptions'!$D$6,'01 Major Assumptions'!T$11,"m")+1)&lt;$E27),$C11/$D27*'01 Major Assumptions'!T$14,0)+IF((DATEDIF('01 Major Assumptions'!$D$6,'01 Major Assumptions'!T$11,"m")+1)&gt;=$E27,$D11/12*'01 Major Assumptions'!T$14,0)</f>
        <v>47500</v>
      </c>
      <c r="U54" s="90">
        <f>IF(AND((DATEDIF('01 Major Assumptions'!$D$6,'01 Major Assumptions'!U$11,"m")+1)&gt;=$C27,(DATEDIF('01 Major Assumptions'!$D$6,'01 Major Assumptions'!U$11,"m")+1)&lt;$E27),$C11/$D27*'01 Major Assumptions'!U$14,0)+IF((DATEDIF('01 Major Assumptions'!$D$6,'01 Major Assumptions'!U$11,"m")+1)&gt;=$E27,$D11/12*'01 Major Assumptions'!U$14,0)</f>
        <v>47500</v>
      </c>
      <c r="V54" s="90">
        <f>IF(AND((DATEDIF('01 Major Assumptions'!$D$6,'01 Major Assumptions'!V$11,"m")+1)&gt;=$C27,(DATEDIF('01 Major Assumptions'!$D$6,'01 Major Assumptions'!V$11,"m")+1)&lt;$E27),$C11/$D27*'01 Major Assumptions'!V$14,0)+IF((DATEDIF('01 Major Assumptions'!$D$6,'01 Major Assumptions'!V$11,"m")+1)&gt;=$E27,$D11/12*'01 Major Assumptions'!V$14,0)</f>
        <v>47500</v>
      </c>
      <c r="W54" s="90">
        <f>IF(AND((DATEDIF('01 Major Assumptions'!$D$6,'01 Major Assumptions'!W$11,"m")+1)&gt;=$C27,(DATEDIF('01 Major Assumptions'!$D$6,'01 Major Assumptions'!W$11,"m")+1)&lt;$E27),$C11/$D27*'01 Major Assumptions'!W$14,0)+IF((DATEDIF('01 Major Assumptions'!$D$6,'01 Major Assumptions'!W$11,"m")+1)&gt;=$E27,$D11/12*'01 Major Assumptions'!W$14,0)</f>
        <v>47500</v>
      </c>
      <c r="X54" s="90">
        <f>IF(AND((DATEDIF('01 Major Assumptions'!$D$6,'01 Major Assumptions'!X$11,"m")+1)&gt;=$C27,(DATEDIF('01 Major Assumptions'!$D$6,'01 Major Assumptions'!X$11,"m")+1)&lt;$E27),$C11/$D27*'01 Major Assumptions'!X$14,0)+IF((DATEDIF('01 Major Assumptions'!$D$6,'01 Major Assumptions'!X$11,"m")+1)&gt;=$E27,$D11/12*'01 Major Assumptions'!X$14,0)</f>
        <v>47500</v>
      </c>
      <c r="Y54" s="90">
        <f>IF(AND((DATEDIF('01 Major Assumptions'!$D$6,'01 Major Assumptions'!Y$11,"m")+1)&gt;=$C27,(DATEDIF('01 Major Assumptions'!$D$6,'01 Major Assumptions'!Y$11,"m")+1)&lt;$E27),$C11/$D27*'01 Major Assumptions'!Y$14,0)+IF((DATEDIF('01 Major Assumptions'!$D$6,'01 Major Assumptions'!Y$11,"m")+1)&gt;=$E27,$D11/12*'01 Major Assumptions'!Y$14,0)</f>
        <v>47500</v>
      </c>
      <c r="Z54" s="90">
        <f>IF(AND((DATEDIF('01 Major Assumptions'!$D$6,'01 Major Assumptions'!Z$11,"m")+1)&gt;=$C27,(DATEDIF('01 Major Assumptions'!$D$6,'01 Major Assumptions'!Z$11,"m")+1)&lt;$E27),$C11/$D27*'01 Major Assumptions'!Z$14,0)+IF((DATEDIF('01 Major Assumptions'!$D$6,'01 Major Assumptions'!Z$11,"m")+1)&gt;=$E27,$D11/12*'01 Major Assumptions'!Z$14,0)</f>
        <v>10000</v>
      </c>
      <c r="AA54" s="90">
        <f>IF(AND((DATEDIF('01 Major Assumptions'!$D$6,'01 Major Assumptions'!AA$11,"m")+1)&gt;=$C27,(DATEDIF('01 Major Assumptions'!$D$6,'01 Major Assumptions'!AA$11,"m")+1)&lt;$E27),$C11/$D27*'01 Major Assumptions'!AA$14,0)+IF((DATEDIF('01 Major Assumptions'!$D$6,'01 Major Assumptions'!AA$11,"m")+1)&gt;=$E27,$D11/12*'01 Major Assumptions'!AA$14,0)</f>
        <v>10000</v>
      </c>
      <c r="AB54" s="90">
        <f>IF(AND((DATEDIF('01 Major Assumptions'!$D$6,'01 Major Assumptions'!AB$11,"m")+1)&gt;=$C27,(DATEDIF('01 Major Assumptions'!$D$6,'01 Major Assumptions'!AB$11,"m")+1)&lt;$E27),$C11/$D27*'01 Major Assumptions'!AB$14,0)+IF((DATEDIF('01 Major Assumptions'!$D$6,'01 Major Assumptions'!AB$11,"m")+1)&gt;=$E27,$D11/12*'01 Major Assumptions'!AB$14,0)</f>
        <v>10000</v>
      </c>
      <c r="AC54" s="90">
        <f>IF(AND((DATEDIF('01 Major Assumptions'!$D$6,'01 Major Assumptions'!AC$11,"m")+1)&gt;=$C27,(DATEDIF('01 Major Assumptions'!$D$6,'01 Major Assumptions'!AC$11,"m")+1)&lt;$E27),$C11/$D27*'01 Major Assumptions'!AC$14,0)+IF((DATEDIF('01 Major Assumptions'!$D$6,'01 Major Assumptions'!AC$11,"m")+1)&gt;=$E27,$D11/12*'01 Major Assumptions'!AC$14,0)</f>
        <v>10000</v>
      </c>
      <c r="AD54" s="90">
        <f>IF(AND((DATEDIF('01 Major Assumptions'!$D$6,'01 Major Assumptions'!AD$11,"m")+1)&gt;=$C27,(DATEDIF('01 Major Assumptions'!$D$6,'01 Major Assumptions'!AD$11,"m")+1)&lt;$E27),$C11/$D27*'01 Major Assumptions'!AD$14,0)+IF((DATEDIF('01 Major Assumptions'!$D$6,'01 Major Assumptions'!AD$11,"m")+1)&gt;=$E27,$D11/12*'01 Major Assumptions'!AD$14,0)</f>
        <v>10000</v>
      </c>
      <c r="AE54" s="90">
        <f>IF(AND((DATEDIF('01 Major Assumptions'!$D$6,'01 Major Assumptions'!AE$11,"m")+1)&gt;=$C27,(DATEDIF('01 Major Assumptions'!$D$6,'01 Major Assumptions'!AE$11,"m")+1)&lt;$E27),$C11/$D27*'01 Major Assumptions'!AE$14,0)+IF((DATEDIF('01 Major Assumptions'!$D$6,'01 Major Assumptions'!AE$11,"m")+1)&gt;=$E27,$D11/12*'01 Major Assumptions'!AE$14,0)</f>
        <v>10000</v>
      </c>
      <c r="AF54" s="90">
        <f>IF(AND((DATEDIF('01 Major Assumptions'!$D$6,'01 Major Assumptions'!AF$11,"m")+1)&gt;=$C27,(DATEDIF('01 Major Assumptions'!$D$6,'01 Major Assumptions'!AF$11,"m")+1)&lt;$E27),$C11/$D27*'01 Major Assumptions'!AF$14,0)+IF((DATEDIF('01 Major Assumptions'!$D$6,'01 Major Assumptions'!AF$11,"m")+1)&gt;=$E27,$D11/12*'01 Major Assumptions'!AF$14,0)</f>
        <v>10000</v>
      </c>
      <c r="AG54" s="90">
        <f>IF(AND((DATEDIF('01 Major Assumptions'!$D$6,'01 Major Assumptions'!AG$11,"m")+1)&gt;=$C27,(DATEDIF('01 Major Assumptions'!$D$6,'01 Major Assumptions'!AG$11,"m")+1)&lt;$E27),$C11/$D27*'01 Major Assumptions'!AG$14,0)+IF((DATEDIF('01 Major Assumptions'!$D$6,'01 Major Assumptions'!AG$11,"m")+1)&gt;=$E27,$D11/12*'01 Major Assumptions'!AG$14,0)</f>
        <v>10000</v>
      </c>
      <c r="AH54" s="90">
        <f>IF(AND((DATEDIF('01 Major Assumptions'!$D$6,'01 Major Assumptions'!AH$11,"m")+1)&gt;=$C27,(DATEDIF('01 Major Assumptions'!$D$6,'01 Major Assumptions'!AH$11,"m")+1)&lt;$E27),$C11/$D27*'01 Major Assumptions'!AH$14,0)+IF((DATEDIF('01 Major Assumptions'!$D$6,'01 Major Assumptions'!AH$11,"m")+1)&gt;=$E27,$D11/12*'01 Major Assumptions'!AH$14,0)</f>
        <v>10000</v>
      </c>
      <c r="AI54" s="90">
        <f>IF(AND((DATEDIF('01 Major Assumptions'!$D$6,'01 Major Assumptions'!AI$11,"m")+1)&gt;=$C27,(DATEDIF('01 Major Assumptions'!$D$6,'01 Major Assumptions'!AI$11,"m")+1)&lt;$E27),$C11/$D27*'01 Major Assumptions'!AI$14,0)+IF((DATEDIF('01 Major Assumptions'!$D$6,'01 Major Assumptions'!AI$11,"m")+1)&gt;=$E27,$D11/12*'01 Major Assumptions'!AI$14,0)</f>
        <v>10000</v>
      </c>
      <c r="AJ54" s="90">
        <f>IF(AND((DATEDIF('01 Major Assumptions'!$D$6,'01 Major Assumptions'!AJ$11,"m")+1)&gt;=$C27,(DATEDIF('01 Major Assumptions'!$D$6,'01 Major Assumptions'!AJ$11,"m")+1)&lt;$E27),$C11/$D27*'01 Major Assumptions'!AJ$14,0)+IF((DATEDIF('01 Major Assumptions'!$D$6,'01 Major Assumptions'!AJ$11,"m")+1)&gt;=$E27,$D11/12*'01 Major Assumptions'!AJ$14,0)</f>
        <v>10000</v>
      </c>
      <c r="AK54" s="90">
        <f>IF(AND((DATEDIF('01 Major Assumptions'!$D$6,'01 Major Assumptions'!AK$11,"m")+1)&gt;=$C27,(DATEDIF('01 Major Assumptions'!$D$6,'01 Major Assumptions'!AK$11,"m")+1)&lt;$E27),$C11/$D27*'01 Major Assumptions'!AK$14,0)+IF((DATEDIF('01 Major Assumptions'!$D$6,'01 Major Assumptions'!AK$11,"m")+1)&gt;=$E27,$D11/12*'01 Major Assumptions'!AK$14,0)</f>
        <v>10000</v>
      </c>
      <c r="AL54" s="90">
        <f>IF(AND((DATEDIF('01 Major Assumptions'!$D$6,'01 Major Assumptions'!AL$11,"m")+1)&gt;=$C27,(DATEDIF('01 Major Assumptions'!$D$6,'01 Major Assumptions'!AL$11,"m")+1)&lt;$E27),$C11/$D27*'01 Major Assumptions'!AL$14,0)+IF((DATEDIF('01 Major Assumptions'!$D$6,'01 Major Assumptions'!AL$11,"m")+1)&gt;=$E27,$D11/12*'01 Major Assumptions'!AL$14,0)</f>
        <v>10000</v>
      </c>
      <c r="AM54" s="90">
        <f>IF(AND((DATEDIF('01 Major Assumptions'!$D$6,'01 Major Assumptions'!AM$11,"m")+1)&gt;=$C27,(DATEDIF('01 Major Assumptions'!$D$6,'01 Major Assumptions'!AM$11,"m")+1)&lt;$E27),$C11/$D27*'01 Major Assumptions'!AM$14,0)+IF((DATEDIF('01 Major Assumptions'!$D$6,'01 Major Assumptions'!AM$11,"m")+1)&gt;=$E27,$D11/12*'01 Major Assumptions'!AM$14,0)</f>
        <v>10000</v>
      </c>
      <c r="AN54" s="90">
        <f>IF(AND((DATEDIF('01 Major Assumptions'!$D$6,'01 Major Assumptions'!AN$11,"m")+1)&gt;=$C27,(DATEDIF('01 Major Assumptions'!$D$6,'01 Major Assumptions'!AN$11,"m")+1)&lt;$E27),$C11/$D27*'01 Major Assumptions'!AN$14,0)+IF((DATEDIF('01 Major Assumptions'!$D$6,'01 Major Assumptions'!AN$11,"m")+1)&gt;=$E27,$D11/12*'01 Major Assumptions'!AN$14,0)</f>
        <v>10000</v>
      </c>
      <c r="AO54" s="90">
        <f>IF(AND((DATEDIF('01 Major Assumptions'!$D$6,'01 Major Assumptions'!AO$11,"m")+1)&gt;=$C27,(DATEDIF('01 Major Assumptions'!$D$6,'01 Major Assumptions'!AO$11,"m")+1)&lt;$E27),$C11/$D27*'01 Major Assumptions'!AO$14,0)+IF((DATEDIF('01 Major Assumptions'!$D$6,'01 Major Assumptions'!AO$11,"m")+1)&gt;=$E27,$D11/12*'01 Major Assumptions'!AO$14,0)</f>
        <v>10000</v>
      </c>
      <c r="AP54" s="90">
        <f>IF(AND((DATEDIF('01 Major Assumptions'!$D$6,'01 Major Assumptions'!AP$11,"m")+1)&gt;=$C27,(DATEDIF('01 Major Assumptions'!$D$6,'01 Major Assumptions'!AP$11,"m")+1)&lt;$E27),$C11/$D27*'01 Major Assumptions'!AP$14,0)+IF((DATEDIF('01 Major Assumptions'!$D$6,'01 Major Assumptions'!AP$11,"m")+1)&gt;=$E27,$D11/12*'01 Major Assumptions'!AP$14,0)</f>
        <v>10000</v>
      </c>
      <c r="AQ54" s="90">
        <f>IF(AND((DATEDIF('01 Major Assumptions'!$D$6,'01 Major Assumptions'!AQ$11,"m")+1)&gt;=$C27,(DATEDIF('01 Major Assumptions'!$D$6,'01 Major Assumptions'!AQ$11,"m")+1)&lt;$E27),$C11/$D27*'01 Major Assumptions'!AQ$14,0)+IF((DATEDIF('01 Major Assumptions'!$D$6,'01 Major Assumptions'!AQ$11,"m")+1)&gt;=$E27,$D11/12*'01 Major Assumptions'!AQ$14,0)</f>
        <v>10000</v>
      </c>
      <c r="AR54" s="90">
        <f>IF(AND((DATEDIF('01 Major Assumptions'!$D$6,'01 Major Assumptions'!AR$11,"m")+1)&gt;=$C27,(DATEDIF('01 Major Assumptions'!$D$6,'01 Major Assumptions'!AR$11,"m")+1)&lt;$E27),$C11/$D27*'01 Major Assumptions'!AR$14,0)+IF((DATEDIF('01 Major Assumptions'!$D$6,'01 Major Assumptions'!AR$11,"m")+1)&gt;=$E27,$D11/12*'01 Major Assumptions'!AR$14,0)</f>
        <v>10000</v>
      </c>
      <c r="AS54" s="90">
        <f>IF(AND((DATEDIF('01 Major Assumptions'!$D$6,'01 Major Assumptions'!AS$11,"m")+1)&gt;=$C27,(DATEDIF('01 Major Assumptions'!$D$6,'01 Major Assumptions'!AS$11,"m")+1)&lt;$E27),$C11/$D27*'01 Major Assumptions'!AS$14,0)+IF((DATEDIF('01 Major Assumptions'!$D$6,'01 Major Assumptions'!AS$11,"m")+1)&gt;=$E27,$D11/12*'01 Major Assumptions'!AS$14,0)</f>
        <v>10000</v>
      </c>
      <c r="AT54" s="90">
        <f>IF(AND((DATEDIF('01 Major Assumptions'!$D$6,'01 Major Assumptions'!AT$11,"m")+1)&gt;=$C27,(DATEDIF('01 Major Assumptions'!$D$6,'01 Major Assumptions'!AT$11,"m")+1)&lt;$E27),$C11/$D27*'01 Major Assumptions'!AT$14,0)+IF((DATEDIF('01 Major Assumptions'!$D$6,'01 Major Assumptions'!AT$11,"m")+1)&gt;=$E27,$D11/12*'01 Major Assumptions'!AT$14,0)</f>
        <v>10000</v>
      </c>
      <c r="AU54" s="90">
        <f>IF(AND((DATEDIF('01 Major Assumptions'!$D$6,'01 Major Assumptions'!AU$11,"m")+1)&gt;=$C27,(DATEDIF('01 Major Assumptions'!$D$6,'01 Major Assumptions'!AU$11,"m")+1)&lt;$E27),$C11/$D27*'01 Major Assumptions'!AU$14,0)+IF((DATEDIF('01 Major Assumptions'!$D$6,'01 Major Assumptions'!AU$11,"m")+1)&gt;=$E27,$D11/12*'01 Major Assumptions'!AU$14,0)</f>
        <v>10000</v>
      </c>
      <c r="AV54" s="90">
        <f>IF(AND((DATEDIF('01 Major Assumptions'!$D$6,'01 Major Assumptions'!AV$11,"m")+1)&gt;=$C27,(DATEDIF('01 Major Assumptions'!$D$6,'01 Major Assumptions'!AV$11,"m")+1)&lt;$E27),$C11/$D27*'01 Major Assumptions'!AV$14,0)+IF((DATEDIF('01 Major Assumptions'!$D$6,'01 Major Assumptions'!AV$11,"m")+1)&gt;=$E27,$D11/12*'01 Major Assumptions'!AV$14,0)</f>
        <v>10000</v>
      </c>
      <c r="AW54" s="90">
        <f>IF(AND((DATEDIF('01 Major Assumptions'!$D$6,'01 Major Assumptions'!AW$11,"m")+1)&gt;=$C27,(DATEDIF('01 Major Assumptions'!$D$6,'01 Major Assumptions'!AW$11,"m")+1)&lt;$E27),$C11/$D27*'01 Major Assumptions'!AW$14,0)+IF((DATEDIF('01 Major Assumptions'!$D$6,'01 Major Assumptions'!AW$11,"m")+1)&gt;=$E27,$D11/12*'01 Major Assumptions'!AW$14,0)</f>
        <v>10000</v>
      </c>
      <c r="AX54" s="90">
        <f>IF(AND((DATEDIF('01 Major Assumptions'!$D$6,'01 Major Assumptions'!AX$11,"m")+1)&gt;=$C27,(DATEDIF('01 Major Assumptions'!$D$6,'01 Major Assumptions'!AX$11,"m")+1)&lt;$E27),$C11/$D27*'01 Major Assumptions'!AX$14,0)+IF((DATEDIF('01 Major Assumptions'!$D$6,'01 Major Assumptions'!AX$11,"m")+1)&gt;=$E27,$D11/12*'01 Major Assumptions'!AX$14,0)</f>
        <v>10000</v>
      </c>
      <c r="AY54" s="90">
        <f>IF(AND((DATEDIF('01 Major Assumptions'!$D$6,'01 Major Assumptions'!AY$11,"m")+1)&gt;=$C27,(DATEDIF('01 Major Assumptions'!$D$6,'01 Major Assumptions'!AY$11,"m")+1)&lt;$E27),$C11/$D27*'01 Major Assumptions'!AY$14,0)+IF((DATEDIF('01 Major Assumptions'!$D$6,'01 Major Assumptions'!AY$11,"m")+1)&gt;=$E27,$D11/12*'01 Major Assumptions'!AY$14,0)</f>
        <v>10000</v>
      </c>
      <c r="AZ54" s="90">
        <f>IF(AND((DATEDIF('01 Major Assumptions'!$D$6,'01 Major Assumptions'!AZ$11,"m")+1)&gt;=$C27,(DATEDIF('01 Major Assumptions'!$D$6,'01 Major Assumptions'!AZ$11,"m")+1)&lt;$E27),$C11/$D27*'01 Major Assumptions'!AZ$14,0)+IF((DATEDIF('01 Major Assumptions'!$D$6,'01 Major Assumptions'!AZ$11,"m")+1)&gt;=$E27,$D11/12*'01 Major Assumptions'!AZ$14,0)</f>
        <v>10000</v>
      </c>
      <c r="BA54" s="90">
        <f>IF(AND((DATEDIF('01 Major Assumptions'!$D$6,'01 Major Assumptions'!BA$11,"m")+1)&gt;=$C27,(DATEDIF('01 Major Assumptions'!$D$6,'01 Major Assumptions'!BA$11,"m")+1)&lt;$E27),$C11/$D27*'01 Major Assumptions'!BA$14,0)+IF((DATEDIF('01 Major Assumptions'!$D$6,'01 Major Assumptions'!BA$11,"m")+1)&gt;=$E27,$D11/12*'01 Major Assumptions'!BA$14,0)</f>
        <v>10000</v>
      </c>
      <c r="BB54" s="90">
        <f>IF(AND((DATEDIF('01 Major Assumptions'!$D$6,'01 Major Assumptions'!BB$11,"m")+1)&gt;=$C27,(DATEDIF('01 Major Assumptions'!$D$6,'01 Major Assumptions'!BB$11,"m")+1)&lt;$E27),$C11/$D27*'01 Major Assumptions'!BB$14,0)+IF((DATEDIF('01 Major Assumptions'!$D$6,'01 Major Assumptions'!BB$11,"m")+1)&gt;=$E27,$D11/12*'01 Major Assumptions'!BB$14,0)</f>
        <v>10000</v>
      </c>
      <c r="BC54" s="90">
        <f>IF(AND((DATEDIF('01 Major Assumptions'!$D$6,'01 Major Assumptions'!BC$11,"m")+1)&gt;=$C27,(DATEDIF('01 Major Assumptions'!$D$6,'01 Major Assumptions'!BC$11,"m")+1)&lt;$E27),$C11/$D27*'01 Major Assumptions'!BC$14,0)+IF((DATEDIF('01 Major Assumptions'!$D$6,'01 Major Assumptions'!BC$11,"m")+1)&gt;=$E27,$D11/12*'01 Major Assumptions'!BC$14,0)</f>
        <v>10000</v>
      </c>
      <c r="BD54" s="90">
        <f>IF(AND((DATEDIF('01 Major Assumptions'!$D$6,'01 Major Assumptions'!BD$11,"m")+1)&gt;=$C27,(DATEDIF('01 Major Assumptions'!$D$6,'01 Major Assumptions'!BD$11,"m")+1)&lt;$E27),$C11/$D27*'01 Major Assumptions'!BD$14,0)+IF((DATEDIF('01 Major Assumptions'!$D$6,'01 Major Assumptions'!BD$11,"m")+1)&gt;=$E27,$D11/12*'01 Major Assumptions'!BD$14,0)</f>
        <v>10000</v>
      </c>
      <c r="BE54" s="90">
        <f>IF(AND((DATEDIF('01 Major Assumptions'!$D$6,'01 Major Assumptions'!BE$11,"m")+1)&gt;=$C27,(DATEDIF('01 Major Assumptions'!$D$6,'01 Major Assumptions'!BE$11,"m")+1)&lt;$E27),$C11/$D27*'01 Major Assumptions'!BE$14,0)+IF((DATEDIF('01 Major Assumptions'!$D$6,'01 Major Assumptions'!BE$11,"m")+1)&gt;=$E27,$D11/12*'01 Major Assumptions'!BE$14,0)</f>
        <v>10000</v>
      </c>
      <c r="BF54" s="90">
        <f>IF(AND((DATEDIF('01 Major Assumptions'!$D$6,'01 Major Assumptions'!BF$11,"m")+1)&gt;=$C27,(DATEDIF('01 Major Assumptions'!$D$6,'01 Major Assumptions'!BF$11,"m")+1)&lt;$E27),$C11/$D27*'01 Major Assumptions'!BF$14,0)+IF((DATEDIF('01 Major Assumptions'!$D$6,'01 Major Assumptions'!BF$11,"m")+1)&gt;=$E27,$D11/12*'01 Major Assumptions'!BF$14,0)</f>
        <v>10000</v>
      </c>
      <c r="BG54" s="90">
        <f>IF(AND((DATEDIF('01 Major Assumptions'!$D$6,'01 Major Assumptions'!BG$11,"m")+1)&gt;=$C27,(DATEDIF('01 Major Assumptions'!$D$6,'01 Major Assumptions'!BG$11,"m")+1)&lt;$E27),$C11/$D27*'01 Major Assumptions'!BG$14,0)+IF((DATEDIF('01 Major Assumptions'!$D$6,'01 Major Assumptions'!BG$11,"m")+1)&gt;=$E27,$D11/12*'01 Major Assumptions'!BG$14,0)</f>
        <v>10000</v>
      </c>
      <c r="BH54" s="90">
        <f>IF(AND((DATEDIF('01 Major Assumptions'!$D$6,'01 Major Assumptions'!BH$11,"m")+1)&gt;=$C27,(DATEDIF('01 Major Assumptions'!$D$6,'01 Major Assumptions'!BH$11,"m")+1)&lt;$E27),$C11/$D27*'01 Major Assumptions'!BH$14,0)+IF((DATEDIF('01 Major Assumptions'!$D$6,'01 Major Assumptions'!BH$11,"m")+1)&gt;=$E27,$D11/12*'01 Major Assumptions'!BH$14,0)</f>
        <v>10000</v>
      </c>
      <c r="BI54" s="90">
        <f>IF(AND((DATEDIF('01 Major Assumptions'!$D$6,'01 Major Assumptions'!BI$11,"m")+1)&gt;=$C27,(DATEDIF('01 Major Assumptions'!$D$6,'01 Major Assumptions'!BI$11,"m")+1)&lt;$E27),$C11/$D27*'01 Major Assumptions'!BI$14,0)+IF((DATEDIF('01 Major Assumptions'!$D$6,'01 Major Assumptions'!BI$11,"m")+1)&gt;=$E27,$D11/12*'01 Major Assumptions'!BI$14,0)</f>
        <v>120000</v>
      </c>
      <c r="BJ54" s="90">
        <f>IF(AND((DATEDIF('01 Major Assumptions'!$D$6,'01 Major Assumptions'!BJ$11,"m")+1)&gt;=$C27,(DATEDIF('01 Major Assumptions'!$D$6,'01 Major Assumptions'!BJ$11,"m")+1)&lt;$E27),$C11/$D27*'01 Major Assumptions'!BJ$14,0)+IF((DATEDIF('01 Major Assumptions'!$D$6,'01 Major Assumptions'!BJ$11,"m")+1)&gt;=$E27,$D11/12*'01 Major Assumptions'!BJ$14,0)</f>
        <v>120000</v>
      </c>
      <c r="BK54" s="90">
        <f>IF(AND((DATEDIF('01 Major Assumptions'!$D$6,'01 Major Assumptions'!BK$11,"m")+1)&gt;=$C27,(DATEDIF('01 Major Assumptions'!$D$6,'01 Major Assumptions'!BK$11,"m")+1)&lt;$E27),$C11/$D27*'01 Major Assumptions'!BK$14,0)+IF((DATEDIF('01 Major Assumptions'!$D$6,'01 Major Assumptions'!BK$11,"m")+1)&gt;=$E27,$D11/12*'01 Major Assumptions'!BK$14,0)</f>
        <v>120000</v>
      </c>
      <c r="BL54" s="90">
        <f>IF(AND((DATEDIF('01 Major Assumptions'!$D$6,'01 Major Assumptions'!BL$11,"m")+1)&gt;=$C27,(DATEDIF('01 Major Assumptions'!$D$6,'01 Major Assumptions'!BL$11,"m")+1)&lt;$E27),$C11/$D27*'01 Major Assumptions'!BL$14,0)+IF((DATEDIF('01 Major Assumptions'!$D$6,'01 Major Assumptions'!BL$11,"m")+1)&gt;=$E27,$D11/12*'01 Major Assumptions'!BL$14,0)</f>
        <v>120000</v>
      </c>
      <c r="BM54" s="90">
        <f>IF(AND((DATEDIF('01 Major Assumptions'!$D$6,'01 Major Assumptions'!BM$11,"m")+1)&gt;=$C27,(DATEDIF('01 Major Assumptions'!$D$6,'01 Major Assumptions'!BM$11,"m")+1)&lt;$E27),$C11/$D27*'01 Major Assumptions'!BM$14,0)+IF((DATEDIF('01 Major Assumptions'!$D$6,'01 Major Assumptions'!BM$11,"m")+1)&gt;=$E27,$D11/12*'01 Major Assumptions'!BM$14,0)</f>
        <v>120000</v>
      </c>
      <c r="BN54" s="90">
        <f>IF(AND((DATEDIF('01 Major Assumptions'!$D$6,'01 Major Assumptions'!BN$11,"m")+1)&gt;=$C27,(DATEDIF('01 Major Assumptions'!$D$6,'01 Major Assumptions'!BN$11,"m")+1)&lt;$E27),$C11/$D27*'01 Major Assumptions'!BN$14,0)+IF((DATEDIF('01 Major Assumptions'!$D$6,'01 Major Assumptions'!BN$11,"m")+1)&gt;=$E27,$D11/12*'01 Major Assumptions'!BN$14,0)</f>
        <v>120000</v>
      </c>
      <c r="BO54" s="90">
        <f>IF(AND((DATEDIF('01 Major Assumptions'!$D$6,'01 Major Assumptions'!BO$11,"m")+1)&gt;=$C27,(DATEDIF('01 Major Assumptions'!$D$6,'01 Major Assumptions'!BO$11,"m")+1)&lt;$E27),$C11/$D27*'01 Major Assumptions'!BO$14,0)+IF((DATEDIF('01 Major Assumptions'!$D$6,'01 Major Assumptions'!BO$11,"m")+1)&gt;=$E27,$D11/12*'01 Major Assumptions'!BO$14,0)</f>
        <v>120000</v>
      </c>
    </row>
    <row r="55" spans="1:67">
      <c r="A55" s="11"/>
      <c r="B55" s="32" t="str">
        <f t="shared" si="7"/>
        <v>ISO 50001 — energy management system</v>
      </c>
      <c r="C55" s="11"/>
      <c r="D55" s="33"/>
      <c r="E55" s="10" t="s">
        <v>13</v>
      </c>
      <c r="F55" s="10"/>
      <c r="G55" s="90">
        <f>IF(AND((DATEDIF('01 Major Assumptions'!$D$6,'01 Major Assumptions'!G$11,"m")+1)&gt;=$C28,(DATEDIF('01 Major Assumptions'!$D$6,'01 Major Assumptions'!G$11,"m")+1)&lt;$E28),$C12/$D28*'01 Major Assumptions'!G$14,0)+IF((DATEDIF('01 Major Assumptions'!$D$6,'01 Major Assumptions'!G$11,"m")+1)&gt;=$E28,$D12/12*'01 Major Assumptions'!G$14,0)</f>
        <v>0</v>
      </c>
      <c r="H55" s="90">
        <f>IF(AND((DATEDIF('01 Major Assumptions'!$D$6,'01 Major Assumptions'!H$11,"m")+1)&gt;=$C28,(DATEDIF('01 Major Assumptions'!$D$6,'01 Major Assumptions'!H$11,"m")+1)&lt;$E28),$C12/$D28*'01 Major Assumptions'!H$14,0)+IF((DATEDIF('01 Major Assumptions'!$D$6,'01 Major Assumptions'!H$11,"m")+1)&gt;=$E28,$D12/12*'01 Major Assumptions'!H$14,0)</f>
        <v>0</v>
      </c>
      <c r="I55" s="90">
        <f>IF(AND((DATEDIF('01 Major Assumptions'!$D$6,'01 Major Assumptions'!I$11,"m")+1)&gt;=$C28,(DATEDIF('01 Major Assumptions'!$D$6,'01 Major Assumptions'!I$11,"m")+1)&lt;$E28),$C12/$D28*'01 Major Assumptions'!I$14,0)+IF((DATEDIF('01 Major Assumptions'!$D$6,'01 Major Assumptions'!I$11,"m")+1)&gt;=$E28,$D12/12*'01 Major Assumptions'!I$14,0)</f>
        <v>0</v>
      </c>
      <c r="J55" s="90">
        <f>IF(AND((DATEDIF('01 Major Assumptions'!$D$6,'01 Major Assumptions'!J$11,"m")+1)&gt;=$C28,(DATEDIF('01 Major Assumptions'!$D$6,'01 Major Assumptions'!J$11,"m")+1)&lt;$E28),$C12/$D28*'01 Major Assumptions'!J$14,0)+IF((DATEDIF('01 Major Assumptions'!$D$6,'01 Major Assumptions'!J$11,"m")+1)&gt;=$E28,$D12/12*'01 Major Assumptions'!J$14,0)</f>
        <v>0</v>
      </c>
      <c r="K55" s="90">
        <f>IF(AND((DATEDIF('01 Major Assumptions'!$D$6,'01 Major Assumptions'!K$11,"m")+1)&gt;=$C28,(DATEDIF('01 Major Assumptions'!$D$6,'01 Major Assumptions'!K$11,"m")+1)&lt;$E28),$C12/$D28*'01 Major Assumptions'!K$14,0)+IF((DATEDIF('01 Major Assumptions'!$D$6,'01 Major Assumptions'!K$11,"m")+1)&gt;=$E28,$D12/12*'01 Major Assumptions'!K$14,0)</f>
        <v>0</v>
      </c>
      <c r="L55" s="90">
        <f>IF(AND((DATEDIF('01 Major Assumptions'!$D$6,'01 Major Assumptions'!L$11,"m")+1)&gt;=$C28,(DATEDIF('01 Major Assumptions'!$D$6,'01 Major Assumptions'!L$11,"m")+1)&lt;$E28),$C12/$D28*'01 Major Assumptions'!L$14,0)+IF((DATEDIF('01 Major Assumptions'!$D$6,'01 Major Assumptions'!L$11,"m")+1)&gt;=$E28,$D12/12*'01 Major Assumptions'!L$14,0)</f>
        <v>0</v>
      </c>
      <c r="M55" s="90">
        <f>IF(AND((DATEDIF('01 Major Assumptions'!$D$6,'01 Major Assumptions'!M$11,"m")+1)&gt;=$C28,(DATEDIF('01 Major Assumptions'!$D$6,'01 Major Assumptions'!M$11,"m")+1)&lt;$E28),$C12/$D28*'01 Major Assumptions'!M$14,0)+IF((DATEDIF('01 Major Assumptions'!$D$6,'01 Major Assumptions'!M$11,"m")+1)&gt;=$E28,$D12/12*'01 Major Assumptions'!M$14,0)</f>
        <v>0</v>
      </c>
      <c r="N55" s="90">
        <f>IF(AND((DATEDIF('01 Major Assumptions'!$D$6,'01 Major Assumptions'!N$11,"m")+1)&gt;=$C28,(DATEDIF('01 Major Assumptions'!$D$6,'01 Major Assumptions'!N$11,"m")+1)&lt;$E28),$C12/$D28*'01 Major Assumptions'!N$14,0)+IF((DATEDIF('01 Major Assumptions'!$D$6,'01 Major Assumptions'!N$11,"m")+1)&gt;=$E28,$D12/12*'01 Major Assumptions'!N$14,0)</f>
        <v>0</v>
      </c>
      <c r="O55" s="90">
        <f>IF(AND((DATEDIF('01 Major Assumptions'!$D$6,'01 Major Assumptions'!O$11,"m")+1)&gt;=$C28,(DATEDIF('01 Major Assumptions'!$D$6,'01 Major Assumptions'!O$11,"m")+1)&lt;$E28),$C12/$D28*'01 Major Assumptions'!O$14,0)+IF((DATEDIF('01 Major Assumptions'!$D$6,'01 Major Assumptions'!O$11,"m")+1)&gt;=$E28,$D12/12*'01 Major Assumptions'!O$14,0)</f>
        <v>0</v>
      </c>
      <c r="P55" s="90">
        <f>IF(AND((DATEDIF('01 Major Assumptions'!$D$6,'01 Major Assumptions'!P$11,"m")+1)&gt;=$C28,(DATEDIF('01 Major Assumptions'!$D$6,'01 Major Assumptions'!P$11,"m")+1)&lt;$E28),$C12/$D28*'01 Major Assumptions'!P$14,0)+IF((DATEDIF('01 Major Assumptions'!$D$6,'01 Major Assumptions'!P$11,"m")+1)&gt;=$E28,$D12/12*'01 Major Assumptions'!P$14,0)</f>
        <v>0</v>
      </c>
      <c r="Q55" s="90">
        <f>IF(AND((DATEDIF('01 Major Assumptions'!$D$6,'01 Major Assumptions'!Q$11,"m")+1)&gt;=$C28,(DATEDIF('01 Major Assumptions'!$D$6,'01 Major Assumptions'!Q$11,"m")+1)&lt;$E28),$C12/$D28*'01 Major Assumptions'!Q$14,0)+IF((DATEDIF('01 Major Assumptions'!$D$6,'01 Major Assumptions'!Q$11,"m")+1)&gt;=$E28,$D12/12*'01 Major Assumptions'!Q$14,0)</f>
        <v>0</v>
      </c>
      <c r="R55" s="90">
        <f>IF(AND((DATEDIF('01 Major Assumptions'!$D$6,'01 Major Assumptions'!R$11,"m")+1)&gt;=$C28,(DATEDIF('01 Major Assumptions'!$D$6,'01 Major Assumptions'!R$11,"m")+1)&lt;$E28),$C12/$D28*'01 Major Assumptions'!R$14,0)+IF((DATEDIF('01 Major Assumptions'!$D$6,'01 Major Assumptions'!R$11,"m")+1)&gt;=$E28,$D12/12*'01 Major Assumptions'!R$14,0)</f>
        <v>0</v>
      </c>
      <c r="S55" s="90">
        <f>IF(AND((DATEDIF('01 Major Assumptions'!$D$6,'01 Major Assumptions'!S$11,"m")+1)&gt;=$C28,(DATEDIF('01 Major Assumptions'!$D$6,'01 Major Assumptions'!S$11,"m")+1)&lt;$E28),$C12/$D28*'01 Major Assumptions'!S$14,0)+IF((DATEDIF('01 Major Assumptions'!$D$6,'01 Major Assumptions'!S$11,"m")+1)&gt;=$E28,$D12/12*'01 Major Assumptions'!S$14,0)</f>
        <v>0</v>
      </c>
      <c r="T55" s="90">
        <f>IF(AND((DATEDIF('01 Major Assumptions'!$D$6,'01 Major Assumptions'!T$11,"m")+1)&gt;=$C28,(DATEDIF('01 Major Assumptions'!$D$6,'01 Major Assumptions'!T$11,"m")+1)&lt;$E28),$C12/$D28*'01 Major Assumptions'!T$14,0)+IF((DATEDIF('01 Major Assumptions'!$D$6,'01 Major Assumptions'!T$11,"m")+1)&gt;=$E28,$D12/12*'01 Major Assumptions'!T$14,0)</f>
        <v>0</v>
      </c>
      <c r="U55" s="90">
        <f>IF(AND((DATEDIF('01 Major Assumptions'!$D$6,'01 Major Assumptions'!U$11,"m")+1)&gt;=$C28,(DATEDIF('01 Major Assumptions'!$D$6,'01 Major Assumptions'!U$11,"m")+1)&lt;$E28),$C12/$D28*'01 Major Assumptions'!U$14,0)+IF((DATEDIF('01 Major Assumptions'!$D$6,'01 Major Assumptions'!U$11,"m")+1)&gt;=$E28,$D12/12*'01 Major Assumptions'!U$14,0)</f>
        <v>0</v>
      </c>
      <c r="V55" s="90">
        <f>IF(AND((DATEDIF('01 Major Assumptions'!$D$6,'01 Major Assumptions'!V$11,"m")+1)&gt;=$C28,(DATEDIF('01 Major Assumptions'!$D$6,'01 Major Assumptions'!V$11,"m")+1)&lt;$E28),$C12/$D28*'01 Major Assumptions'!V$14,0)+IF((DATEDIF('01 Major Assumptions'!$D$6,'01 Major Assumptions'!V$11,"m")+1)&gt;=$E28,$D12/12*'01 Major Assumptions'!V$14,0)</f>
        <v>0</v>
      </c>
      <c r="W55" s="90">
        <f>IF(AND((DATEDIF('01 Major Assumptions'!$D$6,'01 Major Assumptions'!W$11,"m")+1)&gt;=$C28,(DATEDIF('01 Major Assumptions'!$D$6,'01 Major Assumptions'!W$11,"m")+1)&lt;$E28),$C12/$D28*'01 Major Assumptions'!W$14,0)+IF((DATEDIF('01 Major Assumptions'!$D$6,'01 Major Assumptions'!W$11,"m")+1)&gt;=$E28,$D12/12*'01 Major Assumptions'!W$14,0)</f>
        <v>0</v>
      </c>
      <c r="X55" s="90">
        <f>IF(AND((DATEDIF('01 Major Assumptions'!$D$6,'01 Major Assumptions'!X$11,"m")+1)&gt;=$C28,(DATEDIF('01 Major Assumptions'!$D$6,'01 Major Assumptions'!X$11,"m")+1)&lt;$E28),$C12/$D28*'01 Major Assumptions'!X$14,0)+IF((DATEDIF('01 Major Assumptions'!$D$6,'01 Major Assumptions'!X$11,"m")+1)&gt;=$E28,$D12/12*'01 Major Assumptions'!X$14,0)</f>
        <v>0</v>
      </c>
      <c r="Y55" s="90">
        <f>IF(AND((DATEDIF('01 Major Assumptions'!$D$6,'01 Major Assumptions'!Y$11,"m")+1)&gt;=$C28,(DATEDIF('01 Major Assumptions'!$D$6,'01 Major Assumptions'!Y$11,"m")+1)&lt;$E28),$C12/$D28*'01 Major Assumptions'!Y$14,0)+IF((DATEDIF('01 Major Assumptions'!$D$6,'01 Major Assumptions'!Y$11,"m")+1)&gt;=$E28,$D12/12*'01 Major Assumptions'!Y$14,0)</f>
        <v>0</v>
      </c>
      <c r="Z55" s="90">
        <f>IF(AND((DATEDIF('01 Major Assumptions'!$D$6,'01 Major Assumptions'!Z$11,"m")+1)&gt;=$C28,(DATEDIF('01 Major Assumptions'!$D$6,'01 Major Assumptions'!Z$11,"m")+1)&lt;$E28),$C12/$D28*'01 Major Assumptions'!Z$14,0)+IF((DATEDIF('01 Major Assumptions'!$D$6,'01 Major Assumptions'!Z$11,"m")+1)&gt;=$E28,$D12/12*'01 Major Assumptions'!Z$14,0)</f>
        <v>43750</v>
      </c>
      <c r="AA55" s="90">
        <f>IF(AND((DATEDIF('01 Major Assumptions'!$D$6,'01 Major Assumptions'!AA$11,"m")+1)&gt;=$C28,(DATEDIF('01 Major Assumptions'!$D$6,'01 Major Assumptions'!AA$11,"m")+1)&lt;$E28),$C12/$D28*'01 Major Assumptions'!AA$14,0)+IF((DATEDIF('01 Major Assumptions'!$D$6,'01 Major Assumptions'!AA$11,"m")+1)&gt;=$E28,$D12/12*'01 Major Assumptions'!AA$14,0)</f>
        <v>43750</v>
      </c>
      <c r="AB55" s="90">
        <f>IF(AND((DATEDIF('01 Major Assumptions'!$D$6,'01 Major Assumptions'!AB$11,"m")+1)&gt;=$C28,(DATEDIF('01 Major Assumptions'!$D$6,'01 Major Assumptions'!AB$11,"m")+1)&lt;$E28),$C12/$D28*'01 Major Assumptions'!AB$14,0)+IF((DATEDIF('01 Major Assumptions'!$D$6,'01 Major Assumptions'!AB$11,"m")+1)&gt;=$E28,$D12/12*'01 Major Assumptions'!AB$14,0)</f>
        <v>43750</v>
      </c>
      <c r="AC55" s="90">
        <f>IF(AND((DATEDIF('01 Major Assumptions'!$D$6,'01 Major Assumptions'!AC$11,"m")+1)&gt;=$C28,(DATEDIF('01 Major Assumptions'!$D$6,'01 Major Assumptions'!AC$11,"m")+1)&lt;$E28),$C12/$D28*'01 Major Assumptions'!AC$14,0)+IF((DATEDIF('01 Major Assumptions'!$D$6,'01 Major Assumptions'!AC$11,"m")+1)&gt;=$E28,$D12/12*'01 Major Assumptions'!AC$14,0)</f>
        <v>43750</v>
      </c>
      <c r="AD55" s="90">
        <f>IF(AND((DATEDIF('01 Major Assumptions'!$D$6,'01 Major Assumptions'!AD$11,"m")+1)&gt;=$C28,(DATEDIF('01 Major Assumptions'!$D$6,'01 Major Assumptions'!AD$11,"m")+1)&lt;$E28),$C12/$D28*'01 Major Assumptions'!AD$14,0)+IF((DATEDIF('01 Major Assumptions'!$D$6,'01 Major Assumptions'!AD$11,"m")+1)&gt;=$E28,$D12/12*'01 Major Assumptions'!AD$14,0)</f>
        <v>43750</v>
      </c>
      <c r="AE55" s="90">
        <f>IF(AND((DATEDIF('01 Major Assumptions'!$D$6,'01 Major Assumptions'!AE$11,"m")+1)&gt;=$C28,(DATEDIF('01 Major Assumptions'!$D$6,'01 Major Assumptions'!AE$11,"m")+1)&lt;$E28),$C12/$D28*'01 Major Assumptions'!AE$14,0)+IF((DATEDIF('01 Major Assumptions'!$D$6,'01 Major Assumptions'!AE$11,"m")+1)&gt;=$E28,$D12/12*'01 Major Assumptions'!AE$14,0)</f>
        <v>43750</v>
      </c>
      <c r="AF55" s="90">
        <f>IF(AND((DATEDIF('01 Major Assumptions'!$D$6,'01 Major Assumptions'!AF$11,"m")+1)&gt;=$C28,(DATEDIF('01 Major Assumptions'!$D$6,'01 Major Assumptions'!AF$11,"m")+1)&lt;$E28),$C12/$D28*'01 Major Assumptions'!AF$14,0)+IF((DATEDIF('01 Major Assumptions'!$D$6,'01 Major Assumptions'!AF$11,"m")+1)&gt;=$E28,$D12/12*'01 Major Assumptions'!AF$14,0)</f>
        <v>43750</v>
      </c>
      <c r="AG55" s="90">
        <f>IF(AND((DATEDIF('01 Major Assumptions'!$D$6,'01 Major Assumptions'!AG$11,"m")+1)&gt;=$C28,(DATEDIF('01 Major Assumptions'!$D$6,'01 Major Assumptions'!AG$11,"m")+1)&lt;$E28),$C12/$D28*'01 Major Assumptions'!AG$14,0)+IF((DATEDIF('01 Major Assumptions'!$D$6,'01 Major Assumptions'!AG$11,"m")+1)&gt;=$E28,$D12/12*'01 Major Assumptions'!AG$14,0)</f>
        <v>43750</v>
      </c>
      <c r="AH55" s="90">
        <f>IF(AND((DATEDIF('01 Major Assumptions'!$D$6,'01 Major Assumptions'!AH$11,"m")+1)&gt;=$C28,(DATEDIF('01 Major Assumptions'!$D$6,'01 Major Assumptions'!AH$11,"m")+1)&lt;$E28),$C12/$D28*'01 Major Assumptions'!AH$14,0)+IF((DATEDIF('01 Major Assumptions'!$D$6,'01 Major Assumptions'!AH$11,"m")+1)&gt;=$E28,$D12/12*'01 Major Assumptions'!AH$14,0)</f>
        <v>9166.6666666666661</v>
      </c>
      <c r="AI55" s="90">
        <f>IF(AND((DATEDIF('01 Major Assumptions'!$D$6,'01 Major Assumptions'!AI$11,"m")+1)&gt;=$C28,(DATEDIF('01 Major Assumptions'!$D$6,'01 Major Assumptions'!AI$11,"m")+1)&lt;$E28),$C12/$D28*'01 Major Assumptions'!AI$14,0)+IF((DATEDIF('01 Major Assumptions'!$D$6,'01 Major Assumptions'!AI$11,"m")+1)&gt;=$E28,$D12/12*'01 Major Assumptions'!AI$14,0)</f>
        <v>9166.6666666666661</v>
      </c>
      <c r="AJ55" s="90">
        <f>IF(AND((DATEDIF('01 Major Assumptions'!$D$6,'01 Major Assumptions'!AJ$11,"m")+1)&gt;=$C28,(DATEDIF('01 Major Assumptions'!$D$6,'01 Major Assumptions'!AJ$11,"m")+1)&lt;$E28),$C12/$D28*'01 Major Assumptions'!AJ$14,0)+IF((DATEDIF('01 Major Assumptions'!$D$6,'01 Major Assumptions'!AJ$11,"m")+1)&gt;=$E28,$D12/12*'01 Major Assumptions'!AJ$14,0)</f>
        <v>9166.6666666666661</v>
      </c>
      <c r="AK55" s="90">
        <f>IF(AND((DATEDIF('01 Major Assumptions'!$D$6,'01 Major Assumptions'!AK$11,"m")+1)&gt;=$C28,(DATEDIF('01 Major Assumptions'!$D$6,'01 Major Assumptions'!AK$11,"m")+1)&lt;$E28),$C12/$D28*'01 Major Assumptions'!AK$14,0)+IF((DATEDIF('01 Major Assumptions'!$D$6,'01 Major Assumptions'!AK$11,"m")+1)&gt;=$E28,$D12/12*'01 Major Assumptions'!AK$14,0)</f>
        <v>9166.6666666666661</v>
      </c>
      <c r="AL55" s="90">
        <f>IF(AND((DATEDIF('01 Major Assumptions'!$D$6,'01 Major Assumptions'!AL$11,"m")+1)&gt;=$C28,(DATEDIF('01 Major Assumptions'!$D$6,'01 Major Assumptions'!AL$11,"m")+1)&lt;$E28),$C12/$D28*'01 Major Assumptions'!AL$14,0)+IF((DATEDIF('01 Major Assumptions'!$D$6,'01 Major Assumptions'!AL$11,"m")+1)&gt;=$E28,$D12/12*'01 Major Assumptions'!AL$14,0)</f>
        <v>9166.6666666666661</v>
      </c>
      <c r="AM55" s="90">
        <f>IF(AND((DATEDIF('01 Major Assumptions'!$D$6,'01 Major Assumptions'!AM$11,"m")+1)&gt;=$C28,(DATEDIF('01 Major Assumptions'!$D$6,'01 Major Assumptions'!AM$11,"m")+1)&lt;$E28),$C12/$D28*'01 Major Assumptions'!AM$14,0)+IF((DATEDIF('01 Major Assumptions'!$D$6,'01 Major Assumptions'!AM$11,"m")+1)&gt;=$E28,$D12/12*'01 Major Assumptions'!AM$14,0)</f>
        <v>9166.6666666666661</v>
      </c>
      <c r="AN55" s="90">
        <f>IF(AND((DATEDIF('01 Major Assumptions'!$D$6,'01 Major Assumptions'!AN$11,"m")+1)&gt;=$C28,(DATEDIF('01 Major Assumptions'!$D$6,'01 Major Assumptions'!AN$11,"m")+1)&lt;$E28),$C12/$D28*'01 Major Assumptions'!AN$14,0)+IF((DATEDIF('01 Major Assumptions'!$D$6,'01 Major Assumptions'!AN$11,"m")+1)&gt;=$E28,$D12/12*'01 Major Assumptions'!AN$14,0)</f>
        <v>9166.6666666666661</v>
      </c>
      <c r="AO55" s="90">
        <f>IF(AND((DATEDIF('01 Major Assumptions'!$D$6,'01 Major Assumptions'!AO$11,"m")+1)&gt;=$C28,(DATEDIF('01 Major Assumptions'!$D$6,'01 Major Assumptions'!AO$11,"m")+1)&lt;$E28),$C12/$D28*'01 Major Assumptions'!AO$14,0)+IF((DATEDIF('01 Major Assumptions'!$D$6,'01 Major Assumptions'!AO$11,"m")+1)&gt;=$E28,$D12/12*'01 Major Assumptions'!AO$14,0)</f>
        <v>9166.6666666666661</v>
      </c>
      <c r="AP55" s="90">
        <f>IF(AND((DATEDIF('01 Major Assumptions'!$D$6,'01 Major Assumptions'!AP$11,"m")+1)&gt;=$C28,(DATEDIF('01 Major Assumptions'!$D$6,'01 Major Assumptions'!AP$11,"m")+1)&lt;$E28),$C12/$D28*'01 Major Assumptions'!AP$14,0)+IF((DATEDIF('01 Major Assumptions'!$D$6,'01 Major Assumptions'!AP$11,"m")+1)&gt;=$E28,$D12/12*'01 Major Assumptions'!AP$14,0)</f>
        <v>9166.6666666666661</v>
      </c>
      <c r="AQ55" s="90">
        <f>IF(AND((DATEDIF('01 Major Assumptions'!$D$6,'01 Major Assumptions'!AQ$11,"m")+1)&gt;=$C28,(DATEDIF('01 Major Assumptions'!$D$6,'01 Major Assumptions'!AQ$11,"m")+1)&lt;$E28),$C12/$D28*'01 Major Assumptions'!AQ$14,0)+IF((DATEDIF('01 Major Assumptions'!$D$6,'01 Major Assumptions'!AQ$11,"m")+1)&gt;=$E28,$D12/12*'01 Major Assumptions'!AQ$14,0)</f>
        <v>9166.6666666666661</v>
      </c>
      <c r="AR55" s="90">
        <f>IF(AND((DATEDIF('01 Major Assumptions'!$D$6,'01 Major Assumptions'!AR$11,"m")+1)&gt;=$C28,(DATEDIF('01 Major Assumptions'!$D$6,'01 Major Assumptions'!AR$11,"m")+1)&lt;$E28),$C12/$D28*'01 Major Assumptions'!AR$14,0)+IF((DATEDIF('01 Major Assumptions'!$D$6,'01 Major Assumptions'!AR$11,"m")+1)&gt;=$E28,$D12/12*'01 Major Assumptions'!AR$14,0)</f>
        <v>9166.6666666666661</v>
      </c>
      <c r="AS55" s="90">
        <f>IF(AND((DATEDIF('01 Major Assumptions'!$D$6,'01 Major Assumptions'!AS$11,"m")+1)&gt;=$C28,(DATEDIF('01 Major Assumptions'!$D$6,'01 Major Assumptions'!AS$11,"m")+1)&lt;$E28),$C12/$D28*'01 Major Assumptions'!AS$14,0)+IF((DATEDIF('01 Major Assumptions'!$D$6,'01 Major Assumptions'!AS$11,"m")+1)&gt;=$E28,$D12/12*'01 Major Assumptions'!AS$14,0)</f>
        <v>9166.6666666666661</v>
      </c>
      <c r="AT55" s="90">
        <f>IF(AND((DATEDIF('01 Major Assumptions'!$D$6,'01 Major Assumptions'!AT$11,"m")+1)&gt;=$C28,(DATEDIF('01 Major Assumptions'!$D$6,'01 Major Assumptions'!AT$11,"m")+1)&lt;$E28),$C12/$D28*'01 Major Assumptions'!AT$14,0)+IF((DATEDIF('01 Major Assumptions'!$D$6,'01 Major Assumptions'!AT$11,"m")+1)&gt;=$E28,$D12/12*'01 Major Assumptions'!AT$14,0)</f>
        <v>9166.6666666666661</v>
      </c>
      <c r="AU55" s="90">
        <f>IF(AND((DATEDIF('01 Major Assumptions'!$D$6,'01 Major Assumptions'!AU$11,"m")+1)&gt;=$C28,(DATEDIF('01 Major Assumptions'!$D$6,'01 Major Assumptions'!AU$11,"m")+1)&lt;$E28),$C12/$D28*'01 Major Assumptions'!AU$14,0)+IF((DATEDIF('01 Major Assumptions'!$D$6,'01 Major Assumptions'!AU$11,"m")+1)&gt;=$E28,$D12/12*'01 Major Assumptions'!AU$14,0)</f>
        <v>9166.6666666666661</v>
      </c>
      <c r="AV55" s="90">
        <f>IF(AND((DATEDIF('01 Major Assumptions'!$D$6,'01 Major Assumptions'!AV$11,"m")+1)&gt;=$C28,(DATEDIF('01 Major Assumptions'!$D$6,'01 Major Assumptions'!AV$11,"m")+1)&lt;$E28),$C12/$D28*'01 Major Assumptions'!AV$14,0)+IF((DATEDIF('01 Major Assumptions'!$D$6,'01 Major Assumptions'!AV$11,"m")+1)&gt;=$E28,$D12/12*'01 Major Assumptions'!AV$14,0)</f>
        <v>9166.6666666666661</v>
      </c>
      <c r="AW55" s="90">
        <f>IF(AND((DATEDIF('01 Major Assumptions'!$D$6,'01 Major Assumptions'!AW$11,"m")+1)&gt;=$C28,(DATEDIF('01 Major Assumptions'!$D$6,'01 Major Assumptions'!AW$11,"m")+1)&lt;$E28),$C12/$D28*'01 Major Assumptions'!AW$14,0)+IF((DATEDIF('01 Major Assumptions'!$D$6,'01 Major Assumptions'!AW$11,"m")+1)&gt;=$E28,$D12/12*'01 Major Assumptions'!AW$14,0)</f>
        <v>9166.6666666666661</v>
      </c>
      <c r="AX55" s="90">
        <f>IF(AND((DATEDIF('01 Major Assumptions'!$D$6,'01 Major Assumptions'!AX$11,"m")+1)&gt;=$C28,(DATEDIF('01 Major Assumptions'!$D$6,'01 Major Assumptions'!AX$11,"m")+1)&lt;$E28),$C12/$D28*'01 Major Assumptions'!AX$14,0)+IF((DATEDIF('01 Major Assumptions'!$D$6,'01 Major Assumptions'!AX$11,"m")+1)&gt;=$E28,$D12/12*'01 Major Assumptions'!AX$14,0)</f>
        <v>9166.6666666666661</v>
      </c>
      <c r="AY55" s="90">
        <f>IF(AND((DATEDIF('01 Major Assumptions'!$D$6,'01 Major Assumptions'!AY$11,"m")+1)&gt;=$C28,(DATEDIF('01 Major Assumptions'!$D$6,'01 Major Assumptions'!AY$11,"m")+1)&lt;$E28),$C12/$D28*'01 Major Assumptions'!AY$14,0)+IF((DATEDIF('01 Major Assumptions'!$D$6,'01 Major Assumptions'!AY$11,"m")+1)&gt;=$E28,$D12/12*'01 Major Assumptions'!AY$14,0)</f>
        <v>9166.6666666666661</v>
      </c>
      <c r="AZ55" s="90">
        <f>IF(AND((DATEDIF('01 Major Assumptions'!$D$6,'01 Major Assumptions'!AZ$11,"m")+1)&gt;=$C28,(DATEDIF('01 Major Assumptions'!$D$6,'01 Major Assumptions'!AZ$11,"m")+1)&lt;$E28),$C12/$D28*'01 Major Assumptions'!AZ$14,0)+IF((DATEDIF('01 Major Assumptions'!$D$6,'01 Major Assumptions'!AZ$11,"m")+1)&gt;=$E28,$D12/12*'01 Major Assumptions'!AZ$14,0)</f>
        <v>9166.6666666666661</v>
      </c>
      <c r="BA55" s="90">
        <f>IF(AND((DATEDIF('01 Major Assumptions'!$D$6,'01 Major Assumptions'!BA$11,"m")+1)&gt;=$C28,(DATEDIF('01 Major Assumptions'!$D$6,'01 Major Assumptions'!BA$11,"m")+1)&lt;$E28),$C12/$D28*'01 Major Assumptions'!BA$14,0)+IF((DATEDIF('01 Major Assumptions'!$D$6,'01 Major Assumptions'!BA$11,"m")+1)&gt;=$E28,$D12/12*'01 Major Assumptions'!BA$14,0)</f>
        <v>9166.6666666666661</v>
      </c>
      <c r="BB55" s="90">
        <f>IF(AND((DATEDIF('01 Major Assumptions'!$D$6,'01 Major Assumptions'!BB$11,"m")+1)&gt;=$C28,(DATEDIF('01 Major Assumptions'!$D$6,'01 Major Assumptions'!BB$11,"m")+1)&lt;$E28),$C12/$D28*'01 Major Assumptions'!BB$14,0)+IF((DATEDIF('01 Major Assumptions'!$D$6,'01 Major Assumptions'!BB$11,"m")+1)&gt;=$E28,$D12/12*'01 Major Assumptions'!BB$14,0)</f>
        <v>9166.6666666666661</v>
      </c>
      <c r="BC55" s="90">
        <f>IF(AND((DATEDIF('01 Major Assumptions'!$D$6,'01 Major Assumptions'!BC$11,"m")+1)&gt;=$C28,(DATEDIF('01 Major Assumptions'!$D$6,'01 Major Assumptions'!BC$11,"m")+1)&lt;$E28),$C12/$D28*'01 Major Assumptions'!BC$14,0)+IF((DATEDIF('01 Major Assumptions'!$D$6,'01 Major Assumptions'!BC$11,"m")+1)&gt;=$E28,$D12/12*'01 Major Assumptions'!BC$14,0)</f>
        <v>9166.6666666666661</v>
      </c>
      <c r="BD55" s="90">
        <f>IF(AND((DATEDIF('01 Major Assumptions'!$D$6,'01 Major Assumptions'!BD$11,"m")+1)&gt;=$C28,(DATEDIF('01 Major Assumptions'!$D$6,'01 Major Assumptions'!BD$11,"m")+1)&lt;$E28),$C12/$D28*'01 Major Assumptions'!BD$14,0)+IF((DATEDIF('01 Major Assumptions'!$D$6,'01 Major Assumptions'!BD$11,"m")+1)&gt;=$E28,$D12/12*'01 Major Assumptions'!BD$14,0)</f>
        <v>9166.6666666666661</v>
      </c>
      <c r="BE55" s="90">
        <f>IF(AND((DATEDIF('01 Major Assumptions'!$D$6,'01 Major Assumptions'!BE$11,"m")+1)&gt;=$C28,(DATEDIF('01 Major Assumptions'!$D$6,'01 Major Assumptions'!BE$11,"m")+1)&lt;$E28),$C12/$D28*'01 Major Assumptions'!BE$14,0)+IF((DATEDIF('01 Major Assumptions'!$D$6,'01 Major Assumptions'!BE$11,"m")+1)&gt;=$E28,$D12/12*'01 Major Assumptions'!BE$14,0)</f>
        <v>9166.6666666666661</v>
      </c>
      <c r="BF55" s="90">
        <f>IF(AND((DATEDIF('01 Major Assumptions'!$D$6,'01 Major Assumptions'!BF$11,"m")+1)&gt;=$C28,(DATEDIF('01 Major Assumptions'!$D$6,'01 Major Assumptions'!BF$11,"m")+1)&lt;$E28),$C12/$D28*'01 Major Assumptions'!BF$14,0)+IF((DATEDIF('01 Major Assumptions'!$D$6,'01 Major Assumptions'!BF$11,"m")+1)&gt;=$E28,$D12/12*'01 Major Assumptions'!BF$14,0)</f>
        <v>9166.6666666666661</v>
      </c>
      <c r="BG55" s="90">
        <f>IF(AND((DATEDIF('01 Major Assumptions'!$D$6,'01 Major Assumptions'!BG$11,"m")+1)&gt;=$C28,(DATEDIF('01 Major Assumptions'!$D$6,'01 Major Assumptions'!BG$11,"m")+1)&lt;$E28),$C12/$D28*'01 Major Assumptions'!BG$14,0)+IF((DATEDIF('01 Major Assumptions'!$D$6,'01 Major Assumptions'!BG$11,"m")+1)&gt;=$E28,$D12/12*'01 Major Assumptions'!BG$14,0)</f>
        <v>9166.6666666666661</v>
      </c>
      <c r="BH55" s="90">
        <f>IF(AND((DATEDIF('01 Major Assumptions'!$D$6,'01 Major Assumptions'!BH$11,"m")+1)&gt;=$C28,(DATEDIF('01 Major Assumptions'!$D$6,'01 Major Assumptions'!BH$11,"m")+1)&lt;$E28),$C12/$D28*'01 Major Assumptions'!BH$14,0)+IF((DATEDIF('01 Major Assumptions'!$D$6,'01 Major Assumptions'!BH$11,"m")+1)&gt;=$E28,$D12/12*'01 Major Assumptions'!BH$14,0)</f>
        <v>9166.6666666666661</v>
      </c>
      <c r="BI55" s="90">
        <f>IF(AND((DATEDIF('01 Major Assumptions'!$D$6,'01 Major Assumptions'!BI$11,"m")+1)&gt;=$C28,(DATEDIF('01 Major Assumptions'!$D$6,'01 Major Assumptions'!BI$11,"m")+1)&lt;$E28),$C12/$D28*'01 Major Assumptions'!BI$14,0)+IF((DATEDIF('01 Major Assumptions'!$D$6,'01 Major Assumptions'!BI$11,"m")+1)&gt;=$E28,$D12/12*'01 Major Assumptions'!BI$14,0)</f>
        <v>110000</v>
      </c>
      <c r="BJ55" s="90">
        <f>IF(AND((DATEDIF('01 Major Assumptions'!$D$6,'01 Major Assumptions'!BJ$11,"m")+1)&gt;=$C28,(DATEDIF('01 Major Assumptions'!$D$6,'01 Major Assumptions'!BJ$11,"m")+1)&lt;$E28),$C12/$D28*'01 Major Assumptions'!BJ$14,0)+IF((DATEDIF('01 Major Assumptions'!$D$6,'01 Major Assumptions'!BJ$11,"m")+1)&gt;=$E28,$D12/12*'01 Major Assumptions'!BJ$14,0)</f>
        <v>110000</v>
      </c>
      <c r="BK55" s="90">
        <f>IF(AND((DATEDIF('01 Major Assumptions'!$D$6,'01 Major Assumptions'!BK$11,"m")+1)&gt;=$C28,(DATEDIF('01 Major Assumptions'!$D$6,'01 Major Assumptions'!BK$11,"m")+1)&lt;$E28),$C12/$D28*'01 Major Assumptions'!BK$14,0)+IF((DATEDIF('01 Major Assumptions'!$D$6,'01 Major Assumptions'!BK$11,"m")+1)&gt;=$E28,$D12/12*'01 Major Assumptions'!BK$14,0)</f>
        <v>110000</v>
      </c>
      <c r="BL55" s="90">
        <f>IF(AND((DATEDIF('01 Major Assumptions'!$D$6,'01 Major Assumptions'!BL$11,"m")+1)&gt;=$C28,(DATEDIF('01 Major Assumptions'!$D$6,'01 Major Assumptions'!BL$11,"m")+1)&lt;$E28),$C12/$D28*'01 Major Assumptions'!BL$14,0)+IF((DATEDIF('01 Major Assumptions'!$D$6,'01 Major Assumptions'!BL$11,"m")+1)&gt;=$E28,$D12/12*'01 Major Assumptions'!BL$14,0)</f>
        <v>110000</v>
      </c>
      <c r="BM55" s="90">
        <f>IF(AND((DATEDIF('01 Major Assumptions'!$D$6,'01 Major Assumptions'!BM$11,"m")+1)&gt;=$C28,(DATEDIF('01 Major Assumptions'!$D$6,'01 Major Assumptions'!BM$11,"m")+1)&lt;$E28),$C12/$D28*'01 Major Assumptions'!BM$14,0)+IF((DATEDIF('01 Major Assumptions'!$D$6,'01 Major Assumptions'!BM$11,"m")+1)&gt;=$E28,$D12/12*'01 Major Assumptions'!BM$14,0)</f>
        <v>110000</v>
      </c>
      <c r="BN55" s="90">
        <f>IF(AND((DATEDIF('01 Major Assumptions'!$D$6,'01 Major Assumptions'!BN$11,"m")+1)&gt;=$C28,(DATEDIF('01 Major Assumptions'!$D$6,'01 Major Assumptions'!BN$11,"m")+1)&lt;$E28),$C12/$D28*'01 Major Assumptions'!BN$14,0)+IF((DATEDIF('01 Major Assumptions'!$D$6,'01 Major Assumptions'!BN$11,"m")+1)&gt;=$E28,$D12/12*'01 Major Assumptions'!BN$14,0)</f>
        <v>110000</v>
      </c>
      <c r="BO55" s="90">
        <f>IF(AND((DATEDIF('01 Major Assumptions'!$D$6,'01 Major Assumptions'!BO$11,"m")+1)&gt;=$C28,(DATEDIF('01 Major Assumptions'!$D$6,'01 Major Assumptions'!BO$11,"m")+1)&lt;$E28),$C12/$D28*'01 Major Assumptions'!BO$14,0)+IF((DATEDIF('01 Major Assumptions'!$D$6,'01 Major Assumptions'!BO$11,"m")+1)&gt;=$E28,$D12/12*'01 Major Assumptions'!BO$14,0)</f>
        <v>110000</v>
      </c>
    </row>
    <row r="56" spans="1:67">
      <c r="A56" s="11"/>
      <c r="B56" s="32" t="str">
        <f t="shared" si="7"/>
        <v>ISCC PLUS — chain of custody, circular / mass balance</v>
      </c>
      <c r="C56" s="11"/>
      <c r="D56" s="33"/>
      <c r="E56" s="10" t="s">
        <v>13</v>
      </c>
      <c r="F56" s="10"/>
      <c r="G56" s="90">
        <f>IF(AND((DATEDIF('01 Major Assumptions'!$D$6,'01 Major Assumptions'!G$11,"m")+1)&gt;=$C29,(DATEDIF('01 Major Assumptions'!$D$6,'01 Major Assumptions'!G$11,"m")+1)&lt;$E29),$C13/$D29*'01 Major Assumptions'!G$14,0)+IF((DATEDIF('01 Major Assumptions'!$D$6,'01 Major Assumptions'!G$11,"m")+1)&gt;=$E29,$D13/12*'01 Major Assumptions'!G$14,0)</f>
        <v>0</v>
      </c>
      <c r="H56" s="90">
        <f>IF(AND((DATEDIF('01 Major Assumptions'!$D$6,'01 Major Assumptions'!H$11,"m")+1)&gt;=$C29,(DATEDIF('01 Major Assumptions'!$D$6,'01 Major Assumptions'!H$11,"m")+1)&lt;$E29),$C13/$D29*'01 Major Assumptions'!H$14,0)+IF((DATEDIF('01 Major Assumptions'!$D$6,'01 Major Assumptions'!H$11,"m")+1)&gt;=$E29,$D13/12*'01 Major Assumptions'!H$14,0)</f>
        <v>0</v>
      </c>
      <c r="I56" s="90">
        <f>IF(AND((DATEDIF('01 Major Assumptions'!$D$6,'01 Major Assumptions'!I$11,"m")+1)&gt;=$C29,(DATEDIF('01 Major Assumptions'!$D$6,'01 Major Assumptions'!I$11,"m")+1)&lt;$E29),$C13/$D29*'01 Major Assumptions'!I$14,0)+IF((DATEDIF('01 Major Assumptions'!$D$6,'01 Major Assumptions'!I$11,"m")+1)&gt;=$E29,$D13/12*'01 Major Assumptions'!I$14,0)</f>
        <v>0</v>
      </c>
      <c r="J56" s="90">
        <f>IF(AND((DATEDIF('01 Major Assumptions'!$D$6,'01 Major Assumptions'!J$11,"m")+1)&gt;=$C29,(DATEDIF('01 Major Assumptions'!$D$6,'01 Major Assumptions'!J$11,"m")+1)&lt;$E29),$C13/$D29*'01 Major Assumptions'!J$14,0)+IF((DATEDIF('01 Major Assumptions'!$D$6,'01 Major Assumptions'!J$11,"m")+1)&gt;=$E29,$D13/12*'01 Major Assumptions'!J$14,0)</f>
        <v>0</v>
      </c>
      <c r="K56" s="90">
        <f>IF(AND((DATEDIF('01 Major Assumptions'!$D$6,'01 Major Assumptions'!K$11,"m")+1)&gt;=$C29,(DATEDIF('01 Major Assumptions'!$D$6,'01 Major Assumptions'!K$11,"m")+1)&lt;$E29),$C13/$D29*'01 Major Assumptions'!K$14,0)+IF((DATEDIF('01 Major Assumptions'!$D$6,'01 Major Assumptions'!K$11,"m")+1)&gt;=$E29,$D13/12*'01 Major Assumptions'!K$14,0)</f>
        <v>0</v>
      </c>
      <c r="L56" s="90">
        <f>IF(AND((DATEDIF('01 Major Assumptions'!$D$6,'01 Major Assumptions'!L$11,"m")+1)&gt;=$C29,(DATEDIF('01 Major Assumptions'!$D$6,'01 Major Assumptions'!L$11,"m")+1)&lt;$E29),$C13/$D29*'01 Major Assumptions'!L$14,0)+IF((DATEDIF('01 Major Assumptions'!$D$6,'01 Major Assumptions'!L$11,"m")+1)&gt;=$E29,$D13/12*'01 Major Assumptions'!L$14,0)</f>
        <v>0</v>
      </c>
      <c r="M56" s="90">
        <f>IF(AND((DATEDIF('01 Major Assumptions'!$D$6,'01 Major Assumptions'!M$11,"m")+1)&gt;=$C29,(DATEDIF('01 Major Assumptions'!$D$6,'01 Major Assumptions'!M$11,"m")+1)&lt;$E29),$C13/$D29*'01 Major Assumptions'!M$14,0)+IF((DATEDIF('01 Major Assumptions'!$D$6,'01 Major Assumptions'!M$11,"m")+1)&gt;=$E29,$D13/12*'01 Major Assumptions'!M$14,0)</f>
        <v>0</v>
      </c>
      <c r="N56" s="90">
        <f>IF(AND((DATEDIF('01 Major Assumptions'!$D$6,'01 Major Assumptions'!N$11,"m")+1)&gt;=$C29,(DATEDIF('01 Major Assumptions'!$D$6,'01 Major Assumptions'!N$11,"m")+1)&lt;$E29),$C13/$D29*'01 Major Assumptions'!N$14,0)+IF((DATEDIF('01 Major Assumptions'!$D$6,'01 Major Assumptions'!N$11,"m")+1)&gt;=$E29,$D13/12*'01 Major Assumptions'!N$14,0)</f>
        <v>0</v>
      </c>
      <c r="O56" s="90">
        <f>IF(AND((DATEDIF('01 Major Assumptions'!$D$6,'01 Major Assumptions'!O$11,"m")+1)&gt;=$C29,(DATEDIF('01 Major Assumptions'!$D$6,'01 Major Assumptions'!O$11,"m")+1)&lt;$E29),$C13/$D29*'01 Major Assumptions'!O$14,0)+IF((DATEDIF('01 Major Assumptions'!$D$6,'01 Major Assumptions'!O$11,"m")+1)&gt;=$E29,$D13/12*'01 Major Assumptions'!O$14,0)</f>
        <v>0</v>
      </c>
      <c r="P56" s="90">
        <f>IF(AND((DATEDIF('01 Major Assumptions'!$D$6,'01 Major Assumptions'!P$11,"m")+1)&gt;=$C29,(DATEDIF('01 Major Assumptions'!$D$6,'01 Major Assumptions'!P$11,"m")+1)&lt;$E29),$C13/$D29*'01 Major Assumptions'!P$14,0)+IF((DATEDIF('01 Major Assumptions'!$D$6,'01 Major Assumptions'!P$11,"m")+1)&gt;=$E29,$D13/12*'01 Major Assumptions'!P$14,0)</f>
        <v>0</v>
      </c>
      <c r="Q56" s="90">
        <f>IF(AND((DATEDIF('01 Major Assumptions'!$D$6,'01 Major Assumptions'!Q$11,"m")+1)&gt;=$C29,(DATEDIF('01 Major Assumptions'!$D$6,'01 Major Assumptions'!Q$11,"m")+1)&lt;$E29),$C13/$D29*'01 Major Assumptions'!Q$14,0)+IF((DATEDIF('01 Major Assumptions'!$D$6,'01 Major Assumptions'!Q$11,"m")+1)&gt;=$E29,$D13/12*'01 Major Assumptions'!Q$14,0)</f>
        <v>0</v>
      </c>
      <c r="R56" s="90">
        <f>IF(AND((DATEDIF('01 Major Assumptions'!$D$6,'01 Major Assumptions'!R$11,"m")+1)&gt;=$C29,(DATEDIF('01 Major Assumptions'!$D$6,'01 Major Assumptions'!R$11,"m")+1)&lt;$E29),$C13/$D29*'01 Major Assumptions'!R$14,0)+IF((DATEDIF('01 Major Assumptions'!$D$6,'01 Major Assumptions'!R$11,"m")+1)&gt;=$E29,$D13/12*'01 Major Assumptions'!R$14,0)</f>
        <v>0</v>
      </c>
      <c r="S56" s="90">
        <f>IF(AND((DATEDIF('01 Major Assumptions'!$D$6,'01 Major Assumptions'!S$11,"m")+1)&gt;=$C29,(DATEDIF('01 Major Assumptions'!$D$6,'01 Major Assumptions'!S$11,"m")+1)&lt;$E29),$C13/$D29*'01 Major Assumptions'!S$14,0)+IF((DATEDIF('01 Major Assumptions'!$D$6,'01 Major Assumptions'!S$11,"m")+1)&gt;=$E29,$D13/12*'01 Major Assumptions'!S$14,0)</f>
        <v>0</v>
      </c>
      <c r="T56" s="90">
        <f>IF(AND((DATEDIF('01 Major Assumptions'!$D$6,'01 Major Assumptions'!T$11,"m")+1)&gt;=$C29,(DATEDIF('01 Major Assumptions'!$D$6,'01 Major Assumptions'!T$11,"m")+1)&lt;$E29),$C13/$D29*'01 Major Assumptions'!T$14,0)+IF((DATEDIF('01 Major Assumptions'!$D$6,'01 Major Assumptions'!T$11,"m")+1)&gt;=$E29,$D13/12*'01 Major Assumptions'!T$14,0)</f>
        <v>0</v>
      </c>
      <c r="U56" s="90">
        <f>IF(AND((DATEDIF('01 Major Assumptions'!$D$6,'01 Major Assumptions'!U$11,"m")+1)&gt;=$C29,(DATEDIF('01 Major Assumptions'!$D$6,'01 Major Assumptions'!U$11,"m")+1)&lt;$E29),$C13/$D29*'01 Major Assumptions'!U$14,0)+IF((DATEDIF('01 Major Assumptions'!$D$6,'01 Major Assumptions'!U$11,"m")+1)&gt;=$E29,$D13/12*'01 Major Assumptions'!U$14,0)</f>
        <v>0</v>
      </c>
      <c r="V56" s="90">
        <f>IF(AND((DATEDIF('01 Major Assumptions'!$D$6,'01 Major Assumptions'!V$11,"m")+1)&gt;=$C29,(DATEDIF('01 Major Assumptions'!$D$6,'01 Major Assumptions'!V$11,"m")+1)&lt;$E29),$C13/$D29*'01 Major Assumptions'!V$14,0)+IF((DATEDIF('01 Major Assumptions'!$D$6,'01 Major Assumptions'!V$11,"m")+1)&gt;=$E29,$D13/12*'01 Major Assumptions'!V$14,0)</f>
        <v>105625</v>
      </c>
      <c r="W56" s="90">
        <f>IF(AND((DATEDIF('01 Major Assumptions'!$D$6,'01 Major Assumptions'!W$11,"m")+1)&gt;=$C29,(DATEDIF('01 Major Assumptions'!$D$6,'01 Major Assumptions'!W$11,"m")+1)&lt;$E29),$C13/$D29*'01 Major Assumptions'!W$14,0)+IF((DATEDIF('01 Major Assumptions'!$D$6,'01 Major Assumptions'!W$11,"m")+1)&gt;=$E29,$D13/12*'01 Major Assumptions'!W$14,0)</f>
        <v>105625</v>
      </c>
      <c r="X56" s="90">
        <f>IF(AND((DATEDIF('01 Major Assumptions'!$D$6,'01 Major Assumptions'!X$11,"m")+1)&gt;=$C29,(DATEDIF('01 Major Assumptions'!$D$6,'01 Major Assumptions'!X$11,"m")+1)&lt;$E29),$C13/$D29*'01 Major Assumptions'!X$14,0)+IF((DATEDIF('01 Major Assumptions'!$D$6,'01 Major Assumptions'!X$11,"m")+1)&gt;=$E29,$D13/12*'01 Major Assumptions'!X$14,0)</f>
        <v>105625</v>
      </c>
      <c r="Y56" s="90">
        <f>IF(AND((DATEDIF('01 Major Assumptions'!$D$6,'01 Major Assumptions'!Y$11,"m")+1)&gt;=$C29,(DATEDIF('01 Major Assumptions'!$D$6,'01 Major Assumptions'!Y$11,"m")+1)&lt;$E29),$C13/$D29*'01 Major Assumptions'!Y$14,0)+IF((DATEDIF('01 Major Assumptions'!$D$6,'01 Major Assumptions'!Y$11,"m")+1)&gt;=$E29,$D13/12*'01 Major Assumptions'!Y$14,0)</f>
        <v>105625</v>
      </c>
      <c r="Z56" s="90">
        <f>IF(AND((DATEDIF('01 Major Assumptions'!$D$6,'01 Major Assumptions'!Z$11,"m")+1)&gt;=$C29,(DATEDIF('01 Major Assumptions'!$D$6,'01 Major Assumptions'!Z$11,"m")+1)&lt;$E29),$C13/$D29*'01 Major Assumptions'!Z$14,0)+IF((DATEDIF('01 Major Assumptions'!$D$6,'01 Major Assumptions'!Z$11,"m")+1)&gt;=$E29,$D13/12*'01 Major Assumptions'!Z$14,0)</f>
        <v>25000</v>
      </c>
      <c r="AA56" s="90">
        <f>IF(AND((DATEDIF('01 Major Assumptions'!$D$6,'01 Major Assumptions'!AA$11,"m")+1)&gt;=$C29,(DATEDIF('01 Major Assumptions'!$D$6,'01 Major Assumptions'!AA$11,"m")+1)&lt;$E29),$C13/$D29*'01 Major Assumptions'!AA$14,0)+IF((DATEDIF('01 Major Assumptions'!$D$6,'01 Major Assumptions'!AA$11,"m")+1)&gt;=$E29,$D13/12*'01 Major Assumptions'!AA$14,0)</f>
        <v>25000</v>
      </c>
      <c r="AB56" s="90">
        <f>IF(AND((DATEDIF('01 Major Assumptions'!$D$6,'01 Major Assumptions'!AB$11,"m")+1)&gt;=$C29,(DATEDIF('01 Major Assumptions'!$D$6,'01 Major Assumptions'!AB$11,"m")+1)&lt;$E29),$C13/$D29*'01 Major Assumptions'!AB$14,0)+IF((DATEDIF('01 Major Assumptions'!$D$6,'01 Major Assumptions'!AB$11,"m")+1)&gt;=$E29,$D13/12*'01 Major Assumptions'!AB$14,0)</f>
        <v>25000</v>
      </c>
      <c r="AC56" s="90">
        <f>IF(AND((DATEDIF('01 Major Assumptions'!$D$6,'01 Major Assumptions'!AC$11,"m")+1)&gt;=$C29,(DATEDIF('01 Major Assumptions'!$D$6,'01 Major Assumptions'!AC$11,"m")+1)&lt;$E29),$C13/$D29*'01 Major Assumptions'!AC$14,0)+IF((DATEDIF('01 Major Assumptions'!$D$6,'01 Major Assumptions'!AC$11,"m")+1)&gt;=$E29,$D13/12*'01 Major Assumptions'!AC$14,0)</f>
        <v>25000</v>
      </c>
      <c r="AD56" s="90">
        <f>IF(AND((DATEDIF('01 Major Assumptions'!$D$6,'01 Major Assumptions'!AD$11,"m")+1)&gt;=$C29,(DATEDIF('01 Major Assumptions'!$D$6,'01 Major Assumptions'!AD$11,"m")+1)&lt;$E29),$C13/$D29*'01 Major Assumptions'!AD$14,0)+IF((DATEDIF('01 Major Assumptions'!$D$6,'01 Major Assumptions'!AD$11,"m")+1)&gt;=$E29,$D13/12*'01 Major Assumptions'!AD$14,0)</f>
        <v>25000</v>
      </c>
      <c r="AE56" s="90">
        <f>IF(AND((DATEDIF('01 Major Assumptions'!$D$6,'01 Major Assumptions'!AE$11,"m")+1)&gt;=$C29,(DATEDIF('01 Major Assumptions'!$D$6,'01 Major Assumptions'!AE$11,"m")+1)&lt;$E29),$C13/$D29*'01 Major Assumptions'!AE$14,0)+IF((DATEDIF('01 Major Assumptions'!$D$6,'01 Major Assumptions'!AE$11,"m")+1)&gt;=$E29,$D13/12*'01 Major Assumptions'!AE$14,0)</f>
        <v>25000</v>
      </c>
      <c r="AF56" s="90">
        <f>IF(AND((DATEDIF('01 Major Assumptions'!$D$6,'01 Major Assumptions'!AF$11,"m")+1)&gt;=$C29,(DATEDIF('01 Major Assumptions'!$D$6,'01 Major Assumptions'!AF$11,"m")+1)&lt;$E29),$C13/$D29*'01 Major Assumptions'!AF$14,0)+IF((DATEDIF('01 Major Assumptions'!$D$6,'01 Major Assumptions'!AF$11,"m")+1)&gt;=$E29,$D13/12*'01 Major Assumptions'!AF$14,0)</f>
        <v>25000</v>
      </c>
      <c r="AG56" s="90">
        <f>IF(AND((DATEDIF('01 Major Assumptions'!$D$6,'01 Major Assumptions'!AG$11,"m")+1)&gt;=$C29,(DATEDIF('01 Major Assumptions'!$D$6,'01 Major Assumptions'!AG$11,"m")+1)&lt;$E29),$C13/$D29*'01 Major Assumptions'!AG$14,0)+IF((DATEDIF('01 Major Assumptions'!$D$6,'01 Major Assumptions'!AG$11,"m")+1)&gt;=$E29,$D13/12*'01 Major Assumptions'!AG$14,0)</f>
        <v>25000</v>
      </c>
      <c r="AH56" s="90">
        <f>IF(AND((DATEDIF('01 Major Assumptions'!$D$6,'01 Major Assumptions'!AH$11,"m")+1)&gt;=$C29,(DATEDIF('01 Major Assumptions'!$D$6,'01 Major Assumptions'!AH$11,"m")+1)&lt;$E29),$C13/$D29*'01 Major Assumptions'!AH$14,0)+IF((DATEDIF('01 Major Assumptions'!$D$6,'01 Major Assumptions'!AH$11,"m")+1)&gt;=$E29,$D13/12*'01 Major Assumptions'!AH$14,0)</f>
        <v>25000</v>
      </c>
      <c r="AI56" s="90">
        <f>IF(AND((DATEDIF('01 Major Assumptions'!$D$6,'01 Major Assumptions'!AI$11,"m")+1)&gt;=$C29,(DATEDIF('01 Major Assumptions'!$D$6,'01 Major Assumptions'!AI$11,"m")+1)&lt;$E29),$C13/$D29*'01 Major Assumptions'!AI$14,0)+IF((DATEDIF('01 Major Assumptions'!$D$6,'01 Major Assumptions'!AI$11,"m")+1)&gt;=$E29,$D13/12*'01 Major Assumptions'!AI$14,0)</f>
        <v>25000</v>
      </c>
      <c r="AJ56" s="90">
        <f>IF(AND((DATEDIF('01 Major Assumptions'!$D$6,'01 Major Assumptions'!AJ$11,"m")+1)&gt;=$C29,(DATEDIF('01 Major Assumptions'!$D$6,'01 Major Assumptions'!AJ$11,"m")+1)&lt;$E29),$C13/$D29*'01 Major Assumptions'!AJ$14,0)+IF((DATEDIF('01 Major Assumptions'!$D$6,'01 Major Assumptions'!AJ$11,"m")+1)&gt;=$E29,$D13/12*'01 Major Assumptions'!AJ$14,0)</f>
        <v>25000</v>
      </c>
      <c r="AK56" s="90">
        <f>IF(AND((DATEDIF('01 Major Assumptions'!$D$6,'01 Major Assumptions'!AK$11,"m")+1)&gt;=$C29,(DATEDIF('01 Major Assumptions'!$D$6,'01 Major Assumptions'!AK$11,"m")+1)&lt;$E29),$C13/$D29*'01 Major Assumptions'!AK$14,0)+IF((DATEDIF('01 Major Assumptions'!$D$6,'01 Major Assumptions'!AK$11,"m")+1)&gt;=$E29,$D13/12*'01 Major Assumptions'!AK$14,0)</f>
        <v>25000</v>
      </c>
      <c r="AL56" s="90">
        <f>IF(AND((DATEDIF('01 Major Assumptions'!$D$6,'01 Major Assumptions'!AL$11,"m")+1)&gt;=$C29,(DATEDIF('01 Major Assumptions'!$D$6,'01 Major Assumptions'!AL$11,"m")+1)&lt;$E29),$C13/$D29*'01 Major Assumptions'!AL$14,0)+IF((DATEDIF('01 Major Assumptions'!$D$6,'01 Major Assumptions'!AL$11,"m")+1)&gt;=$E29,$D13/12*'01 Major Assumptions'!AL$14,0)</f>
        <v>25000</v>
      </c>
      <c r="AM56" s="90">
        <f>IF(AND((DATEDIF('01 Major Assumptions'!$D$6,'01 Major Assumptions'!AM$11,"m")+1)&gt;=$C29,(DATEDIF('01 Major Assumptions'!$D$6,'01 Major Assumptions'!AM$11,"m")+1)&lt;$E29),$C13/$D29*'01 Major Assumptions'!AM$14,0)+IF((DATEDIF('01 Major Assumptions'!$D$6,'01 Major Assumptions'!AM$11,"m")+1)&gt;=$E29,$D13/12*'01 Major Assumptions'!AM$14,0)</f>
        <v>25000</v>
      </c>
      <c r="AN56" s="90">
        <f>IF(AND((DATEDIF('01 Major Assumptions'!$D$6,'01 Major Assumptions'!AN$11,"m")+1)&gt;=$C29,(DATEDIF('01 Major Assumptions'!$D$6,'01 Major Assumptions'!AN$11,"m")+1)&lt;$E29),$C13/$D29*'01 Major Assumptions'!AN$14,0)+IF((DATEDIF('01 Major Assumptions'!$D$6,'01 Major Assumptions'!AN$11,"m")+1)&gt;=$E29,$D13/12*'01 Major Assumptions'!AN$14,0)</f>
        <v>25000</v>
      </c>
      <c r="AO56" s="90">
        <f>IF(AND((DATEDIF('01 Major Assumptions'!$D$6,'01 Major Assumptions'!AO$11,"m")+1)&gt;=$C29,(DATEDIF('01 Major Assumptions'!$D$6,'01 Major Assumptions'!AO$11,"m")+1)&lt;$E29),$C13/$D29*'01 Major Assumptions'!AO$14,0)+IF((DATEDIF('01 Major Assumptions'!$D$6,'01 Major Assumptions'!AO$11,"m")+1)&gt;=$E29,$D13/12*'01 Major Assumptions'!AO$14,0)</f>
        <v>25000</v>
      </c>
      <c r="AP56" s="90">
        <f>IF(AND((DATEDIF('01 Major Assumptions'!$D$6,'01 Major Assumptions'!AP$11,"m")+1)&gt;=$C29,(DATEDIF('01 Major Assumptions'!$D$6,'01 Major Assumptions'!AP$11,"m")+1)&lt;$E29),$C13/$D29*'01 Major Assumptions'!AP$14,0)+IF((DATEDIF('01 Major Assumptions'!$D$6,'01 Major Assumptions'!AP$11,"m")+1)&gt;=$E29,$D13/12*'01 Major Assumptions'!AP$14,0)</f>
        <v>25000</v>
      </c>
      <c r="AQ56" s="90">
        <f>IF(AND((DATEDIF('01 Major Assumptions'!$D$6,'01 Major Assumptions'!AQ$11,"m")+1)&gt;=$C29,(DATEDIF('01 Major Assumptions'!$D$6,'01 Major Assumptions'!AQ$11,"m")+1)&lt;$E29),$C13/$D29*'01 Major Assumptions'!AQ$14,0)+IF((DATEDIF('01 Major Assumptions'!$D$6,'01 Major Assumptions'!AQ$11,"m")+1)&gt;=$E29,$D13/12*'01 Major Assumptions'!AQ$14,0)</f>
        <v>25000</v>
      </c>
      <c r="AR56" s="90">
        <f>IF(AND((DATEDIF('01 Major Assumptions'!$D$6,'01 Major Assumptions'!AR$11,"m")+1)&gt;=$C29,(DATEDIF('01 Major Assumptions'!$D$6,'01 Major Assumptions'!AR$11,"m")+1)&lt;$E29),$C13/$D29*'01 Major Assumptions'!AR$14,0)+IF((DATEDIF('01 Major Assumptions'!$D$6,'01 Major Assumptions'!AR$11,"m")+1)&gt;=$E29,$D13/12*'01 Major Assumptions'!AR$14,0)</f>
        <v>25000</v>
      </c>
      <c r="AS56" s="90">
        <f>IF(AND((DATEDIF('01 Major Assumptions'!$D$6,'01 Major Assumptions'!AS$11,"m")+1)&gt;=$C29,(DATEDIF('01 Major Assumptions'!$D$6,'01 Major Assumptions'!AS$11,"m")+1)&lt;$E29),$C13/$D29*'01 Major Assumptions'!AS$14,0)+IF((DATEDIF('01 Major Assumptions'!$D$6,'01 Major Assumptions'!AS$11,"m")+1)&gt;=$E29,$D13/12*'01 Major Assumptions'!AS$14,0)</f>
        <v>25000</v>
      </c>
      <c r="AT56" s="90">
        <f>IF(AND((DATEDIF('01 Major Assumptions'!$D$6,'01 Major Assumptions'!AT$11,"m")+1)&gt;=$C29,(DATEDIF('01 Major Assumptions'!$D$6,'01 Major Assumptions'!AT$11,"m")+1)&lt;$E29),$C13/$D29*'01 Major Assumptions'!AT$14,0)+IF((DATEDIF('01 Major Assumptions'!$D$6,'01 Major Assumptions'!AT$11,"m")+1)&gt;=$E29,$D13/12*'01 Major Assumptions'!AT$14,0)</f>
        <v>25000</v>
      </c>
      <c r="AU56" s="90">
        <f>IF(AND((DATEDIF('01 Major Assumptions'!$D$6,'01 Major Assumptions'!AU$11,"m")+1)&gt;=$C29,(DATEDIF('01 Major Assumptions'!$D$6,'01 Major Assumptions'!AU$11,"m")+1)&lt;$E29),$C13/$D29*'01 Major Assumptions'!AU$14,0)+IF((DATEDIF('01 Major Assumptions'!$D$6,'01 Major Assumptions'!AU$11,"m")+1)&gt;=$E29,$D13/12*'01 Major Assumptions'!AU$14,0)</f>
        <v>25000</v>
      </c>
      <c r="AV56" s="90">
        <f>IF(AND((DATEDIF('01 Major Assumptions'!$D$6,'01 Major Assumptions'!AV$11,"m")+1)&gt;=$C29,(DATEDIF('01 Major Assumptions'!$D$6,'01 Major Assumptions'!AV$11,"m")+1)&lt;$E29),$C13/$D29*'01 Major Assumptions'!AV$14,0)+IF((DATEDIF('01 Major Assumptions'!$D$6,'01 Major Assumptions'!AV$11,"m")+1)&gt;=$E29,$D13/12*'01 Major Assumptions'!AV$14,0)</f>
        <v>25000</v>
      </c>
      <c r="AW56" s="90">
        <f>IF(AND((DATEDIF('01 Major Assumptions'!$D$6,'01 Major Assumptions'!AW$11,"m")+1)&gt;=$C29,(DATEDIF('01 Major Assumptions'!$D$6,'01 Major Assumptions'!AW$11,"m")+1)&lt;$E29),$C13/$D29*'01 Major Assumptions'!AW$14,0)+IF((DATEDIF('01 Major Assumptions'!$D$6,'01 Major Assumptions'!AW$11,"m")+1)&gt;=$E29,$D13/12*'01 Major Assumptions'!AW$14,0)</f>
        <v>25000</v>
      </c>
      <c r="AX56" s="90">
        <f>IF(AND((DATEDIF('01 Major Assumptions'!$D$6,'01 Major Assumptions'!AX$11,"m")+1)&gt;=$C29,(DATEDIF('01 Major Assumptions'!$D$6,'01 Major Assumptions'!AX$11,"m")+1)&lt;$E29),$C13/$D29*'01 Major Assumptions'!AX$14,0)+IF((DATEDIF('01 Major Assumptions'!$D$6,'01 Major Assumptions'!AX$11,"m")+1)&gt;=$E29,$D13/12*'01 Major Assumptions'!AX$14,0)</f>
        <v>25000</v>
      </c>
      <c r="AY56" s="90">
        <f>IF(AND((DATEDIF('01 Major Assumptions'!$D$6,'01 Major Assumptions'!AY$11,"m")+1)&gt;=$C29,(DATEDIF('01 Major Assumptions'!$D$6,'01 Major Assumptions'!AY$11,"m")+1)&lt;$E29),$C13/$D29*'01 Major Assumptions'!AY$14,0)+IF((DATEDIF('01 Major Assumptions'!$D$6,'01 Major Assumptions'!AY$11,"m")+1)&gt;=$E29,$D13/12*'01 Major Assumptions'!AY$14,0)</f>
        <v>25000</v>
      </c>
      <c r="AZ56" s="90">
        <f>IF(AND((DATEDIF('01 Major Assumptions'!$D$6,'01 Major Assumptions'!AZ$11,"m")+1)&gt;=$C29,(DATEDIF('01 Major Assumptions'!$D$6,'01 Major Assumptions'!AZ$11,"m")+1)&lt;$E29),$C13/$D29*'01 Major Assumptions'!AZ$14,0)+IF((DATEDIF('01 Major Assumptions'!$D$6,'01 Major Assumptions'!AZ$11,"m")+1)&gt;=$E29,$D13/12*'01 Major Assumptions'!AZ$14,0)</f>
        <v>25000</v>
      </c>
      <c r="BA56" s="90">
        <f>IF(AND((DATEDIF('01 Major Assumptions'!$D$6,'01 Major Assumptions'!BA$11,"m")+1)&gt;=$C29,(DATEDIF('01 Major Assumptions'!$D$6,'01 Major Assumptions'!BA$11,"m")+1)&lt;$E29),$C13/$D29*'01 Major Assumptions'!BA$14,0)+IF((DATEDIF('01 Major Assumptions'!$D$6,'01 Major Assumptions'!BA$11,"m")+1)&gt;=$E29,$D13/12*'01 Major Assumptions'!BA$14,0)</f>
        <v>25000</v>
      </c>
      <c r="BB56" s="90">
        <f>IF(AND((DATEDIF('01 Major Assumptions'!$D$6,'01 Major Assumptions'!BB$11,"m")+1)&gt;=$C29,(DATEDIF('01 Major Assumptions'!$D$6,'01 Major Assumptions'!BB$11,"m")+1)&lt;$E29),$C13/$D29*'01 Major Assumptions'!BB$14,0)+IF((DATEDIF('01 Major Assumptions'!$D$6,'01 Major Assumptions'!BB$11,"m")+1)&gt;=$E29,$D13/12*'01 Major Assumptions'!BB$14,0)</f>
        <v>25000</v>
      </c>
      <c r="BC56" s="90">
        <f>IF(AND((DATEDIF('01 Major Assumptions'!$D$6,'01 Major Assumptions'!BC$11,"m")+1)&gt;=$C29,(DATEDIF('01 Major Assumptions'!$D$6,'01 Major Assumptions'!BC$11,"m")+1)&lt;$E29),$C13/$D29*'01 Major Assumptions'!BC$14,0)+IF((DATEDIF('01 Major Assumptions'!$D$6,'01 Major Assumptions'!BC$11,"m")+1)&gt;=$E29,$D13/12*'01 Major Assumptions'!BC$14,0)</f>
        <v>25000</v>
      </c>
      <c r="BD56" s="90">
        <f>IF(AND((DATEDIF('01 Major Assumptions'!$D$6,'01 Major Assumptions'!BD$11,"m")+1)&gt;=$C29,(DATEDIF('01 Major Assumptions'!$D$6,'01 Major Assumptions'!BD$11,"m")+1)&lt;$E29),$C13/$D29*'01 Major Assumptions'!BD$14,0)+IF((DATEDIF('01 Major Assumptions'!$D$6,'01 Major Assumptions'!BD$11,"m")+1)&gt;=$E29,$D13/12*'01 Major Assumptions'!BD$14,0)</f>
        <v>25000</v>
      </c>
      <c r="BE56" s="90">
        <f>IF(AND((DATEDIF('01 Major Assumptions'!$D$6,'01 Major Assumptions'!BE$11,"m")+1)&gt;=$C29,(DATEDIF('01 Major Assumptions'!$D$6,'01 Major Assumptions'!BE$11,"m")+1)&lt;$E29),$C13/$D29*'01 Major Assumptions'!BE$14,0)+IF((DATEDIF('01 Major Assumptions'!$D$6,'01 Major Assumptions'!BE$11,"m")+1)&gt;=$E29,$D13/12*'01 Major Assumptions'!BE$14,0)</f>
        <v>25000</v>
      </c>
      <c r="BF56" s="90">
        <f>IF(AND((DATEDIF('01 Major Assumptions'!$D$6,'01 Major Assumptions'!BF$11,"m")+1)&gt;=$C29,(DATEDIF('01 Major Assumptions'!$D$6,'01 Major Assumptions'!BF$11,"m")+1)&lt;$E29),$C13/$D29*'01 Major Assumptions'!BF$14,0)+IF((DATEDIF('01 Major Assumptions'!$D$6,'01 Major Assumptions'!BF$11,"m")+1)&gt;=$E29,$D13/12*'01 Major Assumptions'!BF$14,0)</f>
        <v>25000</v>
      </c>
      <c r="BG56" s="90">
        <f>IF(AND((DATEDIF('01 Major Assumptions'!$D$6,'01 Major Assumptions'!BG$11,"m")+1)&gt;=$C29,(DATEDIF('01 Major Assumptions'!$D$6,'01 Major Assumptions'!BG$11,"m")+1)&lt;$E29),$C13/$D29*'01 Major Assumptions'!BG$14,0)+IF((DATEDIF('01 Major Assumptions'!$D$6,'01 Major Assumptions'!BG$11,"m")+1)&gt;=$E29,$D13/12*'01 Major Assumptions'!BG$14,0)</f>
        <v>25000</v>
      </c>
      <c r="BH56" s="90">
        <f>IF(AND((DATEDIF('01 Major Assumptions'!$D$6,'01 Major Assumptions'!BH$11,"m")+1)&gt;=$C29,(DATEDIF('01 Major Assumptions'!$D$6,'01 Major Assumptions'!BH$11,"m")+1)&lt;$E29),$C13/$D29*'01 Major Assumptions'!BH$14,0)+IF((DATEDIF('01 Major Assumptions'!$D$6,'01 Major Assumptions'!BH$11,"m")+1)&gt;=$E29,$D13/12*'01 Major Assumptions'!BH$14,0)</f>
        <v>25000</v>
      </c>
      <c r="BI56" s="90">
        <f>IF(AND((DATEDIF('01 Major Assumptions'!$D$6,'01 Major Assumptions'!BI$11,"m")+1)&gt;=$C29,(DATEDIF('01 Major Assumptions'!$D$6,'01 Major Assumptions'!BI$11,"m")+1)&lt;$E29),$C13/$D29*'01 Major Assumptions'!BI$14,0)+IF((DATEDIF('01 Major Assumptions'!$D$6,'01 Major Assumptions'!BI$11,"m")+1)&gt;=$E29,$D13/12*'01 Major Assumptions'!BI$14,0)</f>
        <v>300000</v>
      </c>
      <c r="BJ56" s="90">
        <f>IF(AND((DATEDIF('01 Major Assumptions'!$D$6,'01 Major Assumptions'!BJ$11,"m")+1)&gt;=$C29,(DATEDIF('01 Major Assumptions'!$D$6,'01 Major Assumptions'!BJ$11,"m")+1)&lt;$E29),$C13/$D29*'01 Major Assumptions'!BJ$14,0)+IF((DATEDIF('01 Major Assumptions'!$D$6,'01 Major Assumptions'!BJ$11,"m")+1)&gt;=$E29,$D13/12*'01 Major Assumptions'!BJ$14,0)</f>
        <v>300000</v>
      </c>
      <c r="BK56" s="90">
        <f>IF(AND((DATEDIF('01 Major Assumptions'!$D$6,'01 Major Assumptions'!BK$11,"m")+1)&gt;=$C29,(DATEDIF('01 Major Assumptions'!$D$6,'01 Major Assumptions'!BK$11,"m")+1)&lt;$E29),$C13/$D29*'01 Major Assumptions'!BK$14,0)+IF((DATEDIF('01 Major Assumptions'!$D$6,'01 Major Assumptions'!BK$11,"m")+1)&gt;=$E29,$D13/12*'01 Major Assumptions'!BK$14,0)</f>
        <v>300000</v>
      </c>
      <c r="BL56" s="90">
        <f>IF(AND((DATEDIF('01 Major Assumptions'!$D$6,'01 Major Assumptions'!BL$11,"m")+1)&gt;=$C29,(DATEDIF('01 Major Assumptions'!$D$6,'01 Major Assumptions'!BL$11,"m")+1)&lt;$E29),$C13/$D29*'01 Major Assumptions'!BL$14,0)+IF((DATEDIF('01 Major Assumptions'!$D$6,'01 Major Assumptions'!BL$11,"m")+1)&gt;=$E29,$D13/12*'01 Major Assumptions'!BL$14,0)</f>
        <v>300000</v>
      </c>
      <c r="BM56" s="90">
        <f>IF(AND((DATEDIF('01 Major Assumptions'!$D$6,'01 Major Assumptions'!BM$11,"m")+1)&gt;=$C29,(DATEDIF('01 Major Assumptions'!$D$6,'01 Major Assumptions'!BM$11,"m")+1)&lt;$E29),$C13/$D29*'01 Major Assumptions'!BM$14,0)+IF((DATEDIF('01 Major Assumptions'!$D$6,'01 Major Assumptions'!BM$11,"m")+1)&gt;=$E29,$D13/12*'01 Major Assumptions'!BM$14,0)</f>
        <v>300000</v>
      </c>
      <c r="BN56" s="90">
        <f>IF(AND((DATEDIF('01 Major Assumptions'!$D$6,'01 Major Assumptions'!BN$11,"m")+1)&gt;=$C29,(DATEDIF('01 Major Assumptions'!$D$6,'01 Major Assumptions'!BN$11,"m")+1)&lt;$E29),$C13/$D29*'01 Major Assumptions'!BN$14,0)+IF((DATEDIF('01 Major Assumptions'!$D$6,'01 Major Assumptions'!BN$11,"m")+1)&gt;=$E29,$D13/12*'01 Major Assumptions'!BN$14,0)</f>
        <v>300000</v>
      </c>
      <c r="BO56" s="90">
        <f>IF(AND((DATEDIF('01 Major Assumptions'!$D$6,'01 Major Assumptions'!BO$11,"m")+1)&gt;=$C29,(DATEDIF('01 Major Assumptions'!$D$6,'01 Major Assumptions'!BO$11,"m")+1)&lt;$E29),$C13/$D29*'01 Major Assumptions'!BO$14,0)+IF((DATEDIF('01 Major Assumptions'!$D$6,'01 Major Assumptions'!BO$11,"m")+1)&gt;=$E29,$D13/12*'01 Major Assumptions'!BO$14,0)</f>
        <v>300000</v>
      </c>
    </row>
    <row r="57" spans="1:67">
      <c r="A57" s="11"/>
      <c r="B57" s="32" t="str">
        <f t="shared" si="7"/>
        <v>ASTM D8178 — rCB characterisation &amp; batch specification testing</v>
      </c>
      <c r="C57" s="11"/>
      <c r="D57" s="33"/>
      <c r="E57" s="10" t="s">
        <v>13</v>
      </c>
      <c r="F57" s="10"/>
      <c r="G57" s="90">
        <f>IF(AND((DATEDIF('01 Major Assumptions'!$D$6,'01 Major Assumptions'!G$11,"m")+1)&gt;=$C30,(DATEDIF('01 Major Assumptions'!$D$6,'01 Major Assumptions'!G$11,"m")+1)&lt;$E30),$C14/$D30*'01 Major Assumptions'!G$14,0)+IF((DATEDIF('01 Major Assumptions'!$D$6,'01 Major Assumptions'!G$11,"m")+1)&gt;=$E30,$D14/12*'01 Major Assumptions'!G$14,0)</f>
        <v>0</v>
      </c>
      <c r="H57" s="90">
        <f>IF(AND((DATEDIF('01 Major Assumptions'!$D$6,'01 Major Assumptions'!H$11,"m")+1)&gt;=$C30,(DATEDIF('01 Major Assumptions'!$D$6,'01 Major Assumptions'!H$11,"m")+1)&lt;$E30),$C14/$D30*'01 Major Assumptions'!H$14,0)+IF((DATEDIF('01 Major Assumptions'!$D$6,'01 Major Assumptions'!H$11,"m")+1)&gt;=$E30,$D14/12*'01 Major Assumptions'!H$14,0)</f>
        <v>0</v>
      </c>
      <c r="I57" s="90">
        <f>IF(AND((DATEDIF('01 Major Assumptions'!$D$6,'01 Major Assumptions'!I$11,"m")+1)&gt;=$C30,(DATEDIF('01 Major Assumptions'!$D$6,'01 Major Assumptions'!I$11,"m")+1)&lt;$E30),$C14/$D30*'01 Major Assumptions'!I$14,0)+IF((DATEDIF('01 Major Assumptions'!$D$6,'01 Major Assumptions'!I$11,"m")+1)&gt;=$E30,$D14/12*'01 Major Assumptions'!I$14,0)</f>
        <v>0</v>
      </c>
      <c r="J57" s="90">
        <f>IF(AND((DATEDIF('01 Major Assumptions'!$D$6,'01 Major Assumptions'!J$11,"m")+1)&gt;=$C30,(DATEDIF('01 Major Assumptions'!$D$6,'01 Major Assumptions'!J$11,"m")+1)&lt;$E30),$C14/$D30*'01 Major Assumptions'!J$14,0)+IF((DATEDIF('01 Major Assumptions'!$D$6,'01 Major Assumptions'!J$11,"m")+1)&gt;=$E30,$D14/12*'01 Major Assumptions'!J$14,0)</f>
        <v>0</v>
      </c>
      <c r="K57" s="90">
        <f>IF(AND((DATEDIF('01 Major Assumptions'!$D$6,'01 Major Assumptions'!K$11,"m")+1)&gt;=$C30,(DATEDIF('01 Major Assumptions'!$D$6,'01 Major Assumptions'!K$11,"m")+1)&lt;$E30),$C14/$D30*'01 Major Assumptions'!K$14,0)+IF((DATEDIF('01 Major Assumptions'!$D$6,'01 Major Assumptions'!K$11,"m")+1)&gt;=$E30,$D14/12*'01 Major Assumptions'!K$14,0)</f>
        <v>0</v>
      </c>
      <c r="L57" s="90">
        <f>IF(AND((DATEDIF('01 Major Assumptions'!$D$6,'01 Major Assumptions'!L$11,"m")+1)&gt;=$C30,(DATEDIF('01 Major Assumptions'!$D$6,'01 Major Assumptions'!L$11,"m")+1)&lt;$E30),$C14/$D30*'01 Major Assumptions'!L$14,0)+IF((DATEDIF('01 Major Assumptions'!$D$6,'01 Major Assumptions'!L$11,"m")+1)&gt;=$E30,$D14/12*'01 Major Assumptions'!L$14,0)</f>
        <v>0</v>
      </c>
      <c r="M57" s="90">
        <f>IF(AND((DATEDIF('01 Major Assumptions'!$D$6,'01 Major Assumptions'!M$11,"m")+1)&gt;=$C30,(DATEDIF('01 Major Assumptions'!$D$6,'01 Major Assumptions'!M$11,"m")+1)&lt;$E30),$C14/$D30*'01 Major Assumptions'!M$14,0)+IF((DATEDIF('01 Major Assumptions'!$D$6,'01 Major Assumptions'!M$11,"m")+1)&gt;=$E30,$D14/12*'01 Major Assumptions'!M$14,0)</f>
        <v>0</v>
      </c>
      <c r="N57" s="90">
        <f>IF(AND((DATEDIF('01 Major Assumptions'!$D$6,'01 Major Assumptions'!N$11,"m")+1)&gt;=$C30,(DATEDIF('01 Major Assumptions'!$D$6,'01 Major Assumptions'!N$11,"m")+1)&lt;$E30),$C14/$D30*'01 Major Assumptions'!N$14,0)+IF((DATEDIF('01 Major Assumptions'!$D$6,'01 Major Assumptions'!N$11,"m")+1)&gt;=$E30,$D14/12*'01 Major Assumptions'!N$14,0)</f>
        <v>0</v>
      </c>
      <c r="O57" s="90">
        <f>IF(AND((DATEDIF('01 Major Assumptions'!$D$6,'01 Major Assumptions'!O$11,"m")+1)&gt;=$C30,(DATEDIF('01 Major Assumptions'!$D$6,'01 Major Assumptions'!O$11,"m")+1)&lt;$E30),$C14/$D30*'01 Major Assumptions'!O$14,0)+IF((DATEDIF('01 Major Assumptions'!$D$6,'01 Major Assumptions'!O$11,"m")+1)&gt;=$E30,$D14/12*'01 Major Assumptions'!O$14,0)</f>
        <v>0</v>
      </c>
      <c r="P57" s="90">
        <f>IF(AND((DATEDIF('01 Major Assumptions'!$D$6,'01 Major Assumptions'!P$11,"m")+1)&gt;=$C30,(DATEDIF('01 Major Assumptions'!$D$6,'01 Major Assumptions'!P$11,"m")+1)&lt;$E30),$C14/$D30*'01 Major Assumptions'!P$14,0)+IF((DATEDIF('01 Major Assumptions'!$D$6,'01 Major Assumptions'!P$11,"m")+1)&gt;=$E30,$D14/12*'01 Major Assumptions'!P$14,0)</f>
        <v>0</v>
      </c>
      <c r="Q57" s="90">
        <f>IF(AND((DATEDIF('01 Major Assumptions'!$D$6,'01 Major Assumptions'!Q$11,"m")+1)&gt;=$C30,(DATEDIF('01 Major Assumptions'!$D$6,'01 Major Assumptions'!Q$11,"m")+1)&lt;$E30),$C14/$D30*'01 Major Assumptions'!Q$14,0)+IF((DATEDIF('01 Major Assumptions'!$D$6,'01 Major Assumptions'!Q$11,"m")+1)&gt;=$E30,$D14/12*'01 Major Assumptions'!Q$14,0)</f>
        <v>0</v>
      </c>
      <c r="R57" s="90">
        <f>IF(AND((DATEDIF('01 Major Assumptions'!$D$6,'01 Major Assumptions'!R$11,"m")+1)&gt;=$C30,(DATEDIF('01 Major Assumptions'!$D$6,'01 Major Assumptions'!R$11,"m")+1)&lt;$E30),$C14/$D30*'01 Major Assumptions'!R$14,0)+IF((DATEDIF('01 Major Assumptions'!$D$6,'01 Major Assumptions'!R$11,"m")+1)&gt;=$E30,$D14/12*'01 Major Assumptions'!R$14,0)</f>
        <v>0</v>
      </c>
      <c r="S57" s="90">
        <f>IF(AND((DATEDIF('01 Major Assumptions'!$D$6,'01 Major Assumptions'!S$11,"m")+1)&gt;=$C30,(DATEDIF('01 Major Assumptions'!$D$6,'01 Major Assumptions'!S$11,"m")+1)&lt;$E30),$C14/$D30*'01 Major Assumptions'!S$14,0)+IF((DATEDIF('01 Major Assumptions'!$D$6,'01 Major Assumptions'!S$11,"m")+1)&gt;=$E30,$D14/12*'01 Major Assumptions'!S$14,0)</f>
        <v>0</v>
      </c>
      <c r="T57" s="90">
        <f>IF(AND((DATEDIF('01 Major Assumptions'!$D$6,'01 Major Assumptions'!T$11,"m")+1)&gt;=$C30,(DATEDIF('01 Major Assumptions'!$D$6,'01 Major Assumptions'!T$11,"m")+1)&lt;$E30),$C14/$D30*'01 Major Assumptions'!T$14,0)+IF((DATEDIF('01 Major Assumptions'!$D$6,'01 Major Assumptions'!T$11,"m")+1)&gt;=$E30,$D14/12*'01 Major Assumptions'!T$14,0)</f>
        <v>0</v>
      </c>
      <c r="U57" s="90">
        <f>IF(AND((DATEDIF('01 Major Assumptions'!$D$6,'01 Major Assumptions'!U$11,"m")+1)&gt;=$C30,(DATEDIF('01 Major Assumptions'!$D$6,'01 Major Assumptions'!U$11,"m")+1)&lt;$E30),$C14/$D30*'01 Major Assumptions'!U$14,0)+IF((DATEDIF('01 Major Assumptions'!$D$6,'01 Major Assumptions'!U$11,"m")+1)&gt;=$E30,$D14/12*'01 Major Assumptions'!U$14,0)</f>
        <v>0</v>
      </c>
      <c r="V57" s="90">
        <f>IF(AND((DATEDIF('01 Major Assumptions'!$D$6,'01 Major Assumptions'!V$11,"m")+1)&gt;=$C30,(DATEDIF('01 Major Assumptions'!$D$6,'01 Major Assumptions'!V$11,"m")+1)&lt;$E30),$C14/$D30*'01 Major Assumptions'!V$14,0)+IF((DATEDIF('01 Major Assumptions'!$D$6,'01 Major Assumptions'!V$11,"m")+1)&gt;=$E30,$D14/12*'01 Major Assumptions'!V$14,0)</f>
        <v>0</v>
      </c>
      <c r="W57" s="90">
        <f>IF(AND((DATEDIF('01 Major Assumptions'!$D$6,'01 Major Assumptions'!W$11,"m")+1)&gt;=$C30,(DATEDIF('01 Major Assumptions'!$D$6,'01 Major Assumptions'!W$11,"m")+1)&lt;$E30),$C14/$D30*'01 Major Assumptions'!W$14,0)+IF((DATEDIF('01 Major Assumptions'!$D$6,'01 Major Assumptions'!W$11,"m")+1)&gt;=$E30,$D14/12*'01 Major Assumptions'!W$14,0)</f>
        <v>0</v>
      </c>
      <c r="X57" s="90">
        <f>IF(AND((DATEDIF('01 Major Assumptions'!$D$6,'01 Major Assumptions'!X$11,"m")+1)&gt;=$C30,(DATEDIF('01 Major Assumptions'!$D$6,'01 Major Assumptions'!X$11,"m")+1)&lt;$E30),$C14/$D30*'01 Major Assumptions'!X$14,0)+IF((DATEDIF('01 Major Assumptions'!$D$6,'01 Major Assumptions'!X$11,"m")+1)&gt;=$E30,$D14/12*'01 Major Assumptions'!X$14,0)</f>
        <v>62500</v>
      </c>
      <c r="Y57" s="90">
        <f>IF(AND((DATEDIF('01 Major Assumptions'!$D$6,'01 Major Assumptions'!Y$11,"m")+1)&gt;=$C30,(DATEDIF('01 Major Assumptions'!$D$6,'01 Major Assumptions'!Y$11,"m")+1)&lt;$E30),$C14/$D30*'01 Major Assumptions'!Y$14,0)+IF((DATEDIF('01 Major Assumptions'!$D$6,'01 Major Assumptions'!Y$11,"m")+1)&gt;=$E30,$D14/12*'01 Major Assumptions'!Y$14,0)</f>
        <v>62500</v>
      </c>
      <c r="Z57" s="90">
        <f>IF(AND((DATEDIF('01 Major Assumptions'!$D$6,'01 Major Assumptions'!Z$11,"m")+1)&gt;=$C30,(DATEDIF('01 Major Assumptions'!$D$6,'01 Major Assumptions'!Z$11,"m")+1)&lt;$E30),$C14/$D30*'01 Major Assumptions'!Z$14,0)+IF((DATEDIF('01 Major Assumptions'!$D$6,'01 Major Assumptions'!Z$11,"m")+1)&gt;=$E30,$D14/12*'01 Major Assumptions'!Z$14,0)</f>
        <v>62500</v>
      </c>
      <c r="AA57" s="90">
        <f>IF(AND((DATEDIF('01 Major Assumptions'!$D$6,'01 Major Assumptions'!AA$11,"m")+1)&gt;=$C30,(DATEDIF('01 Major Assumptions'!$D$6,'01 Major Assumptions'!AA$11,"m")+1)&lt;$E30),$C14/$D30*'01 Major Assumptions'!AA$14,0)+IF((DATEDIF('01 Major Assumptions'!$D$6,'01 Major Assumptions'!AA$11,"m")+1)&gt;=$E30,$D14/12*'01 Major Assumptions'!AA$14,0)</f>
        <v>62500</v>
      </c>
      <c r="AB57" s="90">
        <f>IF(AND((DATEDIF('01 Major Assumptions'!$D$6,'01 Major Assumptions'!AB$11,"m")+1)&gt;=$C30,(DATEDIF('01 Major Assumptions'!$D$6,'01 Major Assumptions'!AB$11,"m")+1)&lt;$E30),$C14/$D30*'01 Major Assumptions'!AB$14,0)+IF((DATEDIF('01 Major Assumptions'!$D$6,'01 Major Assumptions'!AB$11,"m")+1)&gt;=$E30,$D14/12*'01 Major Assumptions'!AB$14,0)</f>
        <v>33333.333333333336</v>
      </c>
      <c r="AC57" s="90">
        <f>IF(AND((DATEDIF('01 Major Assumptions'!$D$6,'01 Major Assumptions'!AC$11,"m")+1)&gt;=$C30,(DATEDIF('01 Major Assumptions'!$D$6,'01 Major Assumptions'!AC$11,"m")+1)&lt;$E30),$C14/$D30*'01 Major Assumptions'!AC$14,0)+IF((DATEDIF('01 Major Assumptions'!$D$6,'01 Major Assumptions'!AC$11,"m")+1)&gt;=$E30,$D14/12*'01 Major Assumptions'!AC$14,0)</f>
        <v>33333.333333333336</v>
      </c>
      <c r="AD57" s="90">
        <f>IF(AND((DATEDIF('01 Major Assumptions'!$D$6,'01 Major Assumptions'!AD$11,"m")+1)&gt;=$C30,(DATEDIF('01 Major Assumptions'!$D$6,'01 Major Assumptions'!AD$11,"m")+1)&lt;$E30),$C14/$D30*'01 Major Assumptions'!AD$14,0)+IF((DATEDIF('01 Major Assumptions'!$D$6,'01 Major Assumptions'!AD$11,"m")+1)&gt;=$E30,$D14/12*'01 Major Assumptions'!AD$14,0)</f>
        <v>33333.333333333336</v>
      </c>
      <c r="AE57" s="90">
        <f>IF(AND((DATEDIF('01 Major Assumptions'!$D$6,'01 Major Assumptions'!AE$11,"m")+1)&gt;=$C30,(DATEDIF('01 Major Assumptions'!$D$6,'01 Major Assumptions'!AE$11,"m")+1)&lt;$E30),$C14/$D30*'01 Major Assumptions'!AE$14,0)+IF((DATEDIF('01 Major Assumptions'!$D$6,'01 Major Assumptions'!AE$11,"m")+1)&gt;=$E30,$D14/12*'01 Major Assumptions'!AE$14,0)</f>
        <v>33333.333333333336</v>
      </c>
      <c r="AF57" s="90">
        <f>IF(AND((DATEDIF('01 Major Assumptions'!$D$6,'01 Major Assumptions'!AF$11,"m")+1)&gt;=$C30,(DATEDIF('01 Major Assumptions'!$D$6,'01 Major Assumptions'!AF$11,"m")+1)&lt;$E30),$C14/$D30*'01 Major Assumptions'!AF$14,0)+IF((DATEDIF('01 Major Assumptions'!$D$6,'01 Major Assumptions'!AF$11,"m")+1)&gt;=$E30,$D14/12*'01 Major Assumptions'!AF$14,0)</f>
        <v>33333.333333333336</v>
      </c>
      <c r="AG57" s="90">
        <f>IF(AND((DATEDIF('01 Major Assumptions'!$D$6,'01 Major Assumptions'!AG$11,"m")+1)&gt;=$C30,(DATEDIF('01 Major Assumptions'!$D$6,'01 Major Assumptions'!AG$11,"m")+1)&lt;$E30),$C14/$D30*'01 Major Assumptions'!AG$14,0)+IF((DATEDIF('01 Major Assumptions'!$D$6,'01 Major Assumptions'!AG$11,"m")+1)&gt;=$E30,$D14/12*'01 Major Assumptions'!AG$14,0)</f>
        <v>33333.333333333336</v>
      </c>
      <c r="AH57" s="90">
        <f>IF(AND((DATEDIF('01 Major Assumptions'!$D$6,'01 Major Assumptions'!AH$11,"m")+1)&gt;=$C30,(DATEDIF('01 Major Assumptions'!$D$6,'01 Major Assumptions'!AH$11,"m")+1)&lt;$E30),$C14/$D30*'01 Major Assumptions'!AH$14,0)+IF((DATEDIF('01 Major Assumptions'!$D$6,'01 Major Assumptions'!AH$11,"m")+1)&gt;=$E30,$D14/12*'01 Major Assumptions'!AH$14,0)</f>
        <v>33333.333333333336</v>
      </c>
      <c r="AI57" s="90">
        <f>IF(AND((DATEDIF('01 Major Assumptions'!$D$6,'01 Major Assumptions'!AI$11,"m")+1)&gt;=$C30,(DATEDIF('01 Major Assumptions'!$D$6,'01 Major Assumptions'!AI$11,"m")+1)&lt;$E30),$C14/$D30*'01 Major Assumptions'!AI$14,0)+IF((DATEDIF('01 Major Assumptions'!$D$6,'01 Major Assumptions'!AI$11,"m")+1)&gt;=$E30,$D14/12*'01 Major Assumptions'!AI$14,0)</f>
        <v>33333.333333333336</v>
      </c>
      <c r="AJ57" s="90">
        <f>IF(AND((DATEDIF('01 Major Assumptions'!$D$6,'01 Major Assumptions'!AJ$11,"m")+1)&gt;=$C30,(DATEDIF('01 Major Assumptions'!$D$6,'01 Major Assumptions'!AJ$11,"m")+1)&lt;$E30),$C14/$D30*'01 Major Assumptions'!AJ$14,0)+IF((DATEDIF('01 Major Assumptions'!$D$6,'01 Major Assumptions'!AJ$11,"m")+1)&gt;=$E30,$D14/12*'01 Major Assumptions'!AJ$14,0)</f>
        <v>33333.333333333336</v>
      </c>
      <c r="AK57" s="90">
        <f>IF(AND((DATEDIF('01 Major Assumptions'!$D$6,'01 Major Assumptions'!AK$11,"m")+1)&gt;=$C30,(DATEDIF('01 Major Assumptions'!$D$6,'01 Major Assumptions'!AK$11,"m")+1)&lt;$E30),$C14/$D30*'01 Major Assumptions'!AK$14,0)+IF((DATEDIF('01 Major Assumptions'!$D$6,'01 Major Assumptions'!AK$11,"m")+1)&gt;=$E30,$D14/12*'01 Major Assumptions'!AK$14,0)</f>
        <v>33333.333333333336</v>
      </c>
      <c r="AL57" s="90">
        <f>IF(AND((DATEDIF('01 Major Assumptions'!$D$6,'01 Major Assumptions'!AL$11,"m")+1)&gt;=$C30,(DATEDIF('01 Major Assumptions'!$D$6,'01 Major Assumptions'!AL$11,"m")+1)&lt;$E30),$C14/$D30*'01 Major Assumptions'!AL$14,0)+IF((DATEDIF('01 Major Assumptions'!$D$6,'01 Major Assumptions'!AL$11,"m")+1)&gt;=$E30,$D14/12*'01 Major Assumptions'!AL$14,0)</f>
        <v>33333.333333333336</v>
      </c>
      <c r="AM57" s="90">
        <f>IF(AND((DATEDIF('01 Major Assumptions'!$D$6,'01 Major Assumptions'!AM$11,"m")+1)&gt;=$C30,(DATEDIF('01 Major Assumptions'!$D$6,'01 Major Assumptions'!AM$11,"m")+1)&lt;$E30),$C14/$D30*'01 Major Assumptions'!AM$14,0)+IF((DATEDIF('01 Major Assumptions'!$D$6,'01 Major Assumptions'!AM$11,"m")+1)&gt;=$E30,$D14/12*'01 Major Assumptions'!AM$14,0)</f>
        <v>33333.333333333336</v>
      </c>
      <c r="AN57" s="90">
        <f>IF(AND((DATEDIF('01 Major Assumptions'!$D$6,'01 Major Assumptions'!AN$11,"m")+1)&gt;=$C30,(DATEDIF('01 Major Assumptions'!$D$6,'01 Major Assumptions'!AN$11,"m")+1)&lt;$E30),$C14/$D30*'01 Major Assumptions'!AN$14,0)+IF((DATEDIF('01 Major Assumptions'!$D$6,'01 Major Assumptions'!AN$11,"m")+1)&gt;=$E30,$D14/12*'01 Major Assumptions'!AN$14,0)</f>
        <v>33333.333333333336</v>
      </c>
      <c r="AO57" s="90">
        <f>IF(AND((DATEDIF('01 Major Assumptions'!$D$6,'01 Major Assumptions'!AO$11,"m")+1)&gt;=$C30,(DATEDIF('01 Major Assumptions'!$D$6,'01 Major Assumptions'!AO$11,"m")+1)&lt;$E30),$C14/$D30*'01 Major Assumptions'!AO$14,0)+IF((DATEDIF('01 Major Assumptions'!$D$6,'01 Major Assumptions'!AO$11,"m")+1)&gt;=$E30,$D14/12*'01 Major Assumptions'!AO$14,0)</f>
        <v>33333.333333333336</v>
      </c>
      <c r="AP57" s="90">
        <f>IF(AND((DATEDIF('01 Major Assumptions'!$D$6,'01 Major Assumptions'!AP$11,"m")+1)&gt;=$C30,(DATEDIF('01 Major Assumptions'!$D$6,'01 Major Assumptions'!AP$11,"m")+1)&lt;$E30),$C14/$D30*'01 Major Assumptions'!AP$14,0)+IF((DATEDIF('01 Major Assumptions'!$D$6,'01 Major Assumptions'!AP$11,"m")+1)&gt;=$E30,$D14/12*'01 Major Assumptions'!AP$14,0)</f>
        <v>33333.333333333336</v>
      </c>
      <c r="AQ57" s="90">
        <f>IF(AND((DATEDIF('01 Major Assumptions'!$D$6,'01 Major Assumptions'!AQ$11,"m")+1)&gt;=$C30,(DATEDIF('01 Major Assumptions'!$D$6,'01 Major Assumptions'!AQ$11,"m")+1)&lt;$E30),$C14/$D30*'01 Major Assumptions'!AQ$14,0)+IF((DATEDIF('01 Major Assumptions'!$D$6,'01 Major Assumptions'!AQ$11,"m")+1)&gt;=$E30,$D14/12*'01 Major Assumptions'!AQ$14,0)</f>
        <v>33333.333333333336</v>
      </c>
      <c r="AR57" s="90">
        <f>IF(AND((DATEDIF('01 Major Assumptions'!$D$6,'01 Major Assumptions'!AR$11,"m")+1)&gt;=$C30,(DATEDIF('01 Major Assumptions'!$D$6,'01 Major Assumptions'!AR$11,"m")+1)&lt;$E30),$C14/$D30*'01 Major Assumptions'!AR$14,0)+IF((DATEDIF('01 Major Assumptions'!$D$6,'01 Major Assumptions'!AR$11,"m")+1)&gt;=$E30,$D14/12*'01 Major Assumptions'!AR$14,0)</f>
        <v>33333.333333333336</v>
      </c>
      <c r="AS57" s="90">
        <f>IF(AND((DATEDIF('01 Major Assumptions'!$D$6,'01 Major Assumptions'!AS$11,"m")+1)&gt;=$C30,(DATEDIF('01 Major Assumptions'!$D$6,'01 Major Assumptions'!AS$11,"m")+1)&lt;$E30),$C14/$D30*'01 Major Assumptions'!AS$14,0)+IF((DATEDIF('01 Major Assumptions'!$D$6,'01 Major Assumptions'!AS$11,"m")+1)&gt;=$E30,$D14/12*'01 Major Assumptions'!AS$14,0)</f>
        <v>33333.333333333336</v>
      </c>
      <c r="AT57" s="90">
        <f>IF(AND((DATEDIF('01 Major Assumptions'!$D$6,'01 Major Assumptions'!AT$11,"m")+1)&gt;=$C30,(DATEDIF('01 Major Assumptions'!$D$6,'01 Major Assumptions'!AT$11,"m")+1)&lt;$E30),$C14/$D30*'01 Major Assumptions'!AT$14,0)+IF((DATEDIF('01 Major Assumptions'!$D$6,'01 Major Assumptions'!AT$11,"m")+1)&gt;=$E30,$D14/12*'01 Major Assumptions'!AT$14,0)</f>
        <v>33333.333333333336</v>
      </c>
      <c r="AU57" s="90">
        <f>IF(AND((DATEDIF('01 Major Assumptions'!$D$6,'01 Major Assumptions'!AU$11,"m")+1)&gt;=$C30,(DATEDIF('01 Major Assumptions'!$D$6,'01 Major Assumptions'!AU$11,"m")+1)&lt;$E30),$C14/$D30*'01 Major Assumptions'!AU$14,0)+IF((DATEDIF('01 Major Assumptions'!$D$6,'01 Major Assumptions'!AU$11,"m")+1)&gt;=$E30,$D14/12*'01 Major Assumptions'!AU$14,0)</f>
        <v>33333.333333333336</v>
      </c>
      <c r="AV57" s="90">
        <f>IF(AND((DATEDIF('01 Major Assumptions'!$D$6,'01 Major Assumptions'!AV$11,"m")+1)&gt;=$C30,(DATEDIF('01 Major Assumptions'!$D$6,'01 Major Assumptions'!AV$11,"m")+1)&lt;$E30),$C14/$D30*'01 Major Assumptions'!AV$14,0)+IF((DATEDIF('01 Major Assumptions'!$D$6,'01 Major Assumptions'!AV$11,"m")+1)&gt;=$E30,$D14/12*'01 Major Assumptions'!AV$14,0)</f>
        <v>33333.333333333336</v>
      </c>
      <c r="AW57" s="90">
        <f>IF(AND((DATEDIF('01 Major Assumptions'!$D$6,'01 Major Assumptions'!AW$11,"m")+1)&gt;=$C30,(DATEDIF('01 Major Assumptions'!$D$6,'01 Major Assumptions'!AW$11,"m")+1)&lt;$E30),$C14/$D30*'01 Major Assumptions'!AW$14,0)+IF((DATEDIF('01 Major Assumptions'!$D$6,'01 Major Assumptions'!AW$11,"m")+1)&gt;=$E30,$D14/12*'01 Major Assumptions'!AW$14,0)</f>
        <v>33333.333333333336</v>
      </c>
      <c r="AX57" s="90">
        <f>IF(AND((DATEDIF('01 Major Assumptions'!$D$6,'01 Major Assumptions'!AX$11,"m")+1)&gt;=$C30,(DATEDIF('01 Major Assumptions'!$D$6,'01 Major Assumptions'!AX$11,"m")+1)&lt;$E30),$C14/$D30*'01 Major Assumptions'!AX$14,0)+IF((DATEDIF('01 Major Assumptions'!$D$6,'01 Major Assumptions'!AX$11,"m")+1)&gt;=$E30,$D14/12*'01 Major Assumptions'!AX$14,0)</f>
        <v>33333.333333333336</v>
      </c>
      <c r="AY57" s="90">
        <f>IF(AND((DATEDIF('01 Major Assumptions'!$D$6,'01 Major Assumptions'!AY$11,"m")+1)&gt;=$C30,(DATEDIF('01 Major Assumptions'!$D$6,'01 Major Assumptions'!AY$11,"m")+1)&lt;$E30),$C14/$D30*'01 Major Assumptions'!AY$14,0)+IF((DATEDIF('01 Major Assumptions'!$D$6,'01 Major Assumptions'!AY$11,"m")+1)&gt;=$E30,$D14/12*'01 Major Assumptions'!AY$14,0)</f>
        <v>33333.333333333336</v>
      </c>
      <c r="AZ57" s="90">
        <f>IF(AND((DATEDIF('01 Major Assumptions'!$D$6,'01 Major Assumptions'!AZ$11,"m")+1)&gt;=$C30,(DATEDIF('01 Major Assumptions'!$D$6,'01 Major Assumptions'!AZ$11,"m")+1)&lt;$E30),$C14/$D30*'01 Major Assumptions'!AZ$14,0)+IF((DATEDIF('01 Major Assumptions'!$D$6,'01 Major Assumptions'!AZ$11,"m")+1)&gt;=$E30,$D14/12*'01 Major Assumptions'!AZ$14,0)</f>
        <v>33333.333333333336</v>
      </c>
      <c r="BA57" s="90">
        <f>IF(AND((DATEDIF('01 Major Assumptions'!$D$6,'01 Major Assumptions'!BA$11,"m")+1)&gt;=$C30,(DATEDIF('01 Major Assumptions'!$D$6,'01 Major Assumptions'!BA$11,"m")+1)&lt;$E30),$C14/$D30*'01 Major Assumptions'!BA$14,0)+IF((DATEDIF('01 Major Assumptions'!$D$6,'01 Major Assumptions'!BA$11,"m")+1)&gt;=$E30,$D14/12*'01 Major Assumptions'!BA$14,0)</f>
        <v>33333.333333333336</v>
      </c>
      <c r="BB57" s="90">
        <f>IF(AND((DATEDIF('01 Major Assumptions'!$D$6,'01 Major Assumptions'!BB$11,"m")+1)&gt;=$C30,(DATEDIF('01 Major Assumptions'!$D$6,'01 Major Assumptions'!BB$11,"m")+1)&lt;$E30),$C14/$D30*'01 Major Assumptions'!BB$14,0)+IF((DATEDIF('01 Major Assumptions'!$D$6,'01 Major Assumptions'!BB$11,"m")+1)&gt;=$E30,$D14/12*'01 Major Assumptions'!BB$14,0)</f>
        <v>33333.333333333336</v>
      </c>
      <c r="BC57" s="90">
        <f>IF(AND((DATEDIF('01 Major Assumptions'!$D$6,'01 Major Assumptions'!BC$11,"m")+1)&gt;=$C30,(DATEDIF('01 Major Assumptions'!$D$6,'01 Major Assumptions'!BC$11,"m")+1)&lt;$E30),$C14/$D30*'01 Major Assumptions'!BC$14,0)+IF((DATEDIF('01 Major Assumptions'!$D$6,'01 Major Assumptions'!BC$11,"m")+1)&gt;=$E30,$D14/12*'01 Major Assumptions'!BC$14,0)</f>
        <v>33333.333333333336</v>
      </c>
      <c r="BD57" s="90">
        <f>IF(AND((DATEDIF('01 Major Assumptions'!$D$6,'01 Major Assumptions'!BD$11,"m")+1)&gt;=$C30,(DATEDIF('01 Major Assumptions'!$D$6,'01 Major Assumptions'!BD$11,"m")+1)&lt;$E30),$C14/$D30*'01 Major Assumptions'!BD$14,0)+IF((DATEDIF('01 Major Assumptions'!$D$6,'01 Major Assumptions'!BD$11,"m")+1)&gt;=$E30,$D14/12*'01 Major Assumptions'!BD$14,0)</f>
        <v>33333.333333333336</v>
      </c>
      <c r="BE57" s="90">
        <f>IF(AND((DATEDIF('01 Major Assumptions'!$D$6,'01 Major Assumptions'!BE$11,"m")+1)&gt;=$C30,(DATEDIF('01 Major Assumptions'!$D$6,'01 Major Assumptions'!BE$11,"m")+1)&lt;$E30),$C14/$D30*'01 Major Assumptions'!BE$14,0)+IF((DATEDIF('01 Major Assumptions'!$D$6,'01 Major Assumptions'!BE$11,"m")+1)&gt;=$E30,$D14/12*'01 Major Assumptions'!BE$14,0)</f>
        <v>33333.333333333336</v>
      </c>
      <c r="BF57" s="90">
        <f>IF(AND((DATEDIF('01 Major Assumptions'!$D$6,'01 Major Assumptions'!BF$11,"m")+1)&gt;=$C30,(DATEDIF('01 Major Assumptions'!$D$6,'01 Major Assumptions'!BF$11,"m")+1)&lt;$E30),$C14/$D30*'01 Major Assumptions'!BF$14,0)+IF((DATEDIF('01 Major Assumptions'!$D$6,'01 Major Assumptions'!BF$11,"m")+1)&gt;=$E30,$D14/12*'01 Major Assumptions'!BF$14,0)</f>
        <v>33333.333333333336</v>
      </c>
      <c r="BG57" s="90">
        <f>IF(AND((DATEDIF('01 Major Assumptions'!$D$6,'01 Major Assumptions'!BG$11,"m")+1)&gt;=$C30,(DATEDIF('01 Major Assumptions'!$D$6,'01 Major Assumptions'!BG$11,"m")+1)&lt;$E30),$C14/$D30*'01 Major Assumptions'!BG$14,0)+IF((DATEDIF('01 Major Assumptions'!$D$6,'01 Major Assumptions'!BG$11,"m")+1)&gt;=$E30,$D14/12*'01 Major Assumptions'!BG$14,0)</f>
        <v>33333.333333333336</v>
      </c>
      <c r="BH57" s="90">
        <f>IF(AND((DATEDIF('01 Major Assumptions'!$D$6,'01 Major Assumptions'!BH$11,"m")+1)&gt;=$C30,(DATEDIF('01 Major Assumptions'!$D$6,'01 Major Assumptions'!BH$11,"m")+1)&lt;$E30),$C14/$D30*'01 Major Assumptions'!BH$14,0)+IF((DATEDIF('01 Major Assumptions'!$D$6,'01 Major Assumptions'!BH$11,"m")+1)&gt;=$E30,$D14/12*'01 Major Assumptions'!BH$14,0)</f>
        <v>33333.333333333336</v>
      </c>
      <c r="BI57" s="90">
        <f>IF(AND((DATEDIF('01 Major Assumptions'!$D$6,'01 Major Assumptions'!BI$11,"m")+1)&gt;=$C30,(DATEDIF('01 Major Assumptions'!$D$6,'01 Major Assumptions'!BI$11,"m")+1)&lt;$E30),$C14/$D30*'01 Major Assumptions'!BI$14,0)+IF((DATEDIF('01 Major Assumptions'!$D$6,'01 Major Assumptions'!BI$11,"m")+1)&gt;=$E30,$D14/12*'01 Major Assumptions'!BI$14,0)</f>
        <v>400000</v>
      </c>
      <c r="BJ57" s="90">
        <f>IF(AND((DATEDIF('01 Major Assumptions'!$D$6,'01 Major Assumptions'!BJ$11,"m")+1)&gt;=$C30,(DATEDIF('01 Major Assumptions'!$D$6,'01 Major Assumptions'!BJ$11,"m")+1)&lt;$E30),$C14/$D30*'01 Major Assumptions'!BJ$14,0)+IF((DATEDIF('01 Major Assumptions'!$D$6,'01 Major Assumptions'!BJ$11,"m")+1)&gt;=$E30,$D14/12*'01 Major Assumptions'!BJ$14,0)</f>
        <v>400000</v>
      </c>
      <c r="BK57" s="90">
        <f>IF(AND((DATEDIF('01 Major Assumptions'!$D$6,'01 Major Assumptions'!BK$11,"m")+1)&gt;=$C30,(DATEDIF('01 Major Assumptions'!$D$6,'01 Major Assumptions'!BK$11,"m")+1)&lt;$E30),$C14/$D30*'01 Major Assumptions'!BK$14,0)+IF((DATEDIF('01 Major Assumptions'!$D$6,'01 Major Assumptions'!BK$11,"m")+1)&gt;=$E30,$D14/12*'01 Major Assumptions'!BK$14,0)</f>
        <v>400000</v>
      </c>
      <c r="BL57" s="90">
        <f>IF(AND((DATEDIF('01 Major Assumptions'!$D$6,'01 Major Assumptions'!BL$11,"m")+1)&gt;=$C30,(DATEDIF('01 Major Assumptions'!$D$6,'01 Major Assumptions'!BL$11,"m")+1)&lt;$E30),$C14/$D30*'01 Major Assumptions'!BL$14,0)+IF((DATEDIF('01 Major Assumptions'!$D$6,'01 Major Assumptions'!BL$11,"m")+1)&gt;=$E30,$D14/12*'01 Major Assumptions'!BL$14,0)</f>
        <v>400000</v>
      </c>
      <c r="BM57" s="90">
        <f>IF(AND((DATEDIF('01 Major Assumptions'!$D$6,'01 Major Assumptions'!BM$11,"m")+1)&gt;=$C30,(DATEDIF('01 Major Assumptions'!$D$6,'01 Major Assumptions'!BM$11,"m")+1)&lt;$E30),$C14/$D30*'01 Major Assumptions'!BM$14,0)+IF((DATEDIF('01 Major Assumptions'!$D$6,'01 Major Assumptions'!BM$11,"m")+1)&gt;=$E30,$D14/12*'01 Major Assumptions'!BM$14,0)</f>
        <v>400000</v>
      </c>
      <c r="BN57" s="90">
        <f>IF(AND((DATEDIF('01 Major Assumptions'!$D$6,'01 Major Assumptions'!BN$11,"m")+1)&gt;=$C30,(DATEDIF('01 Major Assumptions'!$D$6,'01 Major Assumptions'!BN$11,"m")+1)&lt;$E30),$C14/$D30*'01 Major Assumptions'!BN$14,0)+IF((DATEDIF('01 Major Assumptions'!$D$6,'01 Major Assumptions'!BN$11,"m")+1)&gt;=$E30,$D14/12*'01 Major Assumptions'!BN$14,0)</f>
        <v>400000</v>
      </c>
      <c r="BO57" s="90">
        <f>IF(AND((DATEDIF('01 Major Assumptions'!$D$6,'01 Major Assumptions'!BO$11,"m")+1)&gt;=$C30,(DATEDIF('01 Major Assumptions'!$D$6,'01 Major Assumptions'!BO$11,"m")+1)&lt;$E30),$C14/$D30*'01 Major Assumptions'!BO$14,0)+IF((DATEDIF('01 Major Assumptions'!$D$6,'01 Major Assumptions'!BO$11,"m")+1)&gt;=$E30,$D14/12*'01 Major Assumptions'!BO$14,0)</f>
        <v>400000</v>
      </c>
    </row>
    <row r="58" spans="1:67">
      <c r="A58" s="11"/>
      <c r="B58" s="32" t="str">
        <f t="shared" si="7"/>
        <v>EU REACH registration — recovered carbon black</v>
      </c>
      <c r="C58" s="11"/>
      <c r="D58" s="33"/>
      <c r="E58" s="10" t="s">
        <v>13</v>
      </c>
      <c r="F58" s="10"/>
      <c r="G58" s="90">
        <f>IF(AND((DATEDIF('01 Major Assumptions'!$D$6,'01 Major Assumptions'!G$11,"m")+1)&gt;=$C31,(DATEDIF('01 Major Assumptions'!$D$6,'01 Major Assumptions'!G$11,"m")+1)&lt;$E31),$C15/$D31*'01 Major Assumptions'!G$14,0)+IF((DATEDIF('01 Major Assumptions'!$D$6,'01 Major Assumptions'!G$11,"m")+1)&gt;=$E31,$D15/12*'01 Major Assumptions'!G$14,0)</f>
        <v>0</v>
      </c>
      <c r="H58" s="90">
        <f>IF(AND((DATEDIF('01 Major Assumptions'!$D$6,'01 Major Assumptions'!H$11,"m")+1)&gt;=$C31,(DATEDIF('01 Major Assumptions'!$D$6,'01 Major Assumptions'!H$11,"m")+1)&lt;$E31),$C15/$D31*'01 Major Assumptions'!H$14,0)+IF((DATEDIF('01 Major Assumptions'!$D$6,'01 Major Assumptions'!H$11,"m")+1)&gt;=$E31,$D15/12*'01 Major Assumptions'!H$14,0)</f>
        <v>0</v>
      </c>
      <c r="I58" s="90">
        <f>IF(AND((DATEDIF('01 Major Assumptions'!$D$6,'01 Major Assumptions'!I$11,"m")+1)&gt;=$C31,(DATEDIF('01 Major Assumptions'!$D$6,'01 Major Assumptions'!I$11,"m")+1)&lt;$E31),$C15/$D31*'01 Major Assumptions'!I$14,0)+IF((DATEDIF('01 Major Assumptions'!$D$6,'01 Major Assumptions'!I$11,"m")+1)&gt;=$E31,$D15/12*'01 Major Assumptions'!I$14,0)</f>
        <v>0</v>
      </c>
      <c r="J58" s="90">
        <f>IF(AND((DATEDIF('01 Major Assumptions'!$D$6,'01 Major Assumptions'!J$11,"m")+1)&gt;=$C31,(DATEDIF('01 Major Assumptions'!$D$6,'01 Major Assumptions'!J$11,"m")+1)&lt;$E31),$C15/$D31*'01 Major Assumptions'!J$14,0)+IF((DATEDIF('01 Major Assumptions'!$D$6,'01 Major Assumptions'!J$11,"m")+1)&gt;=$E31,$D15/12*'01 Major Assumptions'!J$14,0)</f>
        <v>0</v>
      </c>
      <c r="K58" s="90">
        <f>IF(AND((DATEDIF('01 Major Assumptions'!$D$6,'01 Major Assumptions'!K$11,"m")+1)&gt;=$C31,(DATEDIF('01 Major Assumptions'!$D$6,'01 Major Assumptions'!K$11,"m")+1)&lt;$E31),$C15/$D31*'01 Major Assumptions'!K$14,0)+IF((DATEDIF('01 Major Assumptions'!$D$6,'01 Major Assumptions'!K$11,"m")+1)&gt;=$E31,$D15/12*'01 Major Assumptions'!K$14,0)</f>
        <v>0</v>
      </c>
      <c r="L58" s="90">
        <f>IF(AND((DATEDIF('01 Major Assumptions'!$D$6,'01 Major Assumptions'!L$11,"m")+1)&gt;=$C31,(DATEDIF('01 Major Assumptions'!$D$6,'01 Major Assumptions'!L$11,"m")+1)&lt;$E31),$C15/$D31*'01 Major Assumptions'!L$14,0)+IF((DATEDIF('01 Major Assumptions'!$D$6,'01 Major Assumptions'!L$11,"m")+1)&gt;=$E31,$D15/12*'01 Major Assumptions'!L$14,0)</f>
        <v>0</v>
      </c>
      <c r="M58" s="90">
        <f>IF(AND((DATEDIF('01 Major Assumptions'!$D$6,'01 Major Assumptions'!M$11,"m")+1)&gt;=$C31,(DATEDIF('01 Major Assumptions'!$D$6,'01 Major Assumptions'!M$11,"m")+1)&lt;$E31),$C15/$D31*'01 Major Assumptions'!M$14,0)+IF((DATEDIF('01 Major Assumptions'!$D$6,'01 Major Assumptions'!M$11,"m")+1)&gt;=$E31,$D15/12*'01 Major Assumptions'!M$14,0)</f>
        <v>0</v>
      </c>
      <c r="N58" s="90">
        <f>IF(AND((DATEDIF('01 Major Assumptions'!$D$6,'01 Major Assumptions'!N$11,"m")+1)&gt;=$C31,(DATEDIF('01 Major Assumptions'!$D$6,'01 Major Assumptions'!N$11,"m")+1)&lt;$E31),$C15/$D31*'01 Major Assumptions'!N$14,0)+IF((DATEDIF('01 Major Assumptions'!$D$6,'01 Major Assumptions'!N$11,"m")+1)&gt;=$E31,$D15/12*'01 Major Assumptions'!N$14,0)</f>
        <v>0</v>
      </c>
      <c r="O58" s="90">
        <f>IF(AND((DATEDIF('01 Major Assumptions'!$D$6,'01 Major Assumptions'!O$11,"m")+1)&gt;=$C31,(DATEDIF('01 Major Assumptions'!$D$6,'01 Major Assumptions'!O$11,"m")+1)&lt;$E31),$C15/$D31*'01 Major Assumptions'!O$14,0)+IF((DATEDIF('01 Major Assumptions'!$D$6,'01 Major Assumptions'!O$11,"m")+1)&gt;=$E31,$D15/12*'01 Major Assumptions'!O$14,0)</f>
        <v>0</v>
      </c>
      <c r="P58" s="90">
        <f>IF(AND((DATEDIF('01 Major Assumptions'!$D$6,'01 Major Assumptions'!P$11,"m")+1)&gt;=$C31,(DATEDIF('01 Major Assumptions'!$D$6,'01 Major Assumptions'!P$11,"m")+1)&lt;$E31),$C15/$D31*'01 Major Assumptions'!P$14,0)+IF((DATEDIF('01 Major Assumptions'!$D$6,'01 Major Assumptions'!P$11,"m")+1)&gt;=$E31,$D15/12*'01 Major Assumptions'!P$14,0)</f>
        <v>0</v>
      </c>
      <c r="Q58" s="90">
        <f>IF(AND((DATEDIF('01 Major Assumptions'!$D$6,'01 Major Assumptions'!Q$11,"m")+1)&gt;=$C31,(DATEDIF('01 Major Assumptions'!$D$6,'01 Major Assumptions'!Q$11,"m")+1)&lt;$E31),$C15/$D31*'01 Major Assumptions'!Q$14,0)+IF((DATEDIF('01 Major Assumptions'!$D$6,'01 Major Assumptions'!Q$11,"m")+1)&gt;=$E31,$D15/12*'01 Major Assumptions'!Q$14,0)</f>
        <v>0</v>
      </c>
      <c r="R58" s="90">
        <f>IF(AND((DATEDIF('01 Major Assumptions'!$D$6,'01 Major Assumptions'!R$11,"m")+1)&gt;=$C31,(DATEDIF('01 Major Assumptions'!$D$6,'01 Major Assumptions'!R$11,"m")+1)&lt;$E31),$C15/$D31*'01 Major Assumptions'!R$14,0)+IF((DATEDIF('01 Major Assumptions'!$D$6,'01 Major Assumptions'!R$11,"m")+1)&gt;=$E31,$D15/12*'01 Major Assumptions'!R$14,0)</f>
        <v>0</v>
      </c>
      <c r="S58" s="90">
        <f>IF(AND((DATEDIF('01 Major Assumptions'!$D$6,'01 Major Assumptions'!S$11,"m")+1)&gt;=$C31,(DATEDIF('01 Major Assumptions'!$D$6,'01 Major Assumptions'!S$11,"m")+1)&lt;$E31),$C15/$D31*'01 Major Assumptions'!S$14,0)+IF((DATEDIF('01 Major Assumptions'!$D$6,'01 Major Assumptions'!S$11,"m")+1)&gt;=$E31,$D15/12*'01 Major Assumptions'!S$14,0)</f>
        <v>0</v>
      </c>
      <c r="T58" s="90">
        <f>IF(AND((DATEDIF('01 Major Assumptions'!$D$6,'01 Major Assumptions'!T$11,"m")+1)&gt;=$C31,(DATEDIF('01 Major Assumptions'!$D$6,'01 Major Assumptions'!T$11,"m")+1)&lt;$E31),$C15/$D31*'01 Major Assumptions'!T$14,0)+IF((DATEDIF('01 Major Assumptions'!$D$6,'01 Major Assumptions'!T$11,"m")+1)&gt;=$E31,$D15/12*'01 Major Assumptions'!T$14,0)</f>
        <v>291666.66666666669</v>
      </c>
      <c r="U58" s="90">
        <f>IF(AND((DATEDIF('01 Major Assumptions'!$D$6,'01 Major Assumptions'!U$11,"m")+1)&gt;=$C31,(DATEDIF('01 Major Assumptions'!$D$6,'01 Major Assumptions'!U$11,"m")+1)&lt;$E31),$C15/$D31*'01 Major Assumptions'!U$14,0)+IF((DATEDIF('01 Major Assumptions'!$D$6,'01 Major Assumptions'!U$11,"m")+1)&gt;=$E31,$D15/12*'01 Major Assumptions'!U$14,0)</f>
        <v>291666.66666666669</v>
      </c>
      <c r="V58" s="90">
        <f>IF(AND((DATEDIF('01 Major Assumptions'!$D$6,'01 Major Assumptions'!V$11,"m")+1)&gt;=$C31,(DATEDIF('01 Major Assumptions'!$D$6,'01 Major Assumptions'!V$11,"m")+1)&lt;$E31),$C15/$D31*'01 Major Assumptions'!V$14,0)+IF((DATEDIF('01 Major Assumptions'!$D$6,'01 Major Assumptions'!V$11,"m")+1)&gt;=$E31,$D15/12*'01 Major Assumptions'!V$14,0)</f>
        <v>291666.66666666669</v>
      </c>
      <c r="W58" s="90">
        <f>IF(AND((DATEDIF('01 Major Assumptions'!$D$6,'01 Major Assumptions'!W$11,"m")+1)&gt;=$C31,(DATEDIF('01 Major Assumptions'!$D$6,'01 Major Assumptions'!W$11,"m")+1)&lt;$E31),$C15/$D31*'01 Major Assumptions'!W$14,0)+IF((DATEDIF('01 Major Assumptions'!$D$6,'01 Major Assumptions'!W$11,"m")+1)&gt;=$E31,$D15/12*'01 Major Assumptions'!W$14,0)</f>
        <v>291666.66666666669</v>
      </c>
      <c r="X58" s="90">
        <f>IF(AND((DATEDIF('01 Major Assumptions'!$D$6,'01 Major Assumptions'!X$11,"m")+1)&gt;=$C31,(DATEDIF('01 Major Assumptions'!$D$6,'01 Major Assumptions'!X$11,"m")+1)&lt;$E31),$C15/$D31*'01 Major Assumptions'!X$14,0)+IF((DATEDIF('01 Major Assumptions'!$D$6,'01 Major Assumptions'!X$11,"m")+1)&gt;=$E31,$D15/12*'01 Major Assumptions'!X$14,0)</f>
        <v>291666.66666666669</v>
      </c>
      <c r="Y58" s="90">
        <f>IF(AND((DATEDIF('01 Major Assumptions'!$D$6,'01 Major Assumptions'!Y$11,"m")+1)&gt;=$C31,(DATEDIF('01 Major Assumptions'!$D$6,'01 Major Assumptions'!Y$11,"m")+1)&lt;$E31),$C15/$D31*'01 Major Assumptions'!Y$14,0)+IF((DATEDIF('01 Major Assumptions'!$D$6,'01 Major Assumptions'!Y$11,"m")+1)&gt;=$E31,$D15/12*'01 Major Assumptions'!Y$14,0)</f>
        <v>291666.66666666669</v>
      </c>
      <c r="Z58" s="90">
        <f>IF(AND((DATEDIF('01 Major Assumptions'!$D$6,'01 Major Assumptions'!Z$11,"m")+1)&gt;=$C31,(DATEDIF('01 Major Assumptions'!$D$6,'01 Major Assumptions'!Z$11,"m")+1)&lt;$E31),$C15/$D31*'01 Major Assumptions'!Z$14,0)+IF((DATEDIF('01 Major Assumptions'!$D$6,'01 Major Assumptions'!Z$11,"m")+1)&gt;=$E31,$D15/12*'01 Major Assumptions'!Z$14,0)</f>
        <v>291666.66666666669</v>
      </c>
      <c r="AA58" s="90">
        <f>IF(AND((DATEDIF('01 Major Assumptions'!$D$6,'01 Major Assumptions'!AA$11,"m")+1)&gt;=$C31,(DATEDIF('01 Major Assumptions'!$D$6,'01 Major Assumptions'!AA$11,"m")+1)&lt;$E31),$C15/$D31*'01 Major Assumptions'!AA$14,0)+IF((DATEDIF('01 Major Assumptions'!$D$6,'01 Major Assumptions'!AA$11,"m")+1)&gt;=$E31,$D15/12*'01 Major Assumptions'!AA$14,0)</f>
        <v>291666.66666666669</v>
      </c>
      <c r="AB58" s="90">
        <f>IF(AND((DATEDIF('01 Major Assumptions'!$D$6,'01 Major Assumptions'!AB$11,"m")+1)&gt;=$C31,(DATEDIF('01 Major Assumptions'!$D$6,'01 Major Assumptions'!AB$11,"m")+1)&lt;$E31),$C15/$D31*'01 Major Assumptions'!AB$14,0)+IF((DATEDIF('01 Major Assumptions'!$D$6,'01 Major Assumptions'!AB$11,"m")+1)&gt;=$E31,$D15/12*'01 Major Assumptions'!AB$14,0)</f>
        <v>291666.66666666669</v>
      </c>
      <c r="AC58" s="90">
        <f>IF(AND((DATEDIF('01 Major Assumptions'!$D$6,'01 Major Assumptions'!AC$11,"m")+1)&gt;=$C31,(DATEDIF('01 Major Assumptions'!$D$6,'01 Major Assumptions'!AC$11,"m")+1)&lt;$E31),$C15/$D31*'01 Major Assumptions'!AC$14,0)+IF((DATEDIF('01 Major Assumptions'!$D$6,'01 Major Assumptions'!AC$11,"m")+1)&gt;=$E31,$D15/12*'01 Major Assumptions'!AC$14,0)</f>
        <v>291666.66666666669</v>
      </c>
      <c r="AD58" s="90">
        <f>IF(AND((DATEDIF('01 Major Assumptions'!$D$6,'01 Major Assumptions'!AD$11,"m")+1)&gt;=$C31,(DATEDIF('01 Major Assumptions'!$D$6,'01 Major Assumptions'!AD$11,"m")+1)&lt;$E31),$C15/$D31*'01 Major Assumptions'!AD$14,0)+IF((DATEDIF('01 Major Assumptions'!$D$6,'01 Major Assumptions'!AD$11,"m")+1)&gt;=$E31,$D15/12*'01 Major Assumptions'!AD$14,0)</f>
        <v>291666.66666666669</v>
      </c>
      <c r="AE58" s="90">
        <f>IF(AND((DATEDIF('01 Major Assumptions'!$D$6,'01 Major Assumptions'!AE$11,"m")+1)&gt;=$C31,(DATEDIF('01 Major Assumptions'!$D$6,'01 Major Assumptions'!AE$11,"m")+1)&lt;$E31),$C15/$D31*'01 Major Assumptions'!AE$14,0)+IF((DATEDIF('01 Major Assumptions'!$D$6,'01 Major Assumptions'!AE$11,"m")+1)&gt;=$E31,$D15/12*'01 Major Assumptions'!AE$14,0)</f>
        <v>291666.66666666669</v>
      </c>
      <c r="AF58" s="90">
        <f>IF(AND((DATEDIF('01 Major Assumptions'!$D$6,'01 Major Assumptions'!AF$11,"m")+1)&gt;=$C31,(DATEDIF('01 Major Assumptions'!$D$6,'01 Major Assumptions'!AF$11,"m")+1)&lt;$E31),$C15/$D31*'01 Major Assumptions'!AF$14,0)+IF((DATEDIF('01 Major Assumptions'!$D$6,'01 Major Assumptions'!AF$11,"m")+1)&gt;=$E31,$D15/12*'01 Major Assumptions'!AF$14,0)</f>
        <v>20833.333333333332</v>
      </c>
      <c r="AG58" s="90">
        <f>IF(AND((DATEDIF('01 Major Assumptions'!$D$6,'01 Major Assumptions'!AG$11,"m")+1)&gt;=$C31,(DATEDIF('01 Major Assumptions'!$D$6,'01 Major Assumptions'!AG$11,"m")+1)&lt;$E31),$C15/$D31*'01 Major Assumptions'!AG$14,0)+IF((DATEDIF('01 Major Assumptions'!$D$6,'01 Major Assumptions'!AG$11,"m")+1)&gt;=$E31,$D15/12*'01 Major Assumptions'!AG$14,0)</f>
        <v>20833.333333333332</v>
      </c>
      <c r="AH58" s="90">
        <f>IF(AND((DATEDIF('01 Major Assumptions'!$D$6,'01 Major Assumptions'!AH$11,"m")+1)&gt;=$C31,(DATEDIF('01 Major Assumptions'!$D$6,'01 Major Assumptions'!AH$11,"m")+1)&lt;$E31),$C15/$D31*'01 Major Assumptions'!AH$14,0)+IF((DATEDIF('01 Major Assumptions'!$D$6,'01 Major Assumptions'!AH$11,"m")+1)&gt;=$E31,$D15/12*'01 Major Assumptions'!AH$14,0)</f>
        <v>20833.333333333332</v>
      </c>
      <c r="AI58" s="90">
        <f>IF(AND((DATEDIF('01 Major Assumptions'!$D$6,'01 Major Assumptions'!AI$11,"m")+1)&gt;=$C31,(DATEDIF('01 Major Assumptions'!$D$6,'01 Major Assumptions'!AI$11,"m")+1)&lt;$E31),$C15/$D31*'01 Major Assumptions'!AI$14,0)+IF((DATEDIF('01 Major Assumptions'!$D$6,'01 Major Assumptions'!AI$11,"m")+1)&gt;=$E31,$D15/12*'01 Major Assumptions'!AI$14,0)</f>
        <v>20833.333333333332</v>
      </c>
      <c r="AJ58" s="90">
        <f>IF(AND((DATEDIF('01 Major Assumptions'!$D$6,'01 Major Assumptions'!AJ$11,"m")+1)&gt;=$C31,(DATEDIF('01 Major Assumptions'!$D$6,'01 Major Assumptions'!AJ$11,"m")+1)&lt;$E31),$C15/$D31*'01 Major Assumptions'!AJ$14,0)+IF((DATEDIF('01 Major Assumptions'!$D$6,'01 Major Assumptions'!AJ$11,"m")+1)&gt;=$E31,$D15/12*'01 Major Assumptions'!AJ$14,0)</f>
        <v>20833.333333333332</v>
      </c>
      <c r="AK58" s="90">
        <f>IF(AND((DATEDIF('01 Major Assumptions'!$D$6,'01 Major Assumptions'!AK$11,"m")+1)&gt;=$C31,(DATEDIF('01 Major Assumptions'!$D$6,'01 Major Assumptions'!AK$11,"m")+1)&lt;$E31),$C15/$D31*'01 Major Assumptions'!AK$14,0)+IF((DATEDIF('01 Major Assumptions'!$D$6,'01 Major Assumptions'!AK$11,"m")+1)&gt;=$E31,$D15/12*'01 Major Assumptions'!AK$14,0)</f>
        <v>20833.333333333332</v>
      </c>
      <c r="AL58" s="90">
        <f>IF(AND((DATEDIF('01 Major Assumptions'!$D$6,'01 Major Assumptions'!AL$11,"m")+1)&gt;=$C31,(DATEDIF('01 Major Assumptions'!$D$6,'01 Major Assumptions'!AL$11,"m")+1)&lt;$E31),$C15/$D31*'01 Major Assumptions'!AL$14,0)+IF((DATEDIF('01 Major Assumptions'!$D$6,'01 Major Assumptions'!AL$11,"m")+1)&gt;=$E31,$D15/12*'01 Major Assumptions'!AL$14,0)</f>
        <v>20833.333333333332</v>
      </c>
      <c r="AM58" s="90">
        <f>IF(AND((DATEDIF('01 Major Assumptions'!$D$6,'01 Major Assumptions'!AM$11,"m")+1)&gt;=$C31,(DATEDIF('01 Major Assumptions'!$D$6,'01 Major Assumptions'!AM$11,"m")+1)&lt;$E31),$C15/$D31*'01 Major Assumptions'!AM$14,0)+IF((DATEDIF('01 Major Assumptions'!$D$6,'01 Major Assumptions'!AM$11,"m")+1)&gt;=$E31,$D15/12*'01 Major Assumptions'!AM$14,0)</f>
        <v>20833.333333333332</v>
      </c>
      <c r="AN58" s="90">
        <f>IF(AND((DATEDIF('01 Major Assumptions'!$D$6,'01 Major Assumptions'!AN$11,"m")+1)&gt;=$C31,(DATEDIF('01 Major Assumptions'!$D$6,'01 Major Assumptions'!AN$11,"m")+1)&lt;$E31),$C15/$D31*'01 Major Assumptions'!AN$14,0)+IF((DATEDIF('01 Major Assumptions'!$D$6,'01 Major Assumptions'!AN$11,"m")+1)&gt;=$E31,$D15/12*'01 Major Assumptions'!AN$14,0)</f>
        <v>20833.333333333332</v>
      </c>
      <c r="AO58" s="90">
        <f>IF(AND((DATEDIF('01 Major Assumptions'!$D$6,'01 Major Assumptions'!AO$11,"m")+1)&gt;=$C31,(DATEDIF('01 Major Assumptions'!$D$6,'01 Major Assumptions'!AO$11,"m")+1)&lt;$E31),$C15/$D31*'01 Major Assumptions'!AO$14,0)+IF((DATEDIF('01 Major Assumptions'!$D$6,'01 Major Assumptions'!AO$11,"m")+1)&gt;=$E31,$D15/12*'01 Major Assumptions'!AO$14,0)</f>
        <v>20833.333333333332</v>
      </c>
      <c r="AP58" s="90">
        <f>IF(AND((DATEDIF('01 Major Assumptions'!$D$6,'01 Major Assumptions'!AP$11,"m")+1)&gt;=$C31,(DATEDIF('01 Major Assumptions'!$D$6,'01 Major Assumptions'!AP$11,"m")+1)&lt;$E31),$C15/$D31*'01 Major Assumptions'!AP$14,0)+IF((DATEDIF('01 Major Assumptions'!$D$6,'01 Major Assumptions'!AP$11,"m")+1)&gt;=$E31,$D15/12*'01 Major Assumptions'!AP$14,0)</f>
        <v>20833.333333333332</v>
      </c>
      <c r="AQ58" s="90">
        <f>IF(AND((DATEDIF('01 Major Assumptions'!$D$6,'01 Major Assumptions'!AQ$11,"m")+1)&gt;=$C31,(DATEDIF('01 Major Assumptions'!$D$6,'01 Major Assumptions'!AQ$11,"m")+1)&lt;$E31),$C15/$D31*'01 Major Assumptions'!AQ$14,0)+IF((DATEDIF('01 Major Assumptions'!$D$6,'01 Major Assumptions'!AQ$11,"m")+1)&gt;=$E31,$D15/12*'01 Major Assumptions'!AQ$14,0)</f>
        <v>20833.333333333332</v>
      </c>
      <c r="AR58" s="90">
        <f>IF(AND((DATEDIF('01 Major Assumptions'!$D$6,'01 Major Assumptions'!AR$11,"m")+1)&gt;=$C31,(DATEDIF('01 Major Assumptions'!$D$6,'01 Major Assumptions'!AR$11,"m")+1)&lt;$E31),$C15/$D31*'01 Major Assumptions'!AR$14,0)+IF((DATEDIF('01 Major Assumptions'!$D$6,'01 Major Assumptions'!AR$11,"m")+1)&gt;=$E31,$D15/12*'01 Major Assumptions'!AR$14,0)</f>
        <v>20833.333333333332</v>
      </c>
      <c r="AS58" s="90">
        <f>IF(AND((DATEDIF('01 Major Assumptions'!$D$6,'01 Major Assumptions'!AS$11,"m")+1)&gt;=$C31,(DATEDIF('01 Major Assumptions'!$D$6,'01 Major Assumptions'!AS$11,"m")+1)&lt;$E31),$C15/$D31*'01 Major Assumptions'!AS$14,0)+IF((DATEDIF('01 Major Assumptions'!$D$6,'01 Major Assumptions'!AS$11,"m")+1)&gt;=$E31,$D15/12*'01 Major Assumptions'!AS$14,0)</f>
        <v>20833.333333333332</v>
      </c>
      <c r="AT58" s="90">
        <f>IF(AND((DATEDIF('01 Major Assumptions'!$D$6,'01 Major Assumptions'!AT$11,"m")+1)&gt;=$C31,(DATEDIF('01 Major Assumptions'!$D$6,'01 Major Assumptions'!AT$11,"m")+1)&lt;$E31),$C15/$D31*'01 Major Assumptions'!AT$14,0)+IF((DATEDIF('01 Major Assumptions'!$D$6,'01 Major Assumptions'!AT$11,"m")+1)&gt;=$E31,$D15/12*'01 Major Assumptions'!AT$14,0)</f>
        <v>20833.333333333332</v>
      </c>
      <c r="AU58" s="90">
        <f>IF(AND((DATEDIF('01 Major Assumptions'!$D$6,'01 Major Assumptions'!AU$11,"m")+1)&gt;=$C31,(DATEDIF('01 Major Assumptions'!$D$6,'01 Major Assumptions'!AU$11,"m")+1)&lt;$E31),$C15/$D31*'01 Major Assumptions'!AU$14,0)+IF((DATEDIF('01 Major Assumptions'!$D$6,'01 Major Assumptions'!AU$11,"m")+1)&gt;=$E31,$D15/12*'01 Major Assumptions'!AU$14,0)</f>
        <v>20833.333333333332</v>
      </c>
      <c r="AV58" s="90">
        <f>IF(AND((DATEDIF('01 Major Assumptions'!$D$6,'01 Major Assumptions'!AV$11,"m")+1)&gt;=$C31,(DATEDIF('01 Major Assumptions'!$D$6,'01 Major Assumptions'!AV$11,"m")+1)&lt;$E31),$C15/$D31*'01 Major Assumptions'!AV$14,0)+IF((DATEDIF('01 Major Assumptions'!$D$6,'01 Major Assumptions'!AV$11,"m")+1)&gt;=$E31,$D15/12*'01 Major Assumptions'!AV$14,0)</f>
        <v>20833.333333333332</v>
      </c>
      <c r="AW58" s="90">
        <f>IF(AND((DATEDIF('01 Major Assumptions'!$D$6,'01 Major Assumptions'!AW$11,"m")+1)&gt;=$C31,(DATEDIF('01 Major Assumptions'!$D$6,'01 Major Assumptions'!AW$11,"m")+1)&lt;$E31),$C15/$D31*'01 Major Assumptions'!AW$14,0)+IF((DATEDIF('01 Major Assumptions'!$D$6,'01 Major Assumptions'!AW$11,"m")+1)&gt;=$E31,$D15/12*'01 Major Assumptions'!AW$14,0)</f>
        <v>20833.333333333332</v>
      </c>
      <c r="AX58" s="90">
        <f>IF(AND((DATEDIF('01 Major Assumptions'!$D$6,'01 Major Assumptions'!AX$11,"m")+1)&gt;=$C31,(DATEDIF('01 Major Assumptions'!$D$6,'01 Major Assumptions'!AX$11,"m")+1)&lt;$E31),$C15/$D31*'01 Major Assumptions'!AX$14,0)+IF((DATEDIF('01 Major Assumptions'!$D$6,'01 Major Assumptions'!AX$11,"m")+1)&gt;=$E31,$D15/12*'01 Major Assumptions'!AX$14,0)</f>
        <v>20833.333333333332</v>
      </c>
      <c r="AY58" s="90">
        <f>IF(AND((DATEDIF('01 Major Assumptions'!$D$6,'01 Major Assumptions'!AY$11,"m")+1)&gt;=$C31,(DATEDIF('01 Major Assumptions'!$D$6,'01 Major Assumptions'!AY$11,"m")+1)&lt;$E31),$C15/$D31*'01 Major Assumptions'!AY$14,0)+IF((DATEDIF('01 Major Assumptions'!$D$6,'01 Major Assumptions'!AY$11,"m")+1)&gt;=$E31,$D15/12*'01 Major Assumptions'!AY$14,0)</f>
        <v>20833.333333333332</v>
      </c>
      <c r="AZ58" s="90">
        <f>IF(AND((DATEDIF('01 Major Assumptions'!$D$6,'01 Major Assumptions'!AZ$11,"m")+1)&gt;=$C31,(DATEDIF('01 Major Assumptions'!$D$6,'01 Major Assumptions'!AZ$11,"m")+1)&lt;$E31),$C15/$D31*'01 Major Assumptions'!AZ$14,0)+IF((DATEDIF('01 Major Assumptions'!$D$6,'01 Major Assumptions'!AZ$11,"m")+1)&gt;=$E31,$D15/12*'01 Major Assumptions'!AZ$14,0)</f>
        <v>20833.333333333332</v>
      </c>
      <c r="BA58" s="90">
        <f>IF(AND((DATEDIF('01 Major Assumptions'!$D$6,'01 Major Assumptions'!BA$11,"m")+1)&gt;=$C31,(DATEDIF('01 Major Assumptions'!$D$6,'01 Major Assumptions'!BA$11,"m")+1)&lt;$E31),$C15/$D31*'01 Major Assumptions'!BA$14,0)+IF((DATEDIF('01 Major Assumptions'!$D$6,'01 Major Assumptions'!BA$11,"m")+1)&gt;=$E31,$D15/12*'01 Major Assumptions'!BA$14,0)</f>
        <v>20833.333333333332</v>
      </c>
      <c r="BB58" s="90">
        <f>IF(AND((DATEDIF('01 Major Assumptions'!$D$6,'01 Major Assumptions'!BB$11,"m")+1)&gt;=$C31,(DATEDIF('01 Major Assumptions'!$D$6,'01 Major Assumptions'!BB$11,"m")+1)&lt;$E31),$C15/$D31*'01 Major Assumptions'!BB$14,0)+IF((DATEDIF('01 Major Assumptions'!$D$6,'01 Major Assumptions'!BB$11,"m")+1)&gt;=$E31,$D15/12*'01 Major Assumptions'!BB$14,0)</f>
        <v>20833.333333333332</v>
      </c>
      <c r="BC58" s="90">
        <f>IF(AND((DATEDIF('01 Major Assumptions'!$D$6,'01 Major Assumptions'!BC$11,"m")+1)&gt;=$C31,(DATEDIF('01 Major Assumptions'!$D$6,'01 Major Assumptions'!BC$11,"m")+1)&lt;$E31),$C15/$D31*'01 Major Assumptions'!BC$14,0)+IF((DATEDIF('01 Major Assumptions'!$D$6,'01 Major Assumptions'!BC$11,"m")+1)&gt;=$E31,$D15/12*'01 Major Assumptions'!BC$14,0)</f>
        <v>20833.333333333332</v>
      </c>
      <c r="BD58" s="90">
        <f>IF(AND((DATEDIF('01 Major Assumptions'!$D$6,'01 Major Assumptions'!BD$11,"m")+1)&gt;=$C31,(DATEDIF('01 Major Assumptions'!$D$6,'01 Major Assumptions'!BD$11,"m")+1)&lt;$E31),$C15/$D31*'01 Major Assumptions'!BD$14,0)+IF((DATEDIF('01 Major Assumptions'!$D$6,'01 Major Assumptions'!BD$11,"m")+1)&gt;=$E31,$D15/12*'01 Major Assumptions'!BD$14,0)</f>
        <v>20833.333333333332</v>
      </c>
      <c r="BE58" s="90">
        <f>IF(AND((DATEDIF('01 Major Assumptions'!$D$6,'01 Major Assumptions'!BE$11,"m")+1)&gt;=$C31,(DATEDIF('01 Major Assumptions'!$D$6,'01 Major Assumptions'!BE$11,"m")+1)&lt;$E31),$C15/$D31*'01 Major Assumptions'!BE$14,0)+IF((DATEDIF('01 Major Assumptions'!$D$6,'01 Major Assumptions'!BE$11,"m")+1)&gt;=$E31,$D15/12*'01 Major Assumptions'!BE$14,0)</f>
        <v>20833.333333333332</v>
      </c>
      <c r="BF58" s="90">
        <f>IF(AND((DATEDIF('01 Major Assumptions'!$D$6,'01 Major Assumptions'!BF$11,"m")+1)&gt;=$C31,(DATEDIF('01 Major Assumptions'!$D$6,'01 Major Assumptions'!BF$11,"m")+1)&lt;$E31),$C15/$D31*'01 Major Assumptions'!BF$14,0)+IF((DATEDIF('01 Major Assumptions'!$D$6,'01 Major Assumptions'!BF$11,"m")+1)&gt;=$E31,$D15/12*'01 Major Assumptions'!BF$14,0)</f>
        <v>20833.333333333332</v>
      </c>
      <c r="BG58" s="90">
        <f>IF(AND((DATEDIF('01 Major Assumptions'!$D$6,'01 Major Assumptions'!BG$11,"m")+1)&gt;=$C31,(DATEDIF('01 Major Assumptions'!$D$6,'01 Major Assumptions'!BG$11,"m")+1)&lt;$E31),$C15/$D31*'01 Major Assumptions'!BG$14,0)+IF((DATEDIF('01 Major Assumptions'!$D$6,'01 Major Assumptions'!BG$11,"m")+1)&gt;=$E31,$D15/12*'01 Major Assumptions'!BG$14,0)</f>
        <v>20833.333333333332</v>
      </c>
      <c r="BH58" s="90">
        <f>IF(AND((DATEDIF('01 Major Assumptions'!$D$6,'01 Major Assumptions'!BH$11,"m")+1)&gt;=$C31,(DATEDIF('01 Major Assumptions'!$D$6,'01 Major Assumptions'!BH$11,"m")+1)&lt;$E31),$C15/$D31*'01 Major Assumptions'!BH$14,0)+IF((DATEDIF('01 Major Assumptions'!$D$6,'01 Major Assumptions'!BH$11,"m")+1)&gt;=$E31,$D15/12*'01 Major Assumptions'!BH$14,0)</f>
        <v>20833.333333333332</v>
      </c>
      <c r="BI58" s="90">
        <f>IF(AND((DATEDIF('01 Major Assumptions'!$D$6,'01 Major Assumptions'!BI$11,"m")+1)&gt;=$C31,(DATEDIF('01 Major Assumptions'!$D$6,'01 Major Assumptions'!BI$11,"m")+1)&lt;$E31),$C15/$D31*'01 Major Assumptions'!BI$14,0)+IF((DATEDIF('01 Major Assumptions'!$D$6,'01 Major Assumptions'!BI$11,"m")+1)&gt;=$E31,$D15/12*'01 Major Assumptions'!BI$14,0)</f>
        <v>250000</v>
      </c>
      <c r="BJ58" s="90">
        <f>IF(AND((DATEDIF('01 Major Assumptions'!$D$6,'01 Major Assumptions'!BJ$11,"m")+1)&gt;=$C31,(DATEDIF('01 Major Assumptions'!$D$6,'01 Major Assumptions'!BJ$11,"m")+1)&lt;$E31),$C15/$D31*'01 Major Assumptions'!BJ$14,0)+IF((DATEDIF('01 Major Assumptions'!$D$6,'01 Major Assumptions'!BJ$11,"m")+1)&gt;=$E31,$D15/12*'01 Major Assumptions'!BJ$14,0)</f>
        <v>250000</v>
      </c>
      <c r="BK58" s="90">
        <f>IF(AND((DATEDIF('01 Major Assumptions'!$D$6,'01 Major Assumptions'!BK$11,"m")+1)&gt;=$C31,(DATEDIF('01 Major Assumptions'!$D$6,'01 Major Assumptions'!BK$11,"m")+1)&lt;$E31),$C15/$D31*'01 Major Assumptions'!BK$14,0)+IF((DATEDIF('01 Major Assumptions'!$D$6,'01 Major Assumptions'!BK$11,"m")+1)&gt;=$E31,$D15/12*'01 Major Assumptions'!BK$14,0)</f>
        <v>250000</v>
      </c>
      <c r="BL58" s="90">
        <f>IF(AND((DATEDIF('01 Major Assumptions'!$D$6,'01 Major Assumptions'!BL$11,"m")+1)&gt;=$C31,(DATEDIF('01 Major Assumptions'!$D$6,'01 Major Assumptions'!BL$11,"m")+1)&lt;$E31),$C15/$D31*'01 Major Assumptions'!BL$14,0)+IF((DATEDIF('01 Major Assumptions'!$D$6,'01 Major Assumptions'!BL$11,"m")+1)&gt;=$E31,$D15/12*'01 Major Assumptions'!BL$14,0)</f>
        <v>250000</v>
      </c>
      <c r="BM58" s="90">
        <f>IF(AND((DATEDIF('01 Major Assumptions'!$D$6,'01 Major Assumptions'!BM$11,"m")+1)&gt;=$C31,(DATEDIF('01 Major Assumptions'!$D$6,'01 Major Assumptions'!BM$11,"m")+1)&lt;$E31),$C15/$D31*'01 Major Assumptions'!BM$14,0)+IF((DATEDIF('01 Major Assumptions'!$D$6,'01 Major Assumptions'!BM$11,"m")+1)&gt;=$E31,$D15/12*'01 Major Assumptions'!BM$14,0)</f>
        <v>250000</v>
      </c>
      <c r="BN58" s="90">
        <f>IF(AND((DATEDIF('01 Major Assumptions'!$D$6,'01 Major Assumptions'!BN$11,"m")+1)&gt;=$C31,(DATEDIF('01 Major Assumptions'!$D$6,'01 Major Assumptions'!BN$11,"m")+1)&lt;$E31),$C15/$D31*'01 Major Assumptions'!BN$14,0)+IF((DATEDIF('01 Major Assumptions'!$D$6,'01 Major Assumptions'!BN$11,"m")+1)&gt;=$E31,$D15/12*'01 Major Assumptions'!BN$14,0)</f>
        <v>250000</v>
      </c>
      <c r="BO58" s="90">
        <f>IF(AND((DATEDIF('01 Major Assumptions'!$D$6,'01 Major Assumptions'!BO$11,"m")+1)&gt;=$C31,(DATEDIF('01 Major Assumptions'!$D$6,'01 Major Assumptions'!BO$11,"m")+1)&lt;$E31),$C15/$D31*'01 Major Assumptions'!BO$14,0)+IF((DATEDIF('01 Major Assumptions'!$D$6,'01 Major Assumptions'!BO$11,"m")+1)&gt;=$E31,$D15/12*'01 Major Assumptions'!BO$14,0)</f>
        <v>250000</v>
      </c>
    </row>
    <row r="59" spans="1:67">
      <c r="A59" s="11"/>
      <c r="B59" s="32" t="str">
        <f t="shared" si="7"/>
        <v>EU REACH registration — tyre pyrolysis oil</v>
      </c>
      <c r="C59" s="11"/>
      <c r="D59" s="33"/>
      <c r="E59" s="10" t="s">
        <v>13</v>
      </c>
      <c r="F59" s="10"/>
      <c r="G59" s="90">
        <f>IF(AND((DATEDIF('01 Major Assumptions'!$D$6,'01 Major Assumptions'!G$11,"m")+1)&gt;=$C32,(DATEDIF('01 Major Assumptions'!$D$6,'01 Major Assumptions'!G$11,"m")+1)&lt;$E32),$C16/$D32*'01 Major Assumptions'!G$14,0)+IF((DATEDIF('01 Major Assumptions'!$D$6,'01 Major Assumptions'!G$11,"m")+1)&gt;=$E32,$D16/12*'01 Major Assumptions'!G$14,0)</f>
        <v>0</v>
      </c>
      <c r="H59" s="90">
        <f>IF(AND((DATEDIF('01 Major Assumptions'!$D$6,'01 Major Assumptions'!H$11,"m")+1)&gt;=$C32,(DATEDIF('01 Major Assumptions'!$D$6,'01 Major Assumptions'!H$11,"m")+1)&lt;$E32),$C16/$D32*'01 Major Assumptions'!H$14,0)+IF((DATEDIF('01 Major Assumptions'!$D$6,'01 Major Assumptions'!H$11,"m")+1)&gt;=$E32,$D16/12*'01 Major Assumptions'!H$14,0)</f>
        <v>0</v>
      </c>
      <c r="I59" s="90">
        <f>IF(AND((DATEDIF('01 Major Assumptions'!$D$6,'01 Major Assumptions'!I$11,"m")+1)&gt;=$C32,(DATEDIF('01 Major Assumptions'!$D$6,'01 Major Assumptions'!I$11,"m")+1)&lt;$E32),$C16/$D32*'01 Major Assumptions'!I$14,0)+IF((DATEDIF('01 Major Assumptions'!$D$6,'01 Major Assumptions'!I$11,"m")+1)&gt;=$E32,$D16/12*'01 Major Assumptions'!I$14,0)</f>
        <v>0</v>
      </c>
      <c r="J59" s="90">
        <f>IF(AND((DATEDIF('01 Major Assumptions'!$D$6,'01 Major Assumptions'!J$11,"m")+1)&gt;=$C32,(DATEDIF('01 Major Assumptions'!$D$6,'01 Major Assumptions'!J$11,"m")+1)&lt;$E32),$C16/$D32*'01 Major Assumptions'!J$14,0)+IF((DATEDIF('01 Major Assumptions'!$D$6,'01 Major Assumptions'!J$11,"m")+1)&gt;=$E32,$D16/12*'01 Major Assumptions'!J$14,0)</f>
        <v>0</v>
      </c>
      <c r="K59" s="90">
        <f>IF(AND((DATEDIF('01 Major Assumptions'!$D$6,'01 Major Assumptions'!K$11,"m")+1)&gt;=$C32,(DATEDIF('01 Major Assumptions'!$D$6,'01 Major Assumptions'!K$11,"m")+1)&lt;$E32),$C16/$D32*'01 Major Assumptions'!K$14,0)+IF((DATEDIF('01 Major Assumptions'!$D$6,'01 Major Assumptions'!K$11,"m")+1)&gt;=$E32,$D16/12*'01 Major Assumptions'!K$14,0)</f>
        <v>0</v>
      </c>
      <c r="L59" s="90">
        <f>IF(AND((DATEDIF('01 Major Assumptions'!$D$6,'01 Major Assumptions'!L$11,"m")+1)&gt;=$C32,(DATEDIF('01 Major Assumptions'!$D$6,'01 Major Assumptions'!L$11,"m")+1)&lt;$E32),$C16/$D32*'01 Major Assumptions'!L$14,0)+IF((DATEDIF('01 Major Assumptions'!$D$6,'01 Major Assumptions'!L$11,"m")+1)&gt;=$E32,$D16/12*'01 Major Assumptions'!L$14,0)</f>
        <v>0</v>
      </c>
      <c r="M59" s="90">
        <f>IF(AND((DATEDIF('01 Major Assumptions'!$D$6,'01 Major Assumptions'!M$11,"m")+1)&gt;=$C32,(DATEDIF('01 Major Assumptions'!$D$6,'01 Major Assumptions'!M$11,"m")+1)&lt;$E32),$C16/$D32*'01 Major Assumptions'!M$14,0)+IF((DATEDIF('01 Major Assumptions'!$D$6,'01 Major Assumptions'!M$11,"m")+1)&gt;=$E32,$D16/12*'01 Major Assumptions'!M$14,0)</f>
        <v>0</v>
      </c>
      <c r="N59" s="90">
        <f>IF(AND((DATEDIF('01 Major Assumptions'!$D$6,'01 Major Assumptions'!N$11,"m")+1)&gt;=$C32,(DATEDIF('01 Major Assumptions'!$D$6,'01 Major Assumptions'!N$11,"m")+1)&lt;$E32),$C16/$D32*'01 Major Assumptions'!N$14,0)+IF((DATEDIF('01 Major Assumptions'!$D$6,'01 Major Assumptions'!N$11,"m")+1)&gt;=$E32,$D16/12*'01 Major Assumptions'!N$14,0)</f>
        <v>0</v>
      </c>
      <c r="O59" s="90">
        <f>IF(AND((DATEDIF('01 Major Assumptions'!$D$6,'01 Major Assumptions'!O$11,"m")+1)&gt;=$C32,(DATEDIF('01 Major Assumptions'!$D$6,'01 Major Assumptions'!O$11,"m")+1)&lt;$E32),$C16/$D32*'01 Major Assumptions'!O$14,0)+IF((DATEDIF('01 Major Assumptions'!$D$6,'01 Major Assumptions'!O$11,"m")+1)&gt;=$E32,$D16/12*'01 Major Assumptions'!O$14,0)</f>
        <v>0</v>
      </c>
      <c r="P59" s="90">
        <f>IF(AND((DATEDIF('01 Major Assumptions'!$D$6,'01 Major Assumptions'!P$11,"m")+1)&gt;=$C32,(DATEDIF('01 Major Assumptions'!$D$6,'01 Major Assumptions'!P$11,"m")+1)&lt;$E32),$C16/$D32*'01 Major Assumptions'!P$14,0)+IF((DATEDIF('01 Major Assumptions'!$D$6,'01 Major Assumptions'!P$11,"m")+1)&gt;=$E32,$D16/12*'01 Major Assumptions'!P$14,0)</f>
        <v>0</v>
      </c>
      <c r="Q59" s="90">
        <f>IF(AND((DATEDIF('01 Major Assumptions'!$D$6,'01 Major Assumptions'!Q$11,"m")+1)&gt;=$C32,(DATEDIF('01 Major Assumptions'!$D$6,'01 Major Assumptions'!Q$11,"m")+1)&lt;$E32),$C16/$D32*'01 Major Assumptions'!Q$14,0)+IF((DATEDIF('01 Major Assumptions'!$D$6,'01 Major Assumptions'!Q$11,"m")+1)&gt;=$E32,$D16/12*'01 Major Assumptions'!Q$14,0)</f>
        <v>0</v>
      </c>
      <c r="R59" s="90">
        <f>IF(AND((DATEDIF('01 Major Assumptions'!$D$6,'01 Major Assumptions'!R$11,"m")+1)&gt;=$C32,(DATEDIF('01 Major Assumptions'!$D$6,'01 Major Assumptions'!R$11,"m")+1)&lt;$E32),$C16/$D32*'01 Major Assumptions'!R$14,0)+IF((DATEDIF('01 Major Assumptions'!$D$6,'01 Major Assumptions'!R$11,"m")+1)&gt;=$E32,$D16/12*'01 Major Assumptions'!R$14,0)</f>
        <v>0</v>
      </c>
      <c r="S59" s="90">
        <f>IF(AND((DATEDIF('01 Major Assumptions'!$D$6,'01 Major Assumptions'!S$11,"m")+1)&gt;=$C32,(DATEDIF('01 Major Assumptions'!$D$6,'01 Major Assumptions'!S$11,"m")+1)&lt;$E32),$C16/$D32*'01 Major Assumptions'!S$14,0)+IF((DATEDIF('01 Major Assumptions'!$D$6,'01 Major Assumptions'!S$11,"m")+1)&gt;=$E32,$D16/12*'01 Major Assumptions'!S$14,0)</f>
        <v>0</v>
      </c>
      <c r="T59" s="90">
        <f>IF(AND((DATEDIF('01 Major Assumptions'!$D$6,'01 Major Assumptions'!T$11,"m")+1)&gt;=$C32,(DATEDIF('01 Major Assumptions'!$D$6,'01 Major Assumptions'!T$11,"m")+1)&lt;$E32),$C16/$D32*'01 Major Assumptions'!T$14,0)+IF((DATEDIF('01 Major Assumptions'!$D$6,'01 Major Assumptions'!T$11,"m")+1)&gt;=$E32,$D16/12*'01 Major Assumptions'!T$14,0)</f>
        <v>291666.66666666669</v>
      </c>
      <c r="U59" s="90">
        <f>IF(AND((DATEDIF('01 Major Assumptions'!$D$6,'01 Major Assumptions'!U$11,"m")+1)&gt;=$C32,(DATEDIF('01 Major Assumptions'!$D$6,'01 Major Assumptions'!U$11,"m")+1)&lt;$E32),$C16/$D32*'01 Major Assumptions'!U$14,0)+IF((DATEDIF('01 Major Assumptions'!$D$6,'01 Major Assumptions'!U$11,"m")+1)&gt;=$E32,$D16/12*'01 Major Assumptions'!U$14,0)</f>
        <v>291666.66666666669</v>
      </c>
      <c r="V59" s="90">
        <f>IF(AND((DATEDIF('01 Major Assumptions'!$D$6,'01 Major Assumptions'!V$11,"m")+1)&gt;=$C32,(DATEDIF('01 Major Assumptions'!$D$6,'01 Major Assumptions'!V$11,"m")+1)&lt;$E32),$C16/$D32*'01 Major Assumptions'!V$14,0)+IF((DATEDIF('01 Major Assumptions'!$D$6,'01 Major Assumptions'!V$11,"m")+1)&gt;=$E32,$D16/12*'01 Major Assumptions'!V$14,0)</f>
        <v>291666.66666666669</v>
      </c>
      <c r="W59" s="90">
        <f>IF(AND((DATEDIF('01 Major Assumptions'!$D$6,'01 Major Assumptions'!W$11,"m")+1)&gt;=$C32,(DATEDIF('01 Major Assumptions'!$D$6,'01 Major Assumptions'!W$11,"m")+1)&lt;$E32),$C16/$D32*'01 Major Assumptions'!W$14,0)+IF((DATEDIF('01 Major Assumptions'!$D$6,'01 Major Assumptions'!W$11,"m")+1)&gt;=$E32,$D16/12*'01 Major Assumptions'!W$14,0)</f>
        <v>291666.66666666669</v>
      </c>
      <c r="X59" s="90">
        <f>IF(AND((DATEDIF('01 Major Assumptions'!$D$6,'01 Major Assumptions'!X$11,"m")+1)&gt;=$C32,(DATEDIF('01 Major Assumptions'!$D$6,'01 Major Assumptions'!X$11,"m")+1)&lt;$E32),$C16/$D32*'01 Major Assumptions'!X$14,0)+IF((DATEDIF('01 Major Assumptions'!$D$6,'01 Major Assumptions'!X$11,"m")+1)&gt;=$E32,$D16/12*'01 Major Assumptions'!X$14,0)</f>
        <v>291666.66666666669</v>
      </c>
      <c r="Y59" s="90">
        <f>IF(AND((DATEDIF('01 Major Assumptions'!$D$6,'01 Major Assumptions'!Y$11,"m")+1)&gt;=$C32,(DATEDIF('01 Major Assumptions'!$D$6,'01 Major Assumptions'!Y$11,"m")+1)&lt;$E32),$C16/$D32*'01 Major Assumptions'!Y$14,0)+IF((DATEDIF('01 Major Assumptions'!$D$6,'01 Major Assumptions'!Y$11,"m")+1)&gt;=$E32,$D16/12*'01 Major Assumptions'!Y$14,0)</f>
        <v>291666.66666666669</v>
      </c>
      <c r="Z59" s="90">
        <f>IF(AND((DATEDIF('01 Major Assumptions'!$D$6,'01 Major Assumptions'!Z$11,"m")+1)&gt;=$C32,(DATEDIF('01 Major Assumptions'!$D$6,'01 Major Assumptions'!Z$11,"m")+1)&lt;$E32),$C16/$D32*'01 Major Assumptions'!Z$14,0)+IF((DATEDIF('01 Major Assumptions'!$D$6,'01 Major Assumptions'!Z$11,"m")+1)&gt;=$E32,$D16/12*'01 Major Assumptions'!Z$14,0)</f>
        <v>291666.66666666669</v>
      </c>
      <c r="AA59" s="90">
        <f>IF(AND((DATEDIF('01 Major Assumptions'!$D$6,'01 Major Assumptions'!AA$11,"m")+1)&gt;=$C32,(DATEDIF('01 Major Assumptions'!$D$6,'01 Major Assumptions'!AA$11,"m")+1)&lt;$E32),$C16/$D32*'01 Major Assumptions'!AA$14,0)+IF((DATEDIF('01 Major Assumptions'!$D$6,'01 Major Assumptions'!AA$11,"m")+1)&gt;=$E32,$D16/12*'01 Major Assumptions'!AA$14,0)</f>
        <v>291666.66666666669</v>
      </c>
      <c r="AB59" s="90">
        <f>IF(AND((DATEDIF('01 Major Assumptions'!$D$6,'01 Major Assumptions'!AB$11,"m")+1)&gt;=$C32,(DATEDIF('01 Major Assumptions'!$D$6,'01 Major Assumptions'!AB$11,"m")+1)&lt;$E32),$C16/$D32*'01 Major Assumptions'!AB$14,0)+IF((DATEDIF('01 Major Assumptions'!$D$6,'01 Major Assumptions'!AB$11,"m")+1)&gt;=$E32,$D16/12*'01 Major Assumptions'!AB$14,0)</f>
        <v>291666.66666666669</v>
      </c>
      <c r="AC59" s="90">
        <f>IF(AND((DATEDIF('01 Major Assumptions'!$D$6,'01 Major Assumptions'!AC$11,"m")+1)&gt;=$C32,(DATEDIF('01 Major Assumptions'!$D$6,'01 Major Assumptions'!AC$11,"m")+1)&lt;$E32),$C16/$D32*'01 Major Assumptions'!AC$14,0)+IF((DATEDIF('01 Major Assumptions'!$D$6,'01 Major Assumptions'!AC$11,"m")+1)&gt;=$E32,$D16/12*'01 Major Assumptions'!AC$14,0)</f>
        <v>291666.66666666669</v>
      </c>
      <c r="AD59" s="90">
        <f>IF(AND((DATEDIF('01 Major Assumptions'!$D$6,'01 Major Assumptions'!AD$11,"m")+1)&gt;=$C32,(DATEDIF('01 Major Assumptions'!$D$6,'01 Major Assumptions'!AD$11,"m")+1)&lt;$E32),$C16/$D32*'01 Major Assumptions'!AD$14,0)+IF((DATEDIF('01 Major Assumptions'!$D$6,'01 Major Assumptions'!AD$11,"m")+1)&gt;=$E32,$D16/12*'01 Major Assumptions'!AD$14,0)</f>
        <v>291666.66666666669</v>
      </c>
      <c r="AE59" s="90">
        <f>IF(AND((DATEDIF('01 Major Assumptions'!$D$6,'01 Major Assumptions'!AE$11,"m")+1)&gt;=$C32,(DATEDIF('01 Major Assumptions'!$D$6,'01 Major Assumptions'!AE$11,"m")+1)&lt;$E32),$C16/$D32*'01 Major Assumptions'!AE$14,0)+IF((DATEDIF('01 Major Assumptions'!$D$6,'01 Major Assumptions'!AE$11,"m")+1)&gt;=$E32,$D16/12*'01 Major Assumptions'!AE$14,0)</f>
        <v>291666.66666666669</v>
      </c>
      <c r="AF59" s="90">
        <f>IF(AND((DATEDIF('01 Major Assumptions'!$D$6,'01 Major Assumptions'!AF$11,"m")+1)&gt;=$C32,(DATEDIF('01 Major Assumptions'!$D$6,'01 Major Assumptions'!AF$11,"m")+1)&lt;$E32),$C16/$D32*'01 Major Assumptions'!AF$14,0)+IF((DATEDIF('01 Major Assumptions'!$D$6,'01 Major Assumptions'!AF$11,"m")+1)&gt;=$E32,$D16/12*'01 Major Assumptions'!AF$14,0)</f>
        <v>20833.333333333332</v>
      </c>
      <c r="AG59" s="90">
        <f>IF(AND((DATEDIF('01 Major Assumptions'!$D$6,'01 Major Assumptions'!AG$11,"m")+1)&gt;=$C32,(DATEDIF('01 Major Assumptions'!$D$6,'01 Major Assumptions'!AG$11,"m")+1)&lt;$E32),$C16/$D32*'01 Major Assumptions'!AG$14,0)+IF((DATEDIF('01 Major Assumptions'!$D$6,'01 Major Assumptions'!AG$11,"m")+1)&gt;=$E32,$D16/12*'01 Major Assumptions'!AG$14,0)</f>
        <v>20833.333333333332</v>
      </c>
      <c r="AH59" s="90">
        <f>IF(AND((DATEDIF('01 Major Assumptions'!$D$6,'01 Major Assumptions'!AH$11,"m")+1)&gt;=$C32,(DATEDIF('01 Major Assumptions'!$D$6,'01 Major Assumptions'!AH$11,"m")+1)&lt;$E32),$C16/$D32*'01 Major Assumptions'!AH$14,0)+IF((DATEDIF('01 Major Assumptions'!$D$6,'01 Major Assumptions'!AH$11,"m")+1)&gt;=$E32,$D16/12*'01 Major Assumptions'!AH$14,0)</f>
        <v>20833.333333333332</v>
      </c>
      <c r="AI59" s="90">
        <f>IF(AND((DATEDIF('01 Major Assumptions'!$D$6,'01 Major Assumptions'!AI$11,"m")+1)&gt;=$C32,(DATEDIF('01 Major Assumptions'!$D$6,'01 Major Assumptions'!AI$11,"m")+1)&lt;$E32),$C16/$D32*'01 Major Assumptions'!AI$14,0)+IF((DATEDIF('01 Major Assumptions'!$D$6,'01 Major Assumptions'!AI$11,"m")+1)&gt;=$E32,$D16/12*'01 Major Assumptions'!AI$14,0)</f>
        <v>20833.333333333332</v>
      </c>
      <c r="AJ59" s="90">
        <f>IF(AND((DATEDIF('01 Major Assumptions'!$D$6,'01 Major Assumptions'!AJ$11,"m")+1)&gt;=$C32,(DATEDIF('01 Major Assumptions'!$D$6,'01 Major Assumptions'!AJ$11,"m")+1)&lt;$E32),$C16/$D32*'01 Major Assumptions'!AJ$14,0)+IF((DATEDIF('01 Major Assumptions'!$D$6,'01 Major Assumptions'!AJ$11,"m")+1)&gt;=$E32,$D16/12*'01 Major Assumptions'!AJ$14,0)</f>
        <v>20833.333333333332</v>
      </c>
      <c r="AK59" s="90">
        <f>IF(AND((DATEDIF('01 Major Assumptions'!$D$6,'01 Major Assumptions'!AK$11,"m")+1)&gt;=$C32,(DATEDIF('01 Major Assumptions'!$D$6,'01 Major Assumptions'!AK$11,"m")+1)&lt;$E32),$C16/$D32*'01 Major Assumptions'!AK$14,0)+IF((DATEDIF('01 Major Assumptions'!$D$6,'01 Major Assumptions'!AK$11,"m")+1)&gt;=$E32,$D16/12*'01 Major Assumptions'!AK$14,0)</f>
        <v>20833.333333333332</v>
      </c>
      <c r="AL59" s="90">
        <f>IF(AND((DATEDIF('01 Major Assumptions'!$D$6,'01 Major Assumptions'!AL$11,"m")+1)&gt;=$C32,(DATEDIF('01 Major Assumptions'!$D$6,'01 Major Assumptions'!AL$11,"m")+1)&lt;$E32),$C16/$D32*'01 Major Assumptions'!AL$14,0)+IF((DATEDIF('01 Major Assumptions'!$D$6,'01 Major Assumptions'!AL$11,"m")+1)&gt;=$E32,$D16/12*'01 Major Assumptions'!AL$14,0)</f>
        <v>20833.333333333332</v>
      </c>
      <c r="AM59" s="90">
        <f>IF(AND((DATEDIF('01 Major Assumptions'!$D$6,'01 Major Assumptions'!AM$11,"m")+1)&gt;=$C32,(DATEDIF('01 Major Assumptions'!$D$6,'01 Major Assumptions'!AM$11,"m")+1)&lt;$E32),$C16/$D32*'01 Major Assumptions'!AM$14,0)+IF((DATEDIF('01 Major Assumptions'!$D$6,'01 Major Assumptions'!AM$11,"m")+1)&gt;=$E32,$D16/12*'01 Major Assumptions'!AM$14,0)</f>
        <v>20833.333333333332</v>
      </c>
      <c r="AN59" s="90">
        <f>IF(AND((DATEDIF('01 Major Assumptions'!$D$6,'01 Major Assumptions'!AN$11,"m")+1)&gt;=$C32,(DATEDIF('01 Major Assumptions'!$D$6,'01 Major Assumptions'!AN$11,"m")+1)&lt;$E32),$C16/$D32*'01 Major Assumptions'!AN$14,0)+IF((DATEDIF('01 Major Assumptions'!$D$6,'01 Major Assumptions'!AN$11,"m")+1)&gt;=$E32,$D16/12*'01 Major Assumptions'!AN$14,0)</f>
        <v>20833.333333333332</v>
      </c>
      <c r="AO59" s="90">
        <f>IF(AND((DATEDIF('01 Major Assumptions'!$D$6,'01 Major Assumptions'!AO$11,"m")+1)&gt;=$C32,(DATEDIF('01 Major Assumptions'!$D$6,'01 Major Assumptions'!AO$11,"m")+1)&lt;$E32),$C16/$D32*'01 Major Assumptions'!AO$14,0)+IF((DATEDIF('01 Major Assumptions'!$D$6,'01 Major Assumptions'!AO$11,"m")+1)&gt;=$E32,$D16/12*'01 Major Assumptions'!AO$14,0)</f>
        <v>20833.333333333332</v>
      </c>
      <c r="AP59" s="90">
        <f>IF(AND((DATEDIF('01 Major Assumptions'!$D$6,'01 Major Assumptions'!AP$11,"m")+1)&gt;=$C32,(DATEDIF('01 Major Assumptions'!$D$6,'01 Major Assumptions'!AP$11,"m")+1)&lt;$E32),$C16/$D32*'01 Major Assumptions'!AP$14,0)+IF((DATEDIF('01 Major Assumptions'!$D$6,'01 Major Assumptions'!AP$11,"m")+1)&gt;=$E32,$D16/12*'01 Major Assumptions'!AP$14,0)</f>
        <v>20833.333333333332</v>
      </c>
      <c r="AQ59" s="90">
        <f>IF(AND((DATEDIF('01 Major Assumptions'!$D$6,'01 Major Assumptions'!AQ$11,"m")+1)&gt;=$C32,(DATEDIF('01 Major Assumptions'!$D$6,'01 Major Assumptions'!AQ$11,"m")+1)&lt;$E32),$C16/$D32*'01 Major Assumptions'!AQ$14,0)+IF((DATEDIF('01 Major Assumptions'!$D$6,'01 Major Assumptions'!AQ$11,"m")+1)&gt;=$E32,$D16/12*'01 Major Assumptions'!AQ$14,0)</f>
        <v>20833.333333333332</v>
      </c>
      <c r="AR59" s="90">
        <f>IF(AND((DATEDIF('01 Major Assumptions'!$D$6,'01 Major Assumptions'!AR$11,"m")+1)&gt;=$C32,(DATEDIF('01 Major Assumptions'!$D$6,'01 Major Assumptions'!AR$11,"m")+1)&lt;$E32),$C16/$D32*'01 Major Assumptions'!AR$14,0)+IF((DATEDIF('01 Major Assumptions'!$D$6,'01 Major Assumptions'!AR$11,"m")+1)&gt;=$E32,$D16/12*'01 Major Assumptions'!AR$14,0)</f>
        <v>20833.333333333332</v>
      </c>
      <c r="AS59" s="90">
        <f>IF(AND((DATEDIF('01 Major Assumptions'!$D$6,'01 Major Assumptions'!AS$11,"m")+1)&gt;=$C32,(DATEDIF('01 Major Assumptions'!$D$6,'01 Major Assumptions'!AS$11,"m")+1)&lt;$E32),$C16/$D32*'01 Major Assumptions'!AS$14,0)+IF((DATEDIF('01 Major Assumptions'!$D$6,'01 Major Assumptions'!AS$11,"m")+1)&gt;=$E32,$D16/12*'01 Major Assumptions'!AS$14,0)</f>
        <v>20833.333333333332</v>
      </c>
      <c r="AT59" s="90">
        <f>IF(AND((DATEDIF('01 Major Assumptions'!$D$6,'01 Major Assumptions'!AT$11,"m")+1)&gt;=$C32,(DATEDIF('01 Major Assumptions'!$D$6,'01 Major Assumptions'!AT$11,"m")+1)&lt;$E32),$C16/$D32*'01 Major Assumptions'!AT$14,0)+IF((DATEDIF('01 Major Assumptions'!$D$6,'01 Major Assumptions'!AT$11,"m")+1)&gt;=$E32,$D16/12*'01 Major Assumptions'!AT$14,0)</f>
        <v>20833.333333333332</v>
      </c>
      <c r="AU59" s="90">
        <f>IF(AND((DATEDIF('01 Major Assumptions'!$D$6,'01 Major Assumptions'!AU$11,"m")+1)&gt;=$C32,(DATEDIF('01 Major Assumptions'!$D$6,'01 Major Assumptions'!AU$11,"m")+1)&lt;$E32),$C16/$D32*'01 Major Assumptions'!AU$14,0)+IF((DATEDIF('01 Major Assumptions'!$D$6,'01 Major Assumptions'!AU$11,"m")+1)&gt;=$E32,$D16/12*'01 Major Assumptions'!AU$14,0)</f>
        <v>20833.333333333332</v>
      </c>
      <c r="AV59" s="90">
        <f>IF(AND((DATEDIF('01 Major Assumptions'!$D$6,'01 Major Assumptions'!AV$11,"m")+1)&gt;=$C32,(DATEDIF('01 Major Assumptions'!$D$6,'01 Major Assumptions'!AV$11,"m")+1)&lt;$E32),$C16/$D32*'01 Major Assumptions'!AV$14,0)+IF((DATEDIF('01 Major Assumptions'!$D$6,'01 Major Assumptions'!AV$11,"m")+1)&gt;=$E32,$D16/12*'01 Major Assumptions'!AV$14,0)</f>
        <v>20833.333333333332</v>
      </c>
      <c r="AW59" s="90">
        <f>IF(AND((DATEDIF('01 Major Assumptions'!$D$6,'01 Major Assumptions'!AW$11,"m")+1)&gt;=$C32,(DATEDIF('01 Major Assumptions'!$D$6,'01 Major Assumptions'!AW$11,"m")+1)&lt;$E32),$C16/$D32*'01 Major Assumptions'!AW$14,0)+IF((DATEDIF('01 Major Assumptions'!$D$6,'01 Major Assumptions'!AW$11,"m")+1)&gt;=$E32,$D16/12*'01 Major Assumptions'!AW$14,0)</f>
        <v>20833.333333333332</v>
      </c>
      <c r="AX59" s="90">
        <f>IF(AND((DATEDIF('01 Major Assumptions'!$D$6,'01 Major Assumptions'!AX$11,"m")+1)&gt;=$C32,(DATEDIF('01 Major Assumptions'!$D$6,'01 Major Assumptions'!AX$11,"m")+1)&lt;$E32),$C16/$D32*'01 Major Assumptions'!AX$14,0)+IF((DATEDIF('01 Major Assumptions'!$D$6,'01 Major Assumptions'!AX$11,"m")+1)&gt;=$E32,$D16/12*'01 Major Assumptions'!AX$14,0)</f>
        <v>20833.333333333332</v>
      </c>
      <c r="AY59" s="90">
        <f>IF(AND((DATEDIF('01 Major Assumptions'!$D$6,'01 Major Assumptions'!AY$11,"m")+1)&gt;=$C32,(DATEDIF('01 Major Assumptions'!$D$6,'01 Major Assumptions'!AY$11,"m")+1)&lt;$E32),$C16/$D32*'01 Major Assumptions'!AY$14,0)+IF((DATEDIF('01 Major Assumptions'!$D$6,'01 Major Assumptions'!AY$11,"m")+1)&gt;=$E32,$D16/12*'01 Major Assumptions'!AY$14,0)</f>
        <v>20833.333333333332</v>
      </c>
      <c r="AZ59" s="90">
        <f>IF(AND((DATEDIF('01 Major Assumptions'!$D$6,'01 Major Assumptions'!AZ$11,"m")+1)&gt;=$C32,(DATEDIF('01 Major Assumptions'!$D$6,'01 Major Assumptions'!AZ$11,"m")+1)&lt;$E32),$C16/$D32*'01 Major Assumptions'!AZ$14,0)+IF((DATEDIF('01 Major Assumptions'!$D$6,'01 Major Assumptions'!AZ$11,"m")+1)&gt;=$E32,$D16/12*'01 Major Assumptions'!AZ$14,0)</f>
        <v>20833.333333333332</v>
      </c>
      <c r="BA59" s="90">
        <f>IF(AND((DATEDIF('01 Major Assumptions'!$D$6,'01 Major Assumptions'!BA$11,"m")+1)&gt;=$C32,(DATEDIF('01 Major Assumptions'!$D$6,'01 Major Assumptions'!BA$11,"m")+1)&lt;$E32),$C16/$D32*'01 Major Assumptions'!BA$14,0)+IF((DATEDIF('01 Major Assumptions'!$D$6,'01 Major Assumptions'!BA$11,"m")+1)&gt;=$E32,$D16/12*'01 Major Assumptions'!BA$14,0)</f>
        <v>20833.333333333332</v>
      </c>
      <c r="BB59" s="90">
        <f>IF(AND((DATEDIF('01 Major Assumptions'!$D$6,'01 Major Assumptions'!BB$11,"m")+1)&gt;=$C32,(DATEDIF('01 Major Assumptions'!$D$6,'01 Major Assumptions'!BB$11,"m")+1)&lt;$E32),$C16/$D32*'01 Major Assumptions'!BB$14,0)+IF((DATEDIF('01 Major Assumptions'!$D$6,'01 Major Assumptions'!BB$11,"m")+1)&gt;=$E32,$D16/12*'01 Major Assumptions'!BB$14,0)</f>
        <v>20833.333333333332</v>
      </c>
      <c r="BC59" s="90">
        <f>IF(AND((DATEDIF('01 Major Assumptions'!$D$6,'01 Major Assumptions'!BC$11,"m")+1)&gt;=$C32,(DATEDIF('01 Major Assumptions'!$D$6,'01 Major Assumptions'!BC$11,"m")+1)&lt;$E32),$C16/$D32*'01 Major Assumptions'!BC$14,0)+IF((DATEDIF('01 Major Assumptions'!$D$6,'01 Major Assumptions'!BC$11,"m")+1)&gt;=$E32,$D16/12*'01 Major Assumptions'!BC$14,0)</f>
        <v>20833.333333333332</v>
      </c>
      <c r="BD59" s="90">
        <f>IF(AND((DATEDIF('01 Major Assumptions'!$D$6,'01 Major Assumptions'!BD$11,"m")+1)&gt;=$C32,(DATEDIF('01 Major Assumptions'!$D$6,'01 Major Assumptions'!BD$11,"m")+1)&lt;$E32),$C16/$D32*'01 Major Assumptions'!BD$14,0)+IF((DATEDIF('01 Major Assumptions'!$D$6,'01 Major Assumptions'!BD$11,"m")+1)&gt;=$E32,$D16/12*'01 Major Assumptions'!BD$14,0)</f>
        <v>20833.333333333332</v>
      </c>
      <c r="BE59" s="90">
        <f>IF(AND((DATEDIF('01 Major Assumptions'!$D$6,'01 Major Assumptions'!BE$11,"m")+1)&gt;=$C32,(DATEDIF('01 Major Assumptions'!$D$6,'01 Major Assumptions'!BE$11,"m")+1)&lt;$E32),$C16/$D32*'01 Major Assumptions'!BE$14,0)+IF((DATEDIF('01 Major Assumptions'!$D$6,'01 Major Assumptions'!BE$11,"m")+1)&gt;=$E32,$D16/12*'01 Major Assumptions'!BE$14,0)</f>
        <v>20833.333333333332</v>
      </c>
      <c r="BF59" s="90">
        <f>IF(AND((DATEDIF('01 Major Assumptions'!$D$6,'01 Major Assumptions'!BF$11,"m")+1)&gt;=$C32,(DATEDIF('01 Major Assumptions'!$D$6,'01 Major Assumptions'!BF$11,"m")+1)&lt;$E32),$C16/$D32*'01 Major Assumptions'!BF$14,0)+IF((DATEDIF('01 Major Assumptions'!$D$6,'01 Major Assumptions'!BF$11,"m")+1)&gt;=$E32,$D16/12*'01 Major Assumptions'!BF$14,0)</f>
        <v>20833.333333333332</v>
      </c>
      <c r="BG59" s="90">
        <f>IF(AND((DATEDIF('01 Major Assumptions'!$D$6,'01 Major Assumptions'!BG$11,"m")+1)&gt;=$C32,(DATEDIF('01 Major Assumptions'!$D$6,'01 Major Assumptions'!BG$11,"m")+1)&lt;$E32),$C16/$D32*'01 Major Assumptions'!BG$14,0)+IF((DATEDIF('01 Major Assumptions'!$D$6,'01 Major Assumptions'!BG$11,"m")+1)&gt;=$E32,$D16/12*'01 Major Assumptions'!BG$14,0)</f>
        <v>20833.333333333332</v>
      </c>
      <c r="BH59" s="90">
        <f>IF(AND((DATEDIF('01 Major Assumptions'!$D$6,'01 Major Assumptions'!BH$11,"m")+1)&gt;=$C32,(DATEDIF('01 Major Assumptions'!$D$6,'01 Major Assumptions'!BH$11,"m")+1)&lt;$E32),$C16/$D32*'01 Major Assumptions'!BH$14,0)+IF((DATEDIF('01 Major Assumptions'!$D$6,'01 Major Assumptions'!BH$11,"m")+1)&gt;=$E32,$D16/12*'01 Major Assumptions'!BH$14,0)</f>
        <v>20833.333333333332</v>
      </c>
      <c r="BI59" s="90">
        <f>IF(AND((DATEDIF('01 Major Assumptions'!$D$6,'01 Major Assumptions'!BI$11,"m")+1)&gt;=$C32,(DATEDIF('01 Major Assumptions'!$D$6,'01 Major Assumptions'!BI$11,"m")+1)&lt;$E32),$C16/$D32*'01 Major Assumptions'!BI$14,0)+IF((DATEDIF('01 Major Assumptions'!$D$6,'01 Major Assumptions'!BI$11,"m")+1)&gt;=$E32,$D16/12*'01 Major Assumptions'!BI$14,0)</f>
        <v>250000</v>
      </c>
      <c r="BJ59" s="90">
        <f>IF(AND((DATEDIF('01 Major Assumptions'!$D$6,'01 Major Assumptions'!BJ$11,"m")+1)&gt;=$C32,(DATEDIF('01 Major Assumptions'!$D$6,'01 Major Assumptions'!BJ$11,"m")+1)&lt;$E32),$C16/$D32*'01 Major Assumptions'!BJ$14,0)+IF((DATEDIF('01 Major Assumptions'!$D$6,'01 Major Assumptions'!BJ$11,"m")+1)&gt;=$E32,$D16/12*'01 Major Assumptions'!BJ$14,0)</f>
        <v>250000</v>
      </c>
      <c r="BK59" s="90">
        <f>IF(AND((DATEDIF('01 Major Assumptions'!$D$6,'01 Major Assumptions'!BK$11,"m")+1)&gt;=$C32,(DATEDIF('01 Major Assumptions'!$D$6,'01 Major Assumptions'!BK$11,"m")+1)&lt;$E32),$C16/$D32*'01 Major Assumptions'!BK$14,0)+IF((DATEDIF('01 Major Assumptions'!$D$6,'01 Major Assumptions'!BK$11,"m")+1)&gt;=$E32,$D16/12*'01 Major Assumptions'!BK$14,0)</f>
        <v>250000</v>
      </c>
      <c r="BL59" s="90">
        <f>IF(AND((DATEDIF('01 Major Assumptions'!$D$6,'01 Major Assumptions'!BL$11,"m")+1)&gt;=$C32,(DATEDIF('01 Major Assumptions'!$D$6,'01 Major Assumptions'!BL$11,"m")+1)&lt;$E32),$C16/$D32*'01 Major Assumptions'!BL$14,0)+IF((DATEDIF('01 Major Assumptions'!$D$6,'01 Major Assumptions'!BL$11,"m")+1)&gt;=$E32,$D16/12*'01 Major Assumptions'!BL$14,0)</f>
        <v>250000</v>
      </c>
      <c r="BM59" s="90">
        <f>IF(AND((DATEDIF('01 Major Assumptions'!$D$6,'01 Major Assumptions'!BM$11,"m")+1)&gt;=$C32,(DATEDIF('01 Major Assumptions'!$D$6,'01 Major Assumptions'!BM$11,"m")+1)&lt;$E32),$C16/$D32*'01 Major Assumptions'!BM$14,0)+IF((DATEDIF('01 Major Assumptions'!$D$6,'01 Major Assumptions'!BM$11,"m")+1)&gt;=$E32,$D16/12*'01 Major Assumptions'!BM$14,0)</f>
        <v>250000</v>
      </c>
      <c r="BN59" s="90">
        <f>IF(AND((DATEDIF('01 Major Assumptions'!$D$6,'01 Major Assumptions'!BN$11,"m")+1)&gt;=$C32,(DATEDIF('01 Major Assumptions'!$D$6,'01 Major Assumptions'!BN$11,"m")+1)&lt;$E32),$C16/$D32*'01 Major Assumptions'!BN$14,0)+IF((DATEDIF('01 Major Assumptions'!$D$6,'01 Major Assumptions'!BN$11,"m")+1)&gt;=$E32,$D16/12*'01 Major Assumptions'!BN$14,0)</f>
        <v>250000</v>
      </c>
      <c r="BO59" s="90">
        <f>IF(AND((DATEDIF('01 Major Assumptions'!$D$6,'01 Major Assumptions'!BO$11,"m")+1)&gt;=$C32,(DATEDIF('01 Major Assumptions'!$D$6,'01 Major Assumptions'!BO$11,"m")+1)&lt;$E32),$C16/$D32*'01 Major Assumptions'!BO$14,0)+IF((DATEDIF('01 Major Assumptions'!$D$6,'01 Major Assumptions'!BO$11,"m")+1)&gt;=$E32,$D16/12*'01 Major Assumptions'!BO$14,0)</f>
        <v>250000</v>
      </c>
    </row>
    <row r="60" spans="1:67">
      <c r="A60" s="11"/>
      <c r="B60" s="32" t="str">
        <f t="shared" si="7"/>
        <v>Product carbon footprint &amp; life cycle assessment (ISO 14067) and EPD</v>
      </c>
      <c r="C60" s="11"/>
      <c r="D60" s="33"/>
      <c r="E60" s="10" t="s">
        <v>13</v>
      </c>
      <c r="F60" s="10"/>
      <c r="G60" s="90">
        <f>IF(AND((DATEDIF('01 Major Assumptions'!$D$6,'01 Major Assumptions'!G$11,"m")+1)&gt;=$C33,(DATEDIF('01 Major Assumptions'!$D$6,'01 Major Assumptions'!G$11,"m")+1)&lt;$E33),$C17/$D33*'01 Major Assumptions'!G$14,0)+IF((DATEDIF('01 Major Assumptions'!$D$6,'01 Major Assumptions'!G$11,"m")+1)&gt;=$E33,$D17/12*'01 Major Assumptions'!G$14,0)</f>
        <v>0</v>
      </c>
      <c r="H60" s="90">
        <f>IF(AND((DATEDIF('01 Major Assumptions'!$D$6,'01 Major Assumptions'!H$11,"m")+1)&gt;=$C33,(DATEDIF('01 Major Assumptions'!$D$6,'01 Major Assumptions'!H$11,"m")+1)&lt;$E33),$C17/$D33*'01 Major Assumptions'!H$14,0)+IF((DATEDIF('01 Major Assumptions'!$D$6,'01 Major Assumptions'!H$11,"m")+1)&gt;=$E33,$D17/12*'01 Major Assumptions'!H$14,0)</f>
        <v>0</v>
      </c>
      <c r="I60" s="90">
        <f>IF(AND((DATEDIF('01 Major Assumptions'!$D$6,'01 Major Assumptions'!I$11,"m")+1)&gt;=$C33,(DATEDIF('01 Major Assumptions'!$D$6,'01 Major Assumptions'!I$11,"m")+1)&lt;$E33),$C17/$D33*'01 Major Assumptions'!I$14,0)+IF((DATEDIF('01 Major Assumptions'!$D$6,'01 Major Assumptions'!I$11,"m")+1)&gt;=$E33,$D17/12*'01 Major Assumptions'!I$14,0)</f>
        <v>0</v>
      </c>
      <c r="J60" s="90">
        <f>IF(AND((DATEDIF('01 Major Assumptions'!$D$6,'01 Major Assumptions'!J$11,"m")+1)&gt;=$C33,(DATEDIF('01 Major Assumptions'!$D$6,'01 Major Assumptions'!J$11,"m")+1)&lt;$E33),$C17/$D33*'01 Major Assumptions'!J$14,0)+IF((DATEDIF('01 Major Assumptions'!$D$6,'01 Major Assumptions'!J$11,"m")+1)&gt;=$E33,$D17/12*'01 Major Assumptions'!J$14,0)</f>
        <v>0</v>
      </c>
      <c r="K60" s="90">
        <f>IF(AND((DATEDIF('01 Major Assumptions'!$D$6,'01 Major Assumptions'!K$11,"m")+1)&gt;=$C33,(DATEDIF('01 Major Assumptions'!$D$6,'01 Major Assumptions'!K$11,"m")+1)&lt;$E33),$C17/$D33*'01 Major Assumptions'!K$14,0)+IF((DATEDIF('01 Major Assumptions'!$D$6,'01 Major Assumptions'!K$11,"m")+1)&gt;=$E33,$D17/12*'01 Major Assumptions'!K$14,0)</f>
        <v>0</v>
      </c>
      <c r="L60" s="90">
        <f>IF(AND((DATEDIF('01 Major Assumptions'!$D$6,'01 Major Assumptions'!L$11,"m")+1)&gt;=$C33,(DATEDIF('01 Major Assumptions'!$D$6,'01 Major Assumptions'!L$11,"m")+1)&lt;$E33),$C17/$D33*'01 Major Assumptions'!L$14,0)+IF((DATEDIF('01 Major Assumptions'!$D$6,'01 Major Assumptions'!L$11,"m")+1)&gt;=$E33,$D17/12*'01 Major Assumptions'!L$14,0)</f>
        <v>0</v>
      </c>
      <c r="M60" s="90">
        <f>IF(AND((DATEDIF('01 Major Assumptions'!$D$6,'01 Major Assumptions'!M$11,"m")+1)&gt;=$C33,(DATEDIF('01 Major Assumptions'!$D$6,'01 Major Assumptions'!M$11,"m")+1)&lt;$E33),$C17/$D33*'01 Major Assumptions'!M$14,0)+IF((DATEDIF('01 Major Assumptions'!$D$6,'01 Major Assumptions'!M$11,"m")+1)&gt;=$E33,$D17/12*'01 Major Assumptions'!M$14,0)</f>
        <v>0</v>
      </c>
      <c r="N60" s="90">
        <f>IF(AND((DATEDIF('01 Major Assumptions'!$D$6,'01 Major Assumptions'!N$11,"m")+1)&gt;=$C33,(DATEDIF('01 Major Assumptions'!$D$6,'01 Major Assumptions'!N$11,"m")+1)&lt;$E33),$C17/$D33*'01 Major Assumptions'!N$14,0)+IF((DATEDIF('01 Major Assumptions'!$D$6,'01 Major Assumptions'!N$11,"m")+1)&gt;=$E33,$D17/12*'01 Major Assumptions'!N$14,0)</f>
        <v>0</v>
      </c>
      <c r="O60" s="90">
        <f>IF(AND((DATEDIF('01 Major Assumptions'!$D$6,'01 Major Assumptions'!O$11,"m")+1)&gt;=$C33,(DATEDIF('01 Major Assumptions'!$D$6,'01 Major Assumptions'!O$11,"m")+1)&lt;$E33),$C17/$D33*'01 Major Assumptions'!O$14,0)+IF((DATEDIF('01 Major Assumptions'!$D$6,'01 Major Assumptions'!O$11,"m")+1)&gt;=$E33,$D17/12*'01 Major Assumptions'!O$14,0)</f>
        <v>0</v>
      </c>
      <c r="P60" s="90">
        <f>IF(AND((DATEDIF('01 Major Assumptions'!$D$6,'01 Major Assumptions'!P$11,"m")+1)&gt;=$C33,(DATEDIF('01 Major Assumptions'!$D$6,'01 Major Assumptions'!P$11,"m")+1)&lt;$E33),$C17/$D33*'01 Major Assumptions'!P$14,0)+IF((DATEDIF('01 Major Assumptions'!$D$6,'01 Major Assumptions'!P$11,"m")+1)&gt;=$E33,$D17/12*'01 Major Assumptions'!P$14,0)</f>
        <v>0</v>
      </c>
      <c r="Q60" s="90">
        <f>IF(AND((DATEDIF('01 Major Assumptions'!$D$6,'01 Major Assumptions'!Q$11,"m")+1)&gt;=$C33,(DATEDIF('01 Major Assumptions'!$D$6,'01 Major Assumptions'!Q$11,"m")+1)&lt;$E33),$C17/$D33*'01 Major Assumptions'!Q$14,0)+IF((DATEDIF('01 Major Assumptions'!$D$6,'01 Major Assumptions'!Q$11,"m")+1)&gt;=$E33,$D17/12*'01 Major Assumptions'!Q$14,0)</f>
        <v>0</v>
      </c>
      <c r="R60" s="90">
        <f>IF(AND((DATEDIF('01 Major Assumptions'!$D$6,'01 Major Assumptions'!R$11,"m")+1)&gt;=$C33,(DATEDIF('01 Major Assumptions'!$D$6,'01 Major Assumptions'!R$11,"m")+1)&lt;$E33),$C17/$D33*'01 Major Assumptions'!R$14,0)+IF((DATEDIF('01 Major Assumptions'!$D$6,'01 Major Assumptions'!R$11,"m")+1)&gt;=$E33,$D17/12*'01 Major Assumptions'!R$14,0)</f>
        <v>0</v>
      </c>
      <c r="S60" s="90">
        <f>IF(AND((DATEDIF('01 Major Assumptions'!$D$6,'01 Major Assumptions'!S$11,"m")+1)&gt;=$C33,(DATEDIF('01 Major Assumptions'!$D$6,'01 Major Assumptions'!S$11,"m")+1)&lt;$E33),$C17/$D33*'01 Major Assumptions'!S$14,0)+IF((DATEDIF('01 Major Assumptions'!$D$6,'01 Major Assumptions'!S$11,"m")+1)&gt;=$E33,$D17/12*'01 Major Assumptions'!S$14,0)</f>
        <v>0</v>
      </c>
      <c r="T60" s="90">
        <f>IF(AND((DATEDIF('01 Major Assumptions'!$D$6,'01 Major Assumptions'!T$11,"m")+1)&gt;=$C33,(DATEDIF('01 Major Assumptions'!$D$6,'01 Major Assumptions'!T$11,"m")+1)&lt;$E33),$C17/$D33*'01 Major Assumptions'!T$14,0)+IF((DATEDIF('01 Major Assumptions'!$D$6,'01 Major Assumptions'!T$11,"m")+1)&gt;=$E33,$D17/12*'01 Major Assumptions'!T$14,0)</f>
        <v>0</v>
      </c>
      <c r="U60" s="90">
        <f>IF(AND((DATEDIF('01 Major Assumptions'!$D$6,'01 Major Assumptions'!U$11,"m")+1)&gt;=$C33,(DATEDIF('01 Major Assumptions'!$D$6,'01 Major Assumptions'!U$11,"m")+1)&lt;$E33),$C17/$D33*'01 Major Assumptions'!U$14,0)+IF((DATEDIF('01 Major Assumptions'!$D$6,'01 Major Assumptions'!U$11,"m")+1)&gt;=$E33,$D17/12*'01 Major Assumptions'!U$14,0)</f>
        <v>0</v>
      </c>
      <c r="V60" s="90">
        <f>IF(AND((DATEDIF('01 Major Assumptions'!$D$6,'01 Major Assumptions'!V$11,"m")+1)&gt;=$C33,(DATEDIF('01 Major Assumptions'!$D$6,'01 Major Assumptions'!V$11,"m")+1)&lt;$E33),$C17/$D33*'01 Major Assumptions'!V$14,0)+IF((DATEDIF('01 Major Assumptions'!$D$6,'01 Major Assumptions'!V$11,"m")+1)&gt;=$E33,$D17/12*'01 Major Assumptions'!V$14,0)</f>
        <v>0</v>
      </c>
      <c r="W60" s="90">
        <f>IF(AND((DATEDIF('01 Major Assumptions'!$D$6,'01 Major Assumptions'!W$11,"m")+1)&gt;=$C33,(DATEDIF('01 Major Assumptions'!$D$6,'01 Major Assumptions'!W$11,"m")+1)&lt;$E33),$C17/$D33*'01 Major Assumptions'!W$14,0)+IF((DATEDIF('01 Major Assumptions'!$D$6,'01 Major Assumptions'!W$11,"m")+1)&gt;=$E33,$D17/12*'01 Major Assumptions'!W$14,0)</f>
        <v>0</v>
      </c>
      <c r="X60" s="90">
        <f>IF(AND((DATEDIF('01 Major Assumptions'!$D$6,'01 Major Assumptions'!X$11,"m")+1)&gt;=$C33,(DATEDIF('01 Major Assumptions'!$D$6,'01 Major Assumptions'!X$11,"m")+1)&lt;$E33),$C17/$D33*'01 Major Assumptions'!X$14,0)+IF((DATEDIF('01 Major Assumptions'!$D$6,'01 Major Assumptions'!X$11,"m")+1)&gt;=$E33,$D17/12*'01 Major Assumptions'!X$14,0)</f>
        <v>0</v>
      </c>
      <c r="Y60" s="90">
        <f>IF(AND((DATEDIF('01 Major Assumptions'!$D$6,'01 Major Assumptions'!Y$11,"m")+1)&gt;=$C33,(DATEDIF('01 Major Assumptions'!$D$6,'01 Major Assumptions'!Y$11,"m")+1)&lt;$E33),$C17/$D33*'01 Major Assumptions'!Y$14,0)+IF((DATEDIF('01 Major Assumptions'!$D$6,'01 Major Assumptions'!Y$11,"m")+1)&gt;=$E33,$D17/12*'01 Major Assumptions'!Y$14,0)</f>
        <v>0</v>
      </c>
      <c r="Z60" s="90">
        <f>IF(AND((DATEDIF('01 Major Assumptions'!$D$6,'01 Major Assumptions'!Z$11,"m")+1)&gt;=$C33,(DATEDIF('01 Major Assumptions'!$D$6,'01 Major Assumptions'!Z$11,"m")+1)&lt;$E33),$C17/$D33*'01 Major Assumptions'!Z$14,0)+IF((DATEDIF('01 Major Assumptions'!$D$6,'01 Major Assumptions'!Z$11,"m")+1)&gt;=$E33,$D17/12*'01 Major Assumptions'!Z$14,0)</f>
        <v>150000</v>
      </c>
      <c r="AA60" s="90">
        <f>IF(AND((DATEDIF('01 Major Assumptions'!$D$6,'01 Major Assumptions'!AA$11,"m")+1)&gt;=$C33,(DATEDIF('01 Major Assumptions'!$D$6,'01 Major Assumptions'!AA$11,"m")+1)&lt;$E33),$C17/$D33*'01 Major Assumptions'!AA$14,0)+IF((DATEDIF('01 Major Assumptions'!$D$6,'01 Major Assumptions'!AA$11,"m")+1)&gt;=$E33,$D17/12*'01 Major Assumptions'!AA$14,0)</f>
        <v>150000</v>
      </c>
      <c r="AB60" s="90">
        <f>IF(AND((DATEDIF('01 Major Assumptions'!$D$6,'01 Major Assumptions'!AB$11,"m")+1)&gt;=$C33,(DATEDIF('01 Major Assumptions'!$D$6,'01 Major Assumptions'!AB$11,"m")+1)&lt;$E33),$C17/$D33*'01 Major Assumptions'!AB$14,0)+IF((DATEDIF('01 Major Assumptions'!$D$6,'01 Major Assumptions'!AB$11,"m")+1)&gt;=$E33,$D17/12*'01 Major Assumptions'!AB$14,0)</f>
        <v>150000</v>
      </c>
      <c r="AC60" s="90">
        <f>IF(AND((DATEDIF('01 Major Assumptions'!$D$6,'01 Major Assumptions'!AC$11,"m")+1)&gt;=$C33,(DATEDIF('01 Major Assumptions'!$D$6,'01 Major Assumptions'!AC$11,"m")+1)&lt;$E33),$C17/$D33*'01 Major Assumptions'!AC$14,0)+IF((DATEDIF('01 Major Assumptions'!$D$6,'01 Major Assumptions'!AC$11,"m")+1)&gt;=$E33,$D17/12*'01 Major Assumptions'!AC$14,0)</f>
        <v>150000</v>
      </c>
      <c r="AD60" s="90">
        <f>IF(AND((DATEDIF('01 Major Assumptions'!$D$6,'01 Major Assumptions'!AD$11,"m")+1)&gt;=$C33,(DATEDIF('01 Major Assumptions'!$D$6,'01 Major Assumptions'!AD$11,"m")+1)&lt;$E33),$C17/$D33*'01 Major Assumptions'!AD$14,0)+IF((DATEDIF('01 Major Assumptions'!$D$6,'01 Major Assumptions'!AD$11,"m")+1)&gt;=$E33,$D17/12*'01 Major Assumptions'!AD$14,0)</f>
        <v>150000</v>
      </c>
      <c r="AE60" s="90">
        <f>IF(AND((DATEDIF('01 Major Assumptions'!$D$6,'01 Major Assumptions'!AE$11,"m")+1)&gt;=$C33,(DATEDIF('01 Major Assumptions'!$D$6,'01 Major Assumptions'!AE$11,"m")+1)&lt;$E33),$C17/$D33*'01 Major Assumptions'!AE$14,0)+IF((DATEDIF('01 Major Assumptions'!$D$6,'01 Major Assumptions'!AE$11,"m")+1)&gt;=$E33,$D17/12*'01 Major Assumptions'!AE$14,0)</f>
        <v>150000</v>
      </c>
      <c r="AF60" s="90">
        <f>IF(AND((DATEDIF('01 Major Assumptions'!$D$6,'01 Major Assumptions'!AF$11,"m")+1)&gt;=$C33,(DATEDIF('01 Major Assumptions'!$D$6,'01 Major Assumptions'!AF$11,"m")+1)&lt;$E33),$C17/$D33*'01 Major Assumptions'!AF$14,0)+IF((DATEDIF('01 Major Assumptions'!$D$6,'01 Major Assumptions'!AF$11,"m")+1)&gt;=$E33,$D17/12*'01 Major Assumptions'!AF$14,0)</f>
        <v>16666.666666666668</v>
      </c>
      <c r="AG60" s="90">
        <f>IF(AND((DATEDIF('01 Major Assumptions'!$D$6,'01 Major Assumptions'!AG$11,"m")+1)&gt;=$C33,(DATEDIF('01 Major Assumptions'!$D$6,'01 Major Assumptions'!AG$11,"m")+1)&lt;$E33),$C17/$D33*'01 Major Assumptions'!AG$14,0)+IF((DATEDIF('01 Major Assumptions'!$D$6,'01 Major Assumptions'!AG$11,"m")+1)&gt;=$E33,$D17/12*'01 Major Assumptions'!AG$14,0)</f>
        <v>16666.666666666668</v>
      </c>
      <c r="AH60" s="90">
        <f>IF(AND((DATEDIF('01 Major Assumptions'!$D$6,'01 Major Assumptions'!AH$11,"m")+1)&gt;=$C33,(DATEDIF('01 Major Assumptions'!$D$6,'01 Major Assumptions'!AH$11,"m")+1)&lt;$E33),$C17/$D33*'01 Major Assumptions'!AH$14,0)+IF((DATEDIF('01 Major Assumptions'!$D$6,'01 Major Assumptions'!AH$11,"m")+1)&gt;=$E33,$D17/12*'01 Major Assumptions'!AH$14,0)</f>
        <v>16666.666666666668</v>
      </c>
      <c r="AI60" s="90">
        <f>IF(AND((DATEDIF('01 Major Assumptions'!$D$6,'01 Major Assumptions'!AI$11,"m")+1)&gt;=$C33,(DATEDIF('01 Major Assumptions'!$D$6,'01 Major Assumptions'!AI$11,"m")+1)&lt;$E33),$C17/$D33*'01 Major Assumptions'!AI$14,0)+IF((DATEDIF('01 Major Assumptions'!$D$6,'01 Major Assumptions'!AI$11,"m")+1)&gt;=$E33,$D17/12*'01 Major Assumptions'!AI$14,0)</f>
        <v>16666.666666666668</v>
      </c>
      <c r="AJ60" s="90">
        <f>IF(AND((DATEDIF('01 Major Assumptions'!$D$6,'01 Major Assumptions'!AJ$11,"m")+1)&gt;=$C33,(DATEDIF('01 Major Assumptions'!$D$6,'01 Major Assumptions'!AJ$11,"m")+1)&lt;$E33),$C17/$D33*'01 Major Assumptions'!AJ$14,0)+IF((DATEDIF('01 Major Assumptions'!$D$6,'01 Major Assumptions'!AJ$11,"m")+1)&gt;=$E33,$D17/12*'01 Major Assumptions'!AJ$14,0)</f>
        <v>16666.666666666668</v>
      </c>
      <c r="AK60" s="90">
        <f>IF(AND((DATEDIF('01 Major Assumptions'!$D$6,'01 Major Assumptions'!AK$11,"m")+1)&gt;=$C33,(DATEDIF('01 Major Assumptions'!$D$6,'01 Major Assumptions'!AK$11,"m")+1)&lt;$E33),$C17/$D33*'01 Major Assumptions'!AK$14,0)+IF((DATEDIF('01 Major Assumptions'!$D$6,'01 Major Assumptions'!AK$11,"m")+1)&gt;=$E33,$D17/12*'01 Major Assumptions'!AK$14,0)</f>
        <v>16666.666666666668</v>
      </c>
      <c r="AL60" s="90">
        <f>IF(AND((DATEDIF('01 Major Assumptions'!$D$6,'01 Major Assumptions'!AL$11,"m")+1)&gt;=$C33,(DATEDIF('01 Major Assumptions'!$D$6,'01 Major Assumptions'!AL$11,"m")+1)&lt;$E33),$C17/$D33*'01 Major Assumptions'!AL$14,0)+IF((DATEDIF('01 Major Assumptions'!$D$6,'01 Major Assumptions'!AL$11,"m")+1)&gt;=$E33,$D17/12*'01 Major Assumptions'!AL$14,0)</f>
        <v>16666.666666666668</v>
      </c>
      <c r="AM60" s="90">
        <f>IF(AND((DATEDIF('01 Major Assumptions'!$D$6,'01 Major Assumptions'!AM$11,"m")+1)&gt;=$C33,(DATEDIF('01 Major Assumptions'!$D$6,'01 Major Assumptions'!AM$11,"m")+1)&lt;$E33),$C17/$D33*'01 Major Assumptions'!AM$14,0)+IF((DATEDIF('01 Major Assumptions'!$D$6,'01 Major Assumptions'!AM$11,"m")+1)&gt;=$E33,$D17/12*'01 Major Assumptions'!AM$14,0)</f>
        <v>16666.666666666668</v>
      </c>
      <c r="AN60" s="90">
        <f>IF(AND((DATEDIF('01 Major Assumptions'!$D$6,'01 Major Assumptions'!AN$11,"m")+1)&gt;=$C33,(DATEDIF('01 Major Assumptions'!$D$6,'01 Major Assumptions'!AN$11,"m")+1)&lt;$E33),$C17/$D33*'01 Major Assumptions'!AN$14,0)+IF((DATEDIF('01 Major Assumptions'!$D$6,'01 Major Assumptions'!AN$11,"m")+1)&gt;=$E33,$D17/12*'01 Major Assumptions'!AN$14,0)</f>
        <v>16666.666666666668</v>
      </c>
      <c r="AO60" s="90">
        <f>IF(AND((DATEDIF('01 Major Assumptions'!$D$6,'01 Major Assumptions'!AO$11,"m")+1)&gt;=$C33,(DATEDIF('01 Major Assumptions'!$D$6,'01 Major Assumptions'!AO$11,"m")+1)&lt;$E33),$C17/$D33*'01 Major Assumptions'!AO$14,0)+IF((DATEDIF('01 Major Assumptions'!$D$6,'01 Major Assumptions'!AO$11,"m")+1)&gt;=$E33,$D17/12*'01 Major Assumptions'!AO$14,0)</f>
        <v>16666.666666666668</v>
      </c>
      <c r="AP60" s="90">
        <f>IF(AND((DATEDIF('01 Major Assumptions'!$D$6,'01 Major Assumptions'!AP$11,"m")+1)&gt;=$C33,(DATEDIF('01 Major Assumptions'!$D$6,'01 Major Assumptions'!AP$11,"m")+1)&lt;$E33),$C17/$D33*'01 Major Assumptions'!AP$14,0)+IF((DATEDIF('01 Major Assumptions'!$D$6,'01 Major Assumptions'!AP$11,"m")+1)&gt;=$E33,$D17/12*'01 Major Assumptions'!AP$14,0)</f>
        <v>16666.666666666668</v>
      </c>
      <c r="AQ60" s="90">
        <f>IF(AND((DATEDIF('01 Major Assumptions'!$D$6,'01 Major Assumptions'!AQ$11,"m")+1)&gt;=$C33,(DATEDIF('01 Major Assumptions'!$D$6,'01 Major Assumptions'!AQ$11,"m")+1)&lt;$E33),$C17/$D33*'01 Major Assumptions'!AQ$14,0)+IF((DATEDIF('01 Major Assumptions'!$D$6,'01 Major Assumptions'!AQ$11,"m")+1)&gt;=$E33,$D17/12*'01 Major Assumptions'!AQ$14,0)</f>
        <v>16666.666666666668</v>
      </c>
      <c r="AR60" s="90">
        <f>IF(AND((DATEDIF('01 Major Assumptions'!$D$6,'01 Major Assumptions'!AR$11,"m")+1)&gt;=$C33,(DATEDIF('01 Major Assumptions'!$D$6,'01 Major Assumptions'!AR$11,"m")+1)&lt;$E33),$C17/$D33*'01 Major Assumptions'!AR$14,0)+IF((DATEDIF('01 Major Assumptions'!$D$6,'01 Major Assumptions'!AR$11,"m")+1)&gt;=$E33,$D17/12*'01 Major Assumptions'!AR$14,0)</f>
        <v>16666.666666666668</v>
      </c>
      <c r="AS60" s="90">
        <f>IF(AND((DATEDIF('01 Major Assumptions'!$D$6,'01 Major Assumptions'!AS$11,"m")+1)&gt;=$C33,(DATEDIF('01 Major Assumptions'!$D$6,'01 Major Assumptions'!AS$11,"m")+1)&lt;$E33),$C17/$D33*'01 Major Assumptions'!AS$14,0)+IF((DATEDIF('01 Major Assumptions'!$D$6,'01 Major Assumptions'!AS$11,"m")+1)&gt;=$E33,$D17/12*'01 Major Assumptions'!AS$14,0)</f>
        <v>16666.666666666668</v>
      </c>
      <c r="AT60" s="90">
        <f>IF(AND((DATEDIF('01 Major Assumptions'!$D$6,'01 Major Assumptions'!AT$11,"m")+1)&gt;=$C33,(DATEDIF('01 Major Assumptions'!$D$6,'01 Major Assumptions'!AT$11,"m")+1)&lt;$E33),$C17/$D33*'01 Major Assumptions'!AT$14,0)+IF((DATEDIF('01 Major Assumptions'!$D$6,'01 Major Assumptions'!AT$11,"m")+1)&gt;=$E33,$D17/12*'01 Major Assumptions'!AT$14,0)</f>
        <v>16666.666666666668</v>
      </c>
      <c r="AU60" s="90">
        <f>IF(AND((DATEDIF('01 Major Assumptions'!$D$6,'01 Major Assumptions'!AU$11,"m")+1)&gt;=$C33,(DATEDIF('01 Major Assumptions'!$D$6,'01 Major Assumptions'!AU$11,"m")+1)&lt;$E33),$C17/$D33*'01 Major Assumptions'!AU$14,0)+IF((DATEDIF('01 Major Assumptions'!$D$6,'01 Major Assumptions'!AU$11,"m")+1)&gt;=$E33,$D17/12*'01 Major Assumptions'!AU$14,0)</f>
        <v>16666.666666666668</v>
      </c>
      <c r="AV60" s="90">
        <f>IF(AND((DATEDIF('01 Major Assumptions'!$D$6,'01 Major Assumptions'!AV$11,"m")+1)&gt;=$C33,(DATEDIF('01 Major Assumptions'!$D$6,'01 Major Assumptions'!AV$11,"m")+1)&lt;$E33),$C17/$D33*'01 Major Assumptions'!AV$14,0)+IF((DATEDIF('01 Major Assumptions'!$D$6,'01 Major Assumptions'!AV$11,"m")+1)&gt;=$E33,$D17/12*'01 Major Assumptions'!AV$14,0)</f>
        <v>16666.666666666668</v>
      </c>
      <c r="AW60" s="90">
        <f>IF(AND((DATEDIF('01 Major Assumptions'!$D$6,'01 Major Assumptions'!AW$11,"m")+1)&gt;=$C33,(DATEDIF('01 Major Assumptions'!$D$6,'01 Major Assumptions'!AW$11,"m")+1)&lt;$E33),$C17/$D33*'01 Major Assumptions'!AW$14,0)+IF((DATEDIF('01 Major Assumptions'!$D$6,'01 Major Assumptions'!AW$11,"m")+1)&gt;=$E33,$D17/12*'01 Major Assumptions'!AW$14,0)</f>
        <v>16666.666666666668</v>
      </c>
      <c r="AX60" s="90">
        <f>IF(AND((DATEDIF('01 Major Assumptions'!$D$6,'01 Major Assumptions'!AX$11,"m")+1)&gt;=$C33,(DATEDIF('01 Major Assumptions'!$D$6,'01 Major Assumptions'!AX$11,"m")+1)&lt;$E33),$C17/$D33*'01 Major Assumptions'!AX$14,0)+IF((DATEDIF('01 Major Assumptions'!$D$6,'01 Major Assumptions'!AX$11,"m")+1)&gt;=$E33,$D17/12*'01 Major Assumptions'!AX$14,0)</f>
        <v>16666.666666666668</v>
      </c>
      <c r="AY60" s="90">
        <f>IF(AND((DATEDIF('01 Major Assumptions'!$D$6,'01 Major Assumptions'!AY$11,"m")+1)&gt;=$C33,(DATEDIF('01 Major Assumptions'!$D$6,'01 Major Assumptions'!AY$11,"m")+1)&lt;$E33),$C17/$D33*'01 Major Assumptions'!AY$14,0)+IF((DATEDIF('01 Major Assumptions'!$D$6,'01 Major Assumptions'!AY$11,"m")+1)&gt;=$E33,$D17/12*'01 Major Assumptions'!AY$14,0)</f>
        <v>16666.666666666668</v>
      </c>
      <c r="AZ60" s="90">
        <f>IF(AND((DATEDIF('01 Major Assumptions'!$D$6,'01 Major Assumptions'!AZ$11,"m")+1)&gt;=$C33,(DATEDIF('01 Major Assumptions'!$D$6,'01 Major Assumptions'!AZ$11,"m")+1)&lt;$E33),$C17/$D33*'01 Major Assumptions'!AZ$14,0)+IF((DATEDIF('01 Major Assumptions'!$D$6,'01 Major Assumptions'!AZ$11,"m")+1)&gt;=$E33,$D17/12*'01 Major Assumptions'!AZ$14,0)</f>
        <v>16666.666666666668</v>
      </c>
      <c r="BA60" s="90">
        <f>IF(AND((DATEDIF('01 Major Assumptions'!$D$6,'01 Major Assumptions'!BA$11,"m")+1)&gt;=$C33,(DATEDIF('01 Major Assumptions'!$D$6,'01 Major Assumptions'!BA$11,"m")+1)&lt;$E33),$C17/$D33*'01 Major Assumptions'!BA$14,0)+IF((DATEDIF('01 Major Assumptions'!$D$6,'01 Major Assumptions'!BA$11,"m")+1)&gt;=$E33,$D17/12*'01 Major Assumptions'!BA$14,0)</f>
        <v>16666.666666666668</v>
      </c>
      <c r="BB60" s="90">
        <f>IF(AND((DATEDIF('01 Major Assumptions'!$D$6,'01 Major Assumptions'!BB$11,"m")+1)&gt;=$C33,(DATEDIF('01 Major Assumptions'!$D$6,'01 Major Assumptions'!BB$11,"m")+1)&lt;$E33),$C17/$D33*'01 Major Assumptions'!BB$14,0)+IF((DATEDIF('01 Major Assumptions'!$D$6,'01 Major Assumptions'!BB$11,"m")+1)&gt;=$E33,$D17/12*'01 Major Assumptions'!BB$14,0)</f>
        <v>16666.666666666668</v>
      </c>
      <c r="BC60" s="90">
        <f>IF(AND((DATEDIF('01 Major Assumptions'!$D$6,'01 Major Assumptions'!BC$11,"m")+1)&gt;=$C33,(DATEDIF('01 Major Assumptions'!$D$6,'01 Major Assumptions'!BC$11,"m")+1)&lt;$E33),$C17/$D33*'01 Major Assumptions'!BC$14,0)+IF((DATEDIF('01 Major Assumptions'!$D$6,'01 Major Assumptions'!BC$11,"m")+1)&gt;=$E33,$D17/12*'01 Major Assumptions'!BC$14,0)</f>
        <v>16666.666666666668</v>
      </c>
      <c r="BD60" s="90">
        <f>IF(AND((DATEDIF('01 Major Assumptions'!$D$6,'01 Major Assumptions'!BD$11,"m")+1)&gt;=$C33,(DATEDIF('01 Major Assumptions'!$D$6,'01 Major Assumptions'!BD$11,"m")+1)&lt;$E33),$C17/$D33*'01 Major Assumptions'!BD$14,0)+IF((DATEDIF('01 Major Assumptions'!$D$6,'01 Major Assumptions'!BD$11,"m")+1)&gt;=$E33,$D17/12*'01 Major Assumptions'!BD$14,0)</f>
        <v>16666.666666666668</v>
      </c>
      <c r="BE60" s="90">
        <f>IF(AND((DATEDIF('01 Major Assumptions'!$D$6,'01 Major Assumptions'!BE$11,"m")+1)&gt;=$C33,(DATEDIF('01 Major Assumptions'!$D$6,'01 Major Assumptions'!BE$11,"m")+1)&lt;$E33),$C17/$D33*'01 Major Assumptions'!BE$14,0)+IF((DATEDIF('01 Major Assumptions'!$D$6,'01 Major Assumptions'!BE$11,"m")+1)&gt;=$E33,$D17/12*'01 Major Assumptions'!BE$14,0)</f>
        <v>16666.666666666668</v>
      </c>
      <c r="BF60" s="90">
        <f>IF(AND((DATEDIF('01 Major Assumptions'!$D$6,'01 Major Assumptions'!BF$11,"m")+1)&gt;=$C33,(DATEDIF('01 Major Assumptions'!$D$6,'01 Major Assumptions'!BF$11,"m")+1)&lt;$E33),$C17/$D33*'01 Major Assumptions'!BF$14,0)+IF((DATEDIF('01 Major Assumptions'!$D$6,'01 Major Assumptions'!BF$11,"m")+1)&gt;=$E33,$D17/12*'01 Major Assumptions'!BF$14,0)</f>
        <v>16666.666666666668</v>
      </c>
      <c r="BG60" s="90">
        <f>IF(AND((DATEDIF('01 Major Assumptions'!$D$6,'01 Major Assumptions'!BG$11,"m")+1)&gt;=$C33,(DATEDIF('01 Major Assumptions'!$D$6,'01 Major Assumptions'!BG$11,"m")+1)&lt;$E33),$C17/$D33*'01 Major Assumptions'!BG$14,0)+IF((DATEDIF('01 Major Assumptions'!$D$6,'01 Major Assumptions'!BG$11,"m")+1)&gt;=$E33,$D17/12*'01 Major Assumptions'!BG$14,0)</f>
        <v>16666.666666666668</v>
      </c>
      <c r="BH60" s="90">
        <f>IF(AND((DATEDIF('01 Major Assumptions'!$D$6,'01 Major Assumptions'!BH$11,"m")+1)&gt;=$C33,(DATEDIF('01 Major Assumptions'!$D$6,'01 Major Assumptions'!BH$11,"m")+1)&lt;$E33),$C17/$D33*'01 Major Assumptions'!BH$14,0)+IF((DATEDIF('01 Major Assumptions'!$D$6,'01 Major Assumptions'!BH$11,"m")+1)&gt;=$E33,$D17/12*'01 Major Assumptions'!BH$14,0)</f>
        <v>16666.666666666668</v>
      </c>
      <c r="BI60" s="90">
        <f>IF(AND((DATEDIF('01 Major Assumptions'!$D$6,'01 Major Assumptions'!BI$11,"m")+1)&gt;=$C33,(DATEDIF('01 Major Assumptions'!$D$6,'01 Major Assumptions'!BI$11,"m")+1)&lt;$E33),$C17/$D33*'01 Major Assumptions'!BI$14,0)+IF((DATEDIF('01 Major Assumptions'!$D$6,'01 Major Assumptions'!BI$11,"m")+1)&gt;=$E33,$D17/12*'01 Major Assumptions'!BI$14,0)</f>
        <v>200000</v>
      </c>
      <c r="BJ60" s="90">
        <f>IF(AND((DATEDIF('01 Major Assumptions'!$D$6,'01 Major Assumptions'!BJ$11,"m")+1)&gt;=$C33,(DATEDIF('01 Major Assumptions'!$D$6,'01 Major Assumptions'!BJ$11,"m")+1)&lt;$E33),$C17/$D33*'01 Major Assumptions'!BJ$14,0)+IF((DATEDIF('01 Major Assumptions'!$D$6,'01 Major Assumptions'!BJ$11,"m")+1)&gt;=$E33,$D17/12*'01 Major Assumptions'!BJ$14,0)</f>
        <v>200000</v>
      </c>
      <c r="BK60" s="90">
        <f>IF(AND((DATEDIF('01 Major Assumptions'!$D$6,'01 Major Assumptions'!BK$11,"m")+1)&gt;=$C33,(DATEDIF('01 Major Assumptions'!$D$6,'01 Major Assumptions'!BK$11,"m")+1)&lt;$E33),$C17/$D33*'01 Major Assumptions'!BK$14,0)+IF((DATEDIF('01 Major Assumptions'!$D$6,'01 Major Assumptions'!BK$11,"m")+1)&gt;=$E33,$D17/12*'01 Major Assumptions'!BK$14,0)</f>
        <v>200000</v>
      </c>
      <c r="BL60" s="90">
        <f>IF(AND((DATEDIF('01 Major Assumptions'!$D$6,'01 Major Assumptions'!BL$11,"m")+1)&gt;=$C33,(DATEDIF('01 Major Assumptions'!$D$6,'01 Major Assumptions'!BL$11,"m")+1)&lt;$E33),$C17/$D33*'01 Major Assumptions'!BL$14,0)+IF((DATEDIF('01 Major Assumptions'!$D$6,'01 Major Assumptions'!BL$11,"m")+1)&gt;=$E33,$D17/12*'01 Major Assumptions'!BL$14,0)</f>
        <v>200000</v>
      </c>
      <c r="BM60" s="90">
        <f>IF(AND((DATEDIF('01 Major Assumptions'!$D$6,'01 Major Assumptions'!BM$11,"m")+1)&gt;=$C33,(DATEDIF('01 Major Assumptions'!$D$6,'01 Major Assumptions'!BM$11,"m")+1)&lt;$E33),$C17/$D33*'01 Major Assumptions'!BM$14,0)+IF((DATEDIF('01 Major Assumptions'!$D$6,'01 Major Assumptions'!BM$11,"m")+1)&gt;=$E33,$D17/12*'01 Major Assumptions'!BM$14,0)</f>
        <v>200000</v>
      </c>
      <c r="BN60" s="90">
        <f>IF(AND((DATEDIF('01 Major Assumptions'!$D$6,'01 Major Assumptions'!BN$11,"m")+1)&gt;=$C33,(DATEDIF('01 Major Assumptions'!$D$6,'01 Major Assumptions'!BN$11,"m")+1)&lt;$E33),$C17/$D33*'01 Major Assumptions'!BN$14,0)+IF((DATEDIF('01 Major Assumptions'!$D$6,'01 Major Assumptions'!BN$11,"m")+1)&gt;=$E33,$D17/12*'01 Major Assumptions'!BN$14,0)</f>
        <v>200000</v>
      </c>
      <c r="BO60" s="90">
        <f>IF(AND((DATEDIF('01 Major Assumptions'!$D$6,'01 Major Assumptions'!BO$11,"m")+1)&gt;=$C33,(DATEDIF('01 Major Assumptions'!$D$6,'01 Major Assumptions'!BO$11,"m")+1)&lt;$E33),$C17/$D33*'01 Major Assumptions'!BO$14,0)+IF((DATEDIF('01 Major Assumptions'!$D$6,'01 Major Assumptions'!BO$11,"m")+1)&gt;=$E33,$D17/12*'01 Major Assumptions'!BO$14,0)</f>
        <v>200000</v>
      </c>
    </row>
    <row r="61" spans="1:67">
      <c r="A61" s="11"/>
      <c r="B61" s="32" t="str">
        <f t="shared" si="7"/>
        <v>ISO/IEC 17025 — in-house laboratory accreditation</v>
      </c>
      <c r="C61" s="11"/>
      <c r="D61" s="33"/>
      <c r="E61" s="10" t="s">
        <v>13</v>
      </c>
      <c r="F61" s="10"/>
      <c r="G61" s="90">
        <f>IF(AND((DATEDIF('01 Major Assumptions'!$D$6,'01 Major Assumptions'!G$11,"m")+1)&gt;=$C34,(DATEDIF('01 Major Assumptions'!$D$6,'01 Major Assumptions'!G$11,"m")+1)&lt;$E34),$C18/$D34*'01 Major Assumptions'!G$14,0)+IF((DATEDIF('01 Major Assumptions'!$D$6,'01 Major Assumptions'!G$11,"m")+1)&gt;=$E34,$D18/12*'01 Major Assumptions'!G$14,0)</f>
        <v>0</v>
      </c>
      <c r="H61" s="90">
        <f>IF(AND((DATEDIF('01 Major Assumptions'!$D$6,'01 Major Assumptions'!H$11,"m")+1)&gt;=$C34,(DATEDIF('01 Major Assumptions'!$D$6,'01 Major Assumptions'!H$11,"m")+1)&lt;$E34),$C18/$D34*'01 Major Assumptions'!H$14,0)+IF((DATEDIF('01 Major Assumptions'!$D$6,'01 Major Assumptions'!H$11,"m")+1)&gt;=$E34,$D18/12*'01 Major Assumptions'!H$14,0)</f>
        <v>0</v>
      </c>
      <c r="I61" s="90">
        <f>IF(AND((DATEDIF('01 Major Assumptions'!$D$6,'01 Major Assumptions'!I$11,"m")+1)&gt;=$C34,(DATEDIF('01 Major Assumptions'!$D$6,'01 Major Assumptions'!I$11,"m")+1)&lt;$E34),$C18/$D34*'01 Major Assumptions'!I$14,0)+IF((DATEDIF('01 Major Assumptions'!$D$6,'01 Major Assumptions'!I$11,"m")+1)&gt;=$E34,$D18/12*'01 Major Assumptions'!I$14,0)</f>
        <v>0</v>
      </c>
      <c r="J61" s="90">
        <f>IF(AND((DATEDIF('01 Major Assumptions'!$D$6,'01 Major Assumptions'!J$11,"m")+1)&gt;=$C34,(DATEDIF('01 Major Assumptions'!$D$6,'01 Major Assumptions'!J$11,"m")+1)&lt;$E34),$C18/$D34*'01 Major Assumptions'!J$14,0)+IF((DATEDIF('01 Major Assumptions'!$D$6,'01 Major Assumptions'!J$11,"m")+1)&gt;=$E34,$D18/12*'01 Major Assumptions'!J$14,0)</f>
        <v>0</v>
      </c>
      <c r="K61" s="90">
        <f>IF(AND((DATEDIF('01 Major Assumptions'!$D$6,'01 Major Assumptions'!K$11,"m")+1)&gt;=$C34,(DATEDIF('01 Major Assumptions'!$D$6,'01 Major Assumptions'!K$11,"m")+1)&lt;$E34),$C18/$D34*'01 Major Assumptions'!K$14,0)+IF((DATEDIF('01 Major Assumptions'!$D$6,'01 Major Assumptions'!K$11,"m")+1)&gt;=$E34,$D18/12*'01 Major Assumptions'!K$14,0)</f>
        <v>0</v>
      </c>
      <c r="L61" s="90">
        <f>IF(AND((DATEDIF('01 Major Assumptions'!$D$6,'01 Major Assumptions'!L$11,"m")+1)&gt;=$C34,(DATEDIF('01 Major Assumptions'!$D$6,'01 Major Assumptions'!L$11,"m")+1)&lt;$E34),$C18/$D34*'01 Major Assumptions'!L$14,0)+IF((DATEDIF('01 Major Assumptions'!$D$6,'01 Major Assumptions'!L$11,"m")+1)&gt;=$E34,$D18/12*'01 Major Assumptions'!L$14,0)</f>
        <v>0</v>
      </c>
      <c r="M61" s="90">
        <f>IF(AND((DATEDIF('01 Major Assumptions'!$D$6,'01 Major Assumptions'!M$11,"m")+1)&gt;=$C34,(DATEDIF('01 Major Assumptions'!$D$6,'01 Major Assumptions'!M$11,"m")+1)&lt;$E34),$C18/$D34*'01 Major Assumptions'!M$14,0)+IF((DATEDIF('01 Major Assumptions'!$D$6,'01 Major Assumptions'!M$11,"m")+1)&gt;=$E34,$D18/12*'01 Major Assumptions'!M$14,0)</f>
        <v>0</v>
      </c>
      <c r="N61" s="90">
        <f>IF(AND((DATEDIF('01 Major Assumptions'!$D$6,'01 Major Assumptions'!N$11,"m")+1)&gt;=$C34,(DATEDIF('01 Major Assumptions'!$D$6,'01 Major Assumptions'!N$11,"m")+1)&lt;$E34),$C18/$D34*'01 Major Assumptions'!N$14,0)+IF((DATEDIF('01 Major Assumptions'!$D$6,'01 Major Assumptions'!N$11,"m")+1)&gt;=$E34,$D18/12*'01 Major Assumptions'!N$14,0)</f>
        <v>0</v>
      </c>
      <c r="O61" s="90">
        <f>IF(AND((DATEDIF('01 Major Assumptions'!$D$6,'01 Major Assumptions'!O$11,"m")+1)&gt;=$C34,(DATEDIF('01 Major Assumptions'!$D$6,'01 Major Assumptions'!O$11,"m")+1)&lt;$E34),$C18/$D34*'01 Major Assumptions'!O$14,0)+IF((DATEDIF('01 Major Assumptions'!$D$6,'01 Major Assumptions'!O$11,"m")+1)&gt;=$E34,$D18/12*'01 Major Assumptions'!O$14,0)</f>
        <v>0</v>
      </c>
      <c r="P61" s="90">
        <f>IF(AND((DATEDIF('01 Major Assumptions'!$D$6,'01 Major Assumptions'!P$11,"m")+1)&gt;=$C34,(DATEDIF('01 Major Assumptions'!$D$6,'01 Major Assumptions'!P$11,"m")+1)&lt;$E34),$C18/$D34*'01 Major Assumptions'!P$14,0)+IF((DATEDIF('01 Major Assumptions'!$D$6,'01 Major Assumptions'!P$11,"m")+1)&gt;=$E34,$D18/12*'01 Major Assumptions'!P$14,0)</f>
        <v>0</v>
      </c>
      <c r="Q61" s="90">
        <f>IF(AND((DATEDIF('01 Major Assumptions'!$D$6,'01 Major Assumptions'!Q$11,"m")+1)&gt;=$C34,(DATEDIF('01 Major Assumptions'!$D$6,'01 Major Assumptions'!Q$11,"m")+1)&lt;$E34),$C18/$D34*'01 Major Assumptions'!Q$14,0)+IF((DATEDIF('01 Major Assumptions'!$D$6,'01 Major Assumptions'!Q$11,"m")+1)&gt;=$E34,$D18/12*'01 Major Assumptions'!Q$14,0)</f>
        <v>0</v>
      </c>
      <c r="R61" s="90">
        <f>IF(AND((DATEDIF('01 Major Assumptions'!$D$6,'01 Major Assumptions'!R$11,"m")+1)&gt;=$C34,(DATEDIF('01 Major Assumptions'!$D$6,'01 Major Assumptions'!R$11,"m")+1)&lt;$E34),$C18/$D34*'01 Major Assumptions'!R$14,0)+IF((DATEDIF('01 Major Assumptions'!$D$6,'01 Major Assumptions'!R$11,"m")+1)&gt;=$E34,$D18/12*'01 Major Assumptions'!R$14,0)</f>
        <v>208333.33333333334</v>
      </c>
      <c r="S61" s="90">
        <f>IF(AND((DATEDIF('01 Major Assumptions'!$D$6,'01 Major Assumptions'!S$11,"m")+1)&gt;=$C34,(DATEDIF('01 Major Assumptions'!$D$6,'01 Major Assumptions'!S$11,"m")+1)&lt;$E34),$C18/$D34*'01 Major Assumptions'!S$14,0)+IF((DATEDIF('01 Major Assumptions'!$D$6,'01 Major Assumptions'!S$11,"m")+1)&gt;=$E34,$D18/12*'01 Major Assumptions'!S$14,0)</f>
        <v>208333.33333333334</v>
      </c>
      <c r="T61" s="90">
        <f>IF(AND((DATEDIF('01 Major Assumptions'!$D$6,'01 Major Assumptions'!T$11,"m")+1)&gt;=$C34,(DATEDIF('01 Major Assumptions'!$D$6,'01 Major Assumptions'!T$11,"m")+1)&lt;$E34),$C18/$D34*'01 Major Assumptions'!T$14,0)+IF((DATEDIF('01 Major Assumptions'!$D$6,'01 Major Assumptions'!T$11,"m")+1)&gt;=$E34,$D18/12*'01 Major Assumptions'!T$14,0)</f>
        <v>208333.33333333334</v>
      </c>
      <c r="U61" s="90">
        <f>IF(AND((DATEDIF('01 Major Assumptions'!$D$6,'01 Major Assumptions'!U$11,"m")+1)&gt;=$C34,(DATEDIF('01 Major Assumptions'!$D$6,'01 Major Assumptions'!U$11,"m")+1)&lt;$E34),$C18/$D34*'01 Major Assumptions'!U$14,0)+IF((DATEDIF('01 Major Assumptions'!$D$6,'01 Major Assumptions'!U$11,"m")+1)&gt;=$E34,$D18/12*'01 Major Assumptions'!U$14,0)</f>
        <v>208333.33333333334</v>
      </c>
      <c r="V61" s="90">
        <f>IF(AND((DATEDIF('01 Major Assumptions'!$D$6,'01 Major Assumptions'!V$11,"m")+1)&gt;=$C34,(DATEDIF('01 Major Assumptions'!$D$6,'01 Major Assumptions'!V$11,"m")+1)&lt;$E34),$C18/$D34*'01 Major Assumptions'!V$14,0)+IF((DATEDIF('01 Major Assumptions'!$D$6,'01 Major Assumptions'!V$11,"m")+1)&gt;=$E34,$D18/12*'01 Major Assumptions'!V$14,0)</f>
        <v>208333.33333333334</v>
      </c>
      <c r="W61" s="90">
        <f>IF(AND((DATEDIF('01 Major Assumptions'!$D$6,'01 Major Assumptions'!W$11,"m")+1)&gt;=$C34,(DATEDIF('01 Major Assumptions'!$D$6,'01 Major Assumptions'!W$11,"m")+1)&lt;$E34),$C18/$D34*'01 Major Assumptions'!W$14,0)+IF((DATEDIF('01 Major Assumptions'!$D$6,'01 Major Assumptions'!W$11,"m")+1)&gt;=$E34,$D18/12*'01 Major Assumptions'!W$14,0)</f>
        <v>208333.33333333334</v>
      </c>
      <c r="X61" s="90">
        <f>IF(AND((DATEDIF('01 Major Assumptions'!$D$6,'01 Major Assumptions'!X$11,"m")+1)&gt;=$C34,(DATEDIF('01 Major Assumptions'!$D$6,'01 Major Assumptions'!X$11,"m")+1)&lt;$E34),$C18/$D34*'01 Major Assumptions'!X$14,0)+IF((DATEDIF('01 Major Assumptions'!$D$6,'01 Major Assumptions'!X$11,"m")+1)&gt;=$E34,$D18/12*'01 Major Assumptions'!X$14,0)</f>
        <v>208333.33333333334</v>
      </c>
      <c r="Y61" s="90">
        <f>IF(AND((DATEDIF('01 Major Assumptions'!$D$6,'01 Major Assumptions'!Y$11,"m")+1)&gt;=$C34,(DATEDIF('01 Major Assumptions'!$D$6,'01 Major Assumptions'!Y$11,"m")+1)&lt;$E34),$C18/$D34*'01 Major Assumptions'!Y$14,0)+IF((DATEDIF('01 Major Assumptions'!$D$6,'01 Major Assumptions'!Y$11,"m")+1)&gt;=$E34,$D18/12*'01 Major Assumptions'!Y$14,0)</f>
        <v>208333.33333333334</v>
      </c>
      <c r="Z61" s="90">
        <f>IF(AND((DATEDIF('01 Major Assumptions'!$D$6,'01 Major Assumptions'!Z$11,"m")+1)&gt;=$C34,(DATEDIF('01 Major Assumptions'!$D$6,'01 Major Assumptions'!Z$11,"m")+1)&lt;$E34),$C18/$D34*'01 Major Assumptions'!Z$14,0)+IF((DATEDIF('01 Major Assumptions'!$D$6,'01 Major Assumptions'!Z$11,"m")+1)&gt;=$E34,$D18/12*'01 Major Assumptions'!Z$14,0)</f>
        <v>208333.33333333334</v>
      </c>
      <c r="AA61" s="90">
        <f>IF(AND((DATEDIF('01 Major Assumptions'!$D$6,'01 Major Assumptions'!AA$11,"m")+1)&gt;=$C34,(DATEDIF('01 Major Assumptions'!$D$6,'01 Major Assumptions'!AA$11,"m")+1)&lt;$E34),$C18/$D34*'01 Major Assumptions'!AA$14,0)+IF((DATEDIF('01 Major Assumptions'!$D$6,'01 Major Assumptions'!AA$11,"m")+1)&gt;=$E34,$D18/12*'01 Major Assumptions'!AA$14,0)</f>
        <v>208333.33333333334</v>
      </c>
      <c r="AB61" s="90">
        <f>IF(AND((DATEDIF('01 Major Assumptions'!$D$6,'01 Major Assumptions'!AB$11,"m")+1)&gt;=$C34,(DATEDIF('01 Major Assumptions'!$D$6,'01 Major Assumptions'!AB$11,"m")+1)&lt;$E34),$C18/$D34*'01 Major Assumptions'!AB$14,0)+IF((DATEDIF('01 Major Assumptions'!$D$6,'01 Major Assumptions'!AB$11,"m")+1)&gt;=$E34,$D18/12*'01 Major Assumptions'!AB$14,0)</f>
        <v>208333.33333333334</v>
      </c>
      <c r="AC61" s="90">
        <f>IF(AND((DATEDIF('01 Major Assumptions'!$D$6,'01 Major Assumptions'!AC$11,"m")+1)&gt;=$C34,(DATEDIF('01 Major Assumptions'!$D$6,'01 Major Assumptions'!AC$11,"m")+1)&lt;$E34),$C18/$D34*'01 Major Assumptions'!AC$14,0)+IF((DATEDIF('01 Major Assumptions'!$D$6,'01 Major Assumptions'!AC$11,"m")+1)&gt;=$E34,$D18/12*'01 Major Assumptions'!AC$14,0)</f>
        <v>208333.33333333334</v>
      </c>
      <c r="AD61" s="90">
        <f>IF(AND((DATEDIF('01 Major Assumptions'!$D$6,'01 Major Assumptions'!AD$11,"m")+1)&gt;=$C34,(DATEDIF('01 Major Assumptions'!$D$6,'01 Major Assumptions'!AD$11,"m")+1)&lt;$E34),$C18/$D34*'01 Major Assumptions'!AD$14,0)+IF((DATEDIF('01 Major Assumptions'!$D$6,'01 Major Assumptions'!AD$11,"m")+1)&gt;=$E34,$D18/12*'01 Major Assumptions'!AD$14,0)</f>
        <v>33333.333333333336</v>
      </c>
      <c r="AE61" s="90">
        <f>IF(AND((DATEDIF('01 Major Assumptions'!$D$6,'01 Major Assumptions'!AE$11,"m")+1)&gt;=$C34,(DATEDIF('01 Major Assumptions'!$D$6,'01 Major Assumptions'!AE$11,"m")+1)&lt;$E34),$C18/$D34*'01 Major Assumptions'!AE$14,0)+IF((DATEDIF('01 Major Assumptions'!$D$6,'01 Major Assumptions'!AE$11,"m")+1)&gt;=$E34,$D18/12*'01 Major Assumptions'!AE$14,0)</f>
        <v>33333.333333333336</v>
      </c>
      <c r="AF61" s="90">
        <f>IF(AND((DATEDIF('01 Major Assumptions'!$D$6,'01 Major Assumptions'!AF$11,"m")+1)&gt;=$C34,(DATEDIF('01 Major Assumptions'!$D$6,'01 Major Assumptions'!AF$11,"m")+1)&lt;$E34),$C18/$D34*'01 Major Assumptions'!AF$14,0)+IF((DATEDIF('01 Major Assumptions'!$D$6,'01 Major Assumptions'!AF$11,"m")+1)&gt;=$E34,$D18/12*'01 Major Assumptions'!AF$14,0)</f>
        <v>33333.333333333336</v>
      </c>
      <c r="AG61" s="90">
        <f>IF(AND((DATEDIF('01 Major Assumptions'!$D$6,'01 Major Assumptions'!AG$11,"m")+1)&gt;=$C34,(DATEDIF('01 Major Assumptions'!$D$6,'01 Major Assumptions'!AG$11,"m")+1)&lt;$E34),$C18/$D34*'01 Major Assumptions'!AG$14,0)+IF((DATEDIF('01 Major Assumptions'!$D$6,'01 Major Assumptions'!AG$11,"m")+1)&gt;=$E34,$D18/12*'01 Major Assumptions'!AG$14,0)</f>
        <v>33333.333333333336</v>
      </c>
      <c r="AH61" s="90">
        <f>IF(AND((DATEDIF('01 Major Assumptions'!$D$6,'01 Major Assumptions'!AH$11,"m")+1)&gt;=$C34,(DATEDIF('01 Major Assumptions'!$D$6,'01 Major Assumptions'!AH$11,"m")+1)&lt;$E34),$C18/$D34*'01 Major Assumptions'!AH$14,0)+IF((DATEDIF('01 Major Assumptions'!$D$6,'01 Major Assumptions'!AH$11,"m")+1)&gt;=$E34,$D18/12*'01 Major Assumptions'!AH$14,0)</f>
        <v>33333.333333333336</v>
      </c>
      <c r="AI61" s="90">
        <f>IF(AND((DATEDIF('01 Major Assumptions'!$D$6,'01 Major Assumptions'!AI$11,"m")+1)&gt;=$C34,(DATEDIF('01 Major Assumptions'!$D$6,'01 Major Assumptions'!AI$11,"m")+1)&lt;$E34),$C18/$D34*'01 Major Assumptions'!AI$14,0)+IF((DATEDIF('01 Major Assumptions'!$D$6,'01 Major Assumptions'!AI$11,"m")+1)&gt;=$E34,$D18/12*'01 Major Assumptions'!AI$14,0)</f>
        <v>33333.333333333336</v>
      </c>
      <c r="AJ61" s="90">
        <f>IF(AND((DATEDIF('01 Major Assumptions'!$D$6,'01 Major Assumptions'!AJ$11,"m")+1)&gt;=$C34,(DATEDIF('01 Major Assumptions'!$D$6,'01 Major Assumptions'!AJ$11,"m")+1)&lt;$E34),$C18/$D34*'01 Major Assumptions'!AJ$14,0)+IF((DATEDIF('01 Major Assumptions'!$D$6,'01 Major Assumptions'!AJ$11,"m")+1)&gt;=$E34,$D18/12*'01 Major Assumptions'!AJ$14,0)</f>
        <v>33333.333333333336</v>
      </c>
      <c r="AK61" s="90">
        <f>IF(AND((DATEDIF('01 Major Assumptions'!$D$6,'01 Major Assumptions'!AK$11,"m")+1)&gt;=$C34,(DATEDIF('01 Major Assumptions'!$D$6,'01 Major Assumptions'!AK$11,"m")+1)&lt;$E34),$C18/$D34*'01 Major Assumptions'!AK$14,0)+IF((DATEDIF('01 Major Assumptions'!$D$6,'01 Major Assumptions'!AK$11,"m")+1)&gt;=$E34,$D18/12*'01 Major Assumptions'!AK$14,0)</f>
        <v>33333.333333333336</v>
      </c>
      <c r="AL61" s="90">
        <f>IF(AND((DATEDIF('01 Major Assumptions'!$D$6,'01 Major Assumptions'!AL$11,"m")+1)&gt;=$C34,(DATEDIF('01 Major Assumptions'!$D$6,'01 Major Assumptions'!AL$11,"m")+1)&lt;$E34),$C18/$D34*'01 Major Assumptions'!AL$14,0)+IF((DATEDIF('01 Major Assumptions'!$D$6,'01 Major Assumptions'!AL$11,"m")+1)&gt;=$E34,$D18/12*'01 Major Assumptions'!AL$14,0)</f>
        <v>33333.333333333336</v>
      </c>
      <c r="AM61" s="90">
        <f>IF(AND((DATEDIF('01 Major Assumptions'!$D$6,'01 Major Assumptions'!AM$11,"m")+1)&gt;=$C34,(DATEDIF('01 Major Assumptions'!$D$6,'01 Major Assumptions'!AM$11,"m")+1)&lt;$E34),$C18/$D34*'01 Major Assumptions'!AM$14,0)+IF((DATEDIF('01 Major Assumptions'!$D$6,'01 Major Assumptions'!AM$11,"m")+1)&gt;=$E34,$D18/12*'01 Major Assumptions'!AM$14,0)</f>
        <v>33333.333333333336</v>
      </c>
      <c r="AN61" s="90">
        <f>IF(AND((DATEDIF('01 Major Assumptions'!$D$6,'01 Major Assumptions'!AN$11,"m")+1)&gt;=$C34,(DATEDIF('01 Major Assumptions'!$D$6,'01 Major Assumptions'!AN$11,"m")+1)&lt;$E34),$C18/$D34*'01 Major Assumptions'!AN$14,0)+IF((DATEDIF('01 Major Assumptions'!$D$6,'01 Major Assumptions'!AN$11,"m")+1)&gt;=$E34,$D18/12*'01 Major Assumptions'!AN$14,0)</f>
        <v>33333.333333333336</v>
      </c>
      <c r="AO61" s="90">
        <f>IF(AND((DATEDIF('01 Major Assumptions'!$D$6,'01 Major Assumptions'!AO$11,"m")+1)&gt;=$C34,(DATEDIF('01 Major Assumptions'!$D$6,'01 Major Assumptions'!AO$11,"m")+1)&lt;$E34),$C18/$D34*'01 Major Assumptions'!AO$14,0)+IF((DATEDIF('01 Major Assumptions'!$D$6,'01 Major Assumptions'!AO$11,"m")+1)&gt;=$E34,$D18/12*'01 Major Assumptions'!AO$14,0)</f>
        <v>33333.333333333336</v>
      </c>
      <c r="AP61" s="90">
        <f>IF(AND((DATEDIF('01 Major Assumptions'!$D$6,'01 Major Assumptions'!AP$11,"m")+1)&gt;=$C34,(DATEDIF('01 Major Assumptions'!$D$6,'01 Major Assumptions'!AP$11,"m")+1)&lt;$E34),$C18/$D34*'01 Major Assumptions'!AP$14,0)+IF((DATEDIF('01 Major Assumptions'!$D$6,'01 Major Assumptions'!AP$11,"m")+1)&gt;=$E34,$D18/12*'01 Major Assumptions'!AP$14,0)</f>
        <v>33333.333333333336</v>
      </c>
      <c r="AQ61" s="90">
        <f>IF(AND((DATEDIF('01 Major Assumptions'!$D$6,'01 Major Assumptions'!AQ$11,"m")+1)&gt;=$C34,(DATEDIF('01 Major Assumptions'!$D$6,'01 Major Assumptions'!AQ$11,"m")+1)&lt;$E34),$C18/$D34*'01 Major Assumptions'!AQ$14,0)+IF((DATEDIF('01 Major Assumptions'!$D$6,'01 Major Assumptions'!AQ$11,"m")+1)&gt;=$E34,$D18/12*'01 Major Assumptions'!AQ$14,0)</f>
        <v>33333.333333333336</v>
      </c>
      <c r="AR61" s="90">
        <f>IF(AND((DATEDIF('01 Major Assumptions'!$D$6,'01 Major Assumptions'!AR$11,"m")+1)&gt;=$C34,(DATEDIF('01 Major Assumptions'!$D$6,'01 Major Assumptions'!AR$11,"m")+1)&lt;$E34),$C18/$D34*'01 Major Assumptions'!AR$14,0)+IF((DATEDIF('01 Major Assumptions'!$D$6,'01 Major Assumptions'!AR$11,"m")+1)&gt;=$E34,$D18/12*'01 Major Assumptions'!AR$14,0)</f>
        <v>33333.333333333336</v>
      </c>
      <c r="AS61" s="90">
        <f>IF(AND((DATEDIF('01 Major Assumptions'!$D$6,'01 Major Assumptions'!AS$11,"m")+1)&gt;=$C34,(DATEDIF('01 Major Assumptions'!$D$6,'01 Major Assumptions'!AS$11,"m")+1)&lt;$E34),$C18/$D34*'01 Major Assumptions'!AS$14,0)+IF((DATEDIF('01 Major Assumptions'!$D$6,'01 Major Assumptions'!AS$11,"m")+1)&gt;=$E34,$D18/12*'01 Major Assumptions'!AS$14,0)</f>
        <v>33333.333333333336</v>
      </c>
      <c r="AT61" s="90">
        <f>IF(AND((DATEDIF('01 Major Assumptions'!$D$6,'01 Major Assumptions'!AT$11,"m")+1)&gt;=$C34,(DATEDIF('01 Major Assumptions'!$D$6,'01 Major Assumptions'!AT$11,"m")+1)&lt;$E34),$C18/$D34*'01 Major Assumptions'!AT$14,0)+IF((DATEDIF('01 Major Assumptions'!$D$6,'01 Major Assumptions'!AT$11,"m")+1)&gt;=$E34,$D18/12*'01 Major Assumptions'!AT$14,0)</f>
        <v>33333.333333333336</v>
      </c>
      <c r="AU61" s="90">
        <f>IF(AND((DATEDIF('01 Major Assumptions'!$D$6,'01 Major Assumptions'!AU$11,"m")+1)&gt;=$C34,(DATEDIF('01 Major Assumptions'!$D$6,'01 Major Assumptions'!AU$11,"m")+1)&lt;$E34),$C18/$D34*'01 Major Assumptions'!AU$14,0)+IF((DATEDIF('01 Major Assumptions'!$D$6,'01 Major Assumptions'!AU$11,"m")+1)&gt;=$E34,$D18/12*'01 Major Assumptions'!AU$14,0)</f>
        <v>33333.333333333336</v>
      </c>
      <c r="AV61" s="90">
        <f>IF(AND((DATEDIF('01 Major Assumptions'!$D$6,'01 Major Assumptions'!AV$11,"m")+1)&gt;=$C34,(DATEDIF('01 Major Assumptions'!$D$6,'01 Major Assumptions'!AV$11,"m")+1)&lt;$E34),$C18/$D34*'01 Major Assumptions'!AV$14,0)+IF((DATEDIF('01 Major Assumptions'!$D$6,'01 Major Assumptions'!AV$11,"m")+1)&gt;=$E34,$D18/12*'01 Major Assumptions'!AV$14,0)</f>
        <v>33333.333333333336</v>
      </c>
      <c r="AW61" s="90">
        <f>IF(AND((DATEDIF('01 Major Assumptions'!$D$6,'01 Major Assumptions'!AW$11,"m")+1)&gt;=$C34,(DATEDIF('01 Major Assumptions'!$D$6,'01 Major Assumptions'!AW$11,"m")+1)&lt;$E34),$C18/$D34*'01 Major Assumptions'!AW$14,0)+IF((DATEDIF('01 Major Assumptions'!$D$6,'01 Major Assumptions'!AW$11,"m")+1)&gt;=$E34,$D18/12*'01 Major Assumptions'!AW$14,0)</f>
        <v>33333.333333333336</v>
      </c>
      <c r="AX61" s="90">
        <f>IF(AND((DATEDIF('01 Major Assumptions'!$D$6,'01 Major Assumptions'!AX$11,"m")+1)&gt;=$C34,(DATEDIF('01 Major Assumptions'!$D$6,'01 Major Assumptions'!AX$11,"m")+1)&lt;$E34),$C18/$D34*'01 Major Assumptions'!AX$14,0)+IF((DATEDIF('01 Major Assumptions'!$D$6,'01 Major Assumptions'!AX$11,"m")+1)&gt;=$E34,$D18/12*'01 Major Assumptions'!AX$14,0)</f>
        <v>33333.333333333336</v>
      </c>
      <c r="AY61" s="90">
        <f>IF(AND((DATEDIF('01 Major Assumptions'!$D$6,'01 Major Assumptions'!AY$11,"m")+1)&gt;=$C34,(DATEDIF('01 Major Assumptions'!$D$6,'01 Major Assumptions'!AY$11,"m")+1)&lt;$E34),$C18/$D34*'01 Major Assumptions'!AY$14,0)+IF((DATEDIF('01 Major Assumptions'!$D$6,'01 Major Assumptions'!AY$11,"m")+1)&gt;=$E34,$D18/12*'01 Major Assumptions'!AY$14,0)</f>
        <v>33333.333333333336</v>
      </c>
      <c r="AZ61" s="90">
        <f>IF(AND((DATEDIF('01 Major Assumptions'!$D$6,'01 Major Assumptions'!AZ$11,"m")+1)&gt;=$C34,(DATEDIF('01 Major Assumptions'!$D$6,'01 Major Assumptions'!AZ$11,"m")+1)&lt;$E34),$C18/$D34*'01 Major Assumptions'!AZ$14,0)+IF((DATEDIF('01 Major Assumptions'!$D$6,'01 Major Assumptions'!AZ$11,"m")+1)&gt;=$E34,$D18/12*'01 Major Assumptions'!AZ$14,0)</f>
        <v>33333.333333333336</v>
      </c>
      <c r="BA61" s="90">
        <f>IF(AND((DATEDIF('01 Major Assumptions'!$D$6,'01 Major Assumptions'!BA$11,"m")+1)&gt;=$C34,(DATEDIF('01 Major Assumptions'!$D$6,'01 Major Assumptions'!BA$11,"m")+1)&lt;$E34),$C18/$D34*'01 Major Assumptions'!BA$14,0)+IF((DATEDIF('01 Major Assumptions'!$D$6,'01 Major Assumptions'!BA$11,"m")+1)&gt;=$E34,$D18/12*'01 Major Assumptions'!BA$14,0)</f>
        <v>33333.333333333336</v>
      </c>
      <c r="BB61" s="90">
        <f>IF(AND((DATEDIF('01 Major Assumptions'!$D$6,'01 Major Assumptions'!BB$11,"m")+1)&gt;=$C34,(DATEDIF('01 Major Assumptions'!$D$6,'01 Major Assumptions'!BB$11,"m")+1)&lt;$E34),$C18/$D34*'01 Major Assumptions'!BB$14,0)+IF((DATEDIF('01 Major Assumptions'!$D$6,'01 Major Assumptions'!BB$11,"m")+1)&gt;=$E34,$D18/12*'01 Major Assumptions'!BB$14,0)</f>
        <v>33333.333333333336</v>
      </c>
      <c r="BC61" s="90">
        <f>IF(AND((DATEDIF('01 Major Assumptions'!$D$6,'01 Major Assumptions'!BC$11,"m")+1)&gt;=$C34,(DATEDIF('01 Major Assumptions'!$D$6,'01 Major Assumptions'!BC$11,"m")+1)&lt;$E34),$C18/$D34*'01 Major Assumptions'!BC$14,0)+IF((DATEDIF('01 Major Assumptions'!$D$6,'01 Major Assumptions'!BC$11,"m")+1)&gt;=$E34,$D18/12*'01 Major Assumptions'!BC$14,0)</f>
        <v>33333.333333333336</v>
      </c>
      <c r="BD61" s="90">
        <f>IF(AND((DATEDIF('01 Major Assumptions'!$D$6,'01 Major Assumptions'!BD$11,"m")+1)&gt;=$C34,(DATEDIF('01 Major Assumptions'!$D$6,'01 Major Assumptions'!BD$11,"m")+1)&lt;$E34),$C18/$D34*'01 Major Assumptions'!BD$14,0)+IF((DATEDIF('01 Major Assumptions'!$D$6,'01 Major Assumptions'!BD$11,"m")+1)&gt;=$E34,$D18/12*'01 Major Assumptions'!BD$14,0)</f>
        <v>33333.333333333336</v>
      </c>
      <c r="BE61" s="90">
        <f>IF(AND((DATEDIF('01 Major Assumptions'!$D$6,'01 Major Assumptions'!BE$11,"m")+1)&gt;=$C34,(DATEDIF('01 Major Assumptions'!$D$6,'01 Major Assumptions'!BE$11,"m")+1)&lt;$E34),$C18/$D34*'01 Major Assumptions'!BE$14,0)+IF((DATEDIF('01 Major Assumptions'!$D$6,'01 Major Assumptions'!BE$11,"m")+1)&gt;=$E34,$D18/12*'01 Major Assumptions'!BE$14,0)</f>
        <v>33333.333333333336</v>
      </c>
      <c r="BF61" s="90">
        <f>IF(AND((DATEDIF('01 Major Assumptions'!$D$6,'01 Major Assumptions'!BF$11,"m")+1)&gt;=$C34,(DATEDIF('01 Major Assumptions'!$D$6,'01 Major Assumptions'!BF$11,"m")+1)&lt;$E34),$C18/$D34*'01 Major Assumptions'!BF$14,0)+IF((DATEDIF('01 Major Assumptions'!$D$6,'01 Major Assumptions'!BF$11,"m")+1)&gt;=$E34,$D18/12*'01 Major Assumptions'!BF$14,0)</f>
        <v>33333.333333333336</v>
      </c>
      <c r="BG61" s="90">
        <f>IF(AND((DATEDIF('01 Major Assumptions'!$D$6,'01 Major Assumptions'!BG$11,"m")+1)&gt;=$C34,(DATEDIF('01 Major Assumptions'!$D$6,'01 Major Assumptions'!BG$11,"m")+1)&lt;$E34),$C18/$D34*'01 Major Assumptions'!BG$14,0)+IF((DATEDIF('01 Major Assumptions'!$D$6,'01 Major Assumptions'!BG$11,"m")+1)&gt;=$E34,$D18/12*'01 Major Assumptions'!BG$14,0)</f>
        <v>33333.333333333336</v>
      </c>
      <c r="BH61" s="90">
        <f>IF(AND((DATEDIF('01 Major Assumptions'!$D$6,'01 Major Assumptions'!BH$11,"m")+1)&gt;=$C34,(DATEDIF('01 Major Assumptions'!$D$6,'01 Major Assumptions'!BH$11,"m")+1)&lt;$E34),$C18/$D34*'01 Major Assumptions'!BH$14,0)+IF((DATEDIF('01 Major Assumptions'!$D$6,'01 Major Assumptions'!BH$11,"m")+1)&gt;=$E34,$D18/12*'01 Major Assumptions'!BH$14,0)</f>
        <v>33333.333333333336</v>
      </c>
      <c r="BI61" s="90">
        <f>IF(AND((DATEDIF('01 Major Assumptions'!$D$6,'01 Major Assumptions'!BI$11,"m")+1)&gt;=$C34,(DATEDIF('01 Major Assumptions'!$D$6,'01 Major Assumptions'!BI$11,"m")+1)&lt;$E34),$C18/$D34*'01 Major Assumptions'!BI$14,0)+IF((DATEDIF('01 Major Assumptions'!$D$6,'01 Major Assumptions'!BI$11,"m")+1)&gt;=$E34,$D18/12*'01 Major Assumptions'!BI$14,0)</f>
        <v>400000</v>
      </c>
      <c r="BJ61" s="90">
        <f>IF(AND((DATEDIF('01 Major Assumptions'!$D$6,'01 Major Assumptions'!BJ$11,"m")+1)&gt;=$C34,(DATEDIF('01 Major Assumptions'!$D$6,'01 Major Assumptions'!BJ$11,"m")+1)&lt;$E34),$C18/$D34*'01 Major Assumptions'!BJ$14,0)+IF((DATEDIF('01 Major Assumptions'!$D$6,'01 Major Assumptions'!BJ$11,"m")+1)&gt;=$E34,$D18/12*'01 Major Assumptions'!BJ$14,0)</f>
        <v>400000</v>
      </c>
      <c r="BK61" s="90">
        <f>IF(AND((DATEDIF('01 Major Assumptions'!$D$6,'01 Major Assumptions'!BK$11,"m")+1)&gt;=$C34,(DATEDIF('01 Major Assumptions'!$D$6,'01 Major Assumptions'!BK$11,"m")+1)&lt;$E34),$C18/$D34*'01 Major Assumptions'!BK$14,0)+IF((DATEDIF('01 Major Assumptions'!$D$6,'01 Major Assumptions'!BK$11,"m")+1)&gt;=$E34,$D18/12*'01 Major Assumptions'!BK$14,0)</f>
        <v>400000</v>
      </c>
      <c r="BL61" s="90">
        <f>IF(AND((DATEDIF('01 Major Assumptions'!$D$6,'01 Major Assumptions'!BL$11,"m")+1)&gt;=$C34,(DATEDIF('01 Major Assumptions'!$D$6,'01 Major Assumptions'!BL$11,"m")+1)&lt;$E34),$C18/$D34*'01 Major Assumptions'!BL$14,0)+IF((DATEDIF('01 Major Assumptions'!$D$6,'01 Major Assumptions'!BL$11,"m")+1)&gt;=$E34,$D18/12*'01 Major Assumptions'!BL$14,0)</f>
        <v>400000</v>
      </c>
      <c r="BM61" s="90">
        <f>IF(AND((DATEDIF('01 Major Assumptions'!$D$6,'01 Major Assumptions'!BM$11,"m")+1)&gt;=$C34,(DATEDIF('01 Major Assumptions'!$D$6,'01 Major Assumptions'!BM$11,"m")+1)&lt;$E34),$C18/$D34*'01 Major Assumptions'!BM$14,0)+IF((DATEDIF('01 Major Assumptions'!$D$6,'01 Major Assumptions'!BM$11,"m")+1)&gt;=$E34,$D18/12*'01 Major Assumptions'!BM$14,0)</f>
        <v>400000</v>
      </c>
      <c r="BN61" s="90">
        <f>IF(AND((DATEDIF('01 Major Assumptions'!$D$6,'01 Major Assumptions'!BN$11,"m")+1)&gt;=$C34,(DATEDIF('01 Major Assumptions'!$D$6,'01 Major Assumptions'!BN$11,"m")+1)&lt;$E34),$C18/$D34*'01 Major Assumptions'!BN$14,0)+IF((DATEDIF('01 Major Assumptions'!$D$6,'01 Major Assumptions'!BN$11,"m")+1)&gt;=$E34,$D18/12*'01 Major Assumptions'!BN$14,0)</f>
        <v>400000</v>
      </c>
      <c r="BO61" s="90">
        <f>IF(AND((DATEDIF('01 Major Assumptions'!$D$6,'01 Major Assumptions'!BO$11,"m")+1)&gt;=$C34,(DATEDIF('01 Major Assumptions'!$D$6,'01 Major Assumptions'!BO$11,"m")+1)&lt;$E34),$C18/$D34*'01 Major Assumptions'!BO$14,0)+IF((DATEDIF('01 Major Assumptions'!$D$6,'01 Major Assumptions'!BO$11,"m")+1)&gt;=$E34,$D18/12*'01 Major Assumptions'!BO$14,0)</f>
        <v>400000</v>
      </c>
    </row>
    <row r="62" spans="1:67">
      <c r="A62" s="11"/>
      <c r="B62" s="32" t="str">
        <f t="shared" si="7"/>
        <v>Thailand factory licence (Ror Ngor 4) &amp; environmental permits</v>
      </c>
      <c r="C62" s="11"/>
      <c r="D62" s="33"/>
      <c r="E62" s="10" t="s">
        <v>13</v>
      </c>
      <c r="F62" s="10"/>
      <c r="G62" s="90">
        <f>IF(AND((DATEDIF('01 Major Assumptions'!$D$6,'01 Major Assumptions'!G$11,"m")+1)&gt;=$C35,(DATEDIF('01 Major Assumptions'!$D$6,'01 Major Assumptions'!G$11,"m")+1)&lt;$E35),$C19/$D35*'01 Major Assumptions'!G$14,0)+IF((DATEDIF('01 Major Assumptions'!$D$6,'01 Major Assumptions'!G$11,"m")+1)&gt;=$E35,$D19/12*'01 Major Assumptions'!G$14,0)</f>
        <v>125000</v>
      </c>
      <c r="H62" s="90">
        <f>IF(AND((DATEDIF('01 Major Assumptions'!$D$6,'01 Major Assumptions'!H$11,"m")+1)&gt;=$C35,(DATEDIF('01 Major Assumptions'!$D$6,'01 Major Assumptions'!H$11,"m")+1)&lt;$E35),$C19/$D35*'01 Major Assumptions'!H$14,0)+IF((DATEDIF('01 Major Assumptions'!$D$6,'01 Major Assumptions'!H$11,"m")+1)&gt;=$E35,$D19/12*'01 Major Assumptions'!H$14,0)</f>
        <v>125000</v>
      </c>
      <c r="I62" s="90">
        <f>IF(AND((DATEDIF('01 Major Assumptions'!$D$6,'01 Major Assumptions'!I$11,"m")+1)&gt;=$C35,(DATEDIF('01 Major Assumptions'!$D$6,'01 Major Assumptions'!I$11,"m")+1)&lt;$E35),$C19/$D35*'01 Major Assumptions'!I$14,0)+IF((DATEDIF('01 Major Assumptions'!$D$6,'01 Major Assumptions'!I$11,"m")+1)&gt;=$E35,$D19/12*'01 Major Assumptions'!I$14,0)</f>
        <v>125000</v>
      </c>
      <c r="J62" s="90">
        <f>IF(AND((DATEDIF('01 Major Assumptions'!$D$6,'01 Major Assumptions'!J$11,"m")+1)&gt;=$C35,(DATEDIF('01 Major Assumptions'!$D$6,'01 Major Assumptions'!J$11,"m")+1)&lt;$E35),$C19/$D35*'01 Major Assumptions'!J$14,0)+IF((DATEDIF('01 Major Assumptions'!$D$6,'01 Major Assumptions'!J$11,"m")+1)&gt;=$E35,$D19/12*'01 Major Assumptions'!J$14,0)</f>
        <v>125000</v>
      </c>
      <c r="K62" s="90">
        <f>IF(AND((DATEDIF('01 Major Assumptions'!$D$6,'01 Major Assumptions'!K$11,"m")+1)&gt;=$C35,(DATEDIF('01 Major Assumptions'!$D$6,'01 Major Assumptions'!K$11,"m")+1)&lt;$E35),$C19/$D35*'01 Major Assumptions'!K$14,0)+IF((DATEDIF('01 Major Assumptions'!$D$6,'01 Major Assumptions'!K$11,"m")+1)&gt;=$E35,$D19/12*'01 Major Assumptions'!K$14,0)</f>
        <v>125000</v>
      </c>
      <c r="L62" s="90">
        <f>IF(AND((DATEDIF('01 Major Assumptions'!$D$6,'01 Major Assumptions'!L$11,"m")+1)&gt;=$C35,(DATEDIF('01 Major Assumptions'!$D$6,'01 Major Assumptions'!L$11,"m")+1)&lt;$E35),$C19/$D35*'01 Major Assumptions'!L$14,0)+IF((DATEDIF('01 Major Assumptions'!$D$6,'01 Major Assumptions'!L$11,"m")+1)&gt;=$E35,$D19/12*'01 Major Assumptions'!L$14,0)</f>
        <v>125000</v>
      </c>
      <c r="M62" s="90">
        <f>IF(AND((DATEDIF('01 Major Assumptions'!$D$6,'01 Major Assumptions'!M$11,"m")+1)&gt;=$C35,(DATEDIF('01 Major Assumptions'!$D$6,'01 Major Assumptions'!M$11,"m")+1)&lt;$E35),$C19/$D35*'01 Major Assumptions'!M$14,0)+IF((DATEDIF('01 Major Assumptions'!$D$6,'01 Major Assumptions'!M$11,"m")+1)&gt;=$E35,$D19/12*'01 Major Assumptions'!M$14,0)</f>
        <v>125000</v>
      </c>
      <c r="N62" s="90">
        <f>IF(AND((DATEDIF('01 Major Assumptions'!$D$6,'01 Major Assumptions'!N$11,"m")+1)&gt;=$C35,(DATEDIF('01 Major Assumptions'!$D$6,'01 Major Assumptions'!N$11,"m")+1)&lt;$E35),$C19/$D35*'01 Major Assumptions'!N$14,0)+IF((DATEDIF('01 Major Assumptions'!$D$6,'01 Major Assumptions'!N$11,"m")+1)&gt;=$E35,$D19/12*'01 Major Assumptions'!N$14,0)</f>
        <v>125000</v>
      </c>
      <c r="O62" s="90">
        <f>IF(AND((DATEDIF('01 Major Assumptions'!$D$6,'01 Major Assumptions'!O$11,"m")+1)&gt;=$C35,(DATEDIF('01 Major Assumptions'!$D$6,'01 Major Assumptions'!O$11,"m")+1)&lt;$E35),$C19/$D35*'01 Major Assumptions'!O$14,0)+IF((DATEDIF('01 Major Assumptions'!$D$6,'01 Major Assumptions'!O$11,"m")+1)&gt;=$E35,$D19/12*'01 Major Assumptions'!O$14,0)</f>
        <v>125000</v>
      </c>
      <c r="P62" s="90">
        <f>IF(AND((DATEDIF('01 Major Assumptions'!$D$6,'01 Major Assumptions'!P$11,"m")+1)&gt;=$C35,(DATEDIF('01 Major Assumptions'!$D$6,'01 Major Assumptions'!P$11,"m")+1)&lt;$E35),$C19/$D35*'01 Major Assumptions'!P$14,0)+IF((DATEDIF('01 Major Assumptions'!$D$6,'01 Major Assumptions'!P$11,"m")+1)&gt;=$E35,$D19/12*'01 Major Assumptions'!P$14,0)</f>
        <v>125000</v>
      </c>
      <c r="Q62" s="90">
        <f>IF(AND((DATEDIF('01 Major Assumptions'!$D$6,'01 Major Assumptions'!Q$11,"m")+1)&gt;=$C35,(DATEDIF('01 Major Assumptions'!$D$6,'01 Major Assumptions'!Q$11,"m")+1)&lt;$E35),$C19/$D35*'01 Major Assumptions'!Q$14,0)+IF((DATEDIF('01 Major Assumptions'!$D$6,'01 Major Assumptions'!Q$11,"m")+1)&gt;=$E35,$D19/12*'01 Major Assumptions'!Q$14,0)</f>
        <v>125000</v>
      </c>
      <c r="R62" s="90">
        <f>IF(AND((DATEDIF('01 Major Assumptions'!$D$6,'01 Major Assumptions'!R$11,"m")+1)&gt;=$C35,(DATEDIF('01 Major Assumptions'!$D$6,'01 Major Assumptions'!R$11,"m")+1)&lt;$E35),$C19/$D35*'01 Major Assumptions'!R$14,0)+IF((DATEDIF('01 Major Assumptions'!$D$6,'01 Major Assumptions'!R$11,"m")+1)&gt;=$E35,$D19/12*'01 Major Assumptions'!R$14,0)</f>
        <v>125000</v>
      </c>
      <c r="S62" s="90">
        <f>IF(AND((DATEDIF('01 Major Assumptions'!$D$6,'01 Major Assumptions'!S$11,"m")+1)&gt;=$C35,(DATEDIF('01 Major Assumptions'!$D$6,'01 Major Assumptions'!S$11,"m")+1)&lt;$E35),$C19/$D35*'01 Major Assumptions'!S$14,0)+IF((DATEDIF('01 Major Assumptions'!$D$6,'01 Major Assumptions'!S$11,"m")+1)&gt;=$E35,$D19/12*'01 Major Assumptions'!S$14,0)</f>
        <v>16666.666666666668</v>
      </c>
      <c r="T62" s="90">
        <f>IF(AND((DATEDIF('01 Major Assumptions'!$D$6,'01 Major Assumptions'!T$11,"m")+1)&gt;=$C35,(DATEDIF('01 Major Assumptions'!$D$6,'01 Major Assumptions'!T$11,"m")+1)&lt;$E35),$C19/$D35*'01 Major Assumptions'!T$14,0)+IF((DATEDIF('01 Major Assumptions'!$D$6,'01 Major Assumptions'!T$11,"m")+1)&gt;=$E35,$D19/12*'01 Major Assumptions'!T$14,0)</f>
        <v>16666.666666666668</v>
      </c>
      <c r="U62" s="90">
        <f>IF(AND((DATEDIF('01 Major Assumptions'!$D$6,'01 Major Assumptions'!U$11,"m")+1)&gt;=$C35,(DATEDIF('01 Major Assumptions'!$D$6,'01 Major Assumptions'!U$11,"m")+1)&lt;$E35),$C19/$D35*'01 Major Assumptions'!U$14,0)+IF((DATEDIF('01 Major Assumptions'!$D$6,'01 Major Assumptions'!U$11,"m")+1)&gt;=$E35,$D19/12*'01 Major Assumptions'!U$14,0)</f>
        <v>16666.666666666668</v>
      </c>
      <c r="V62" s="90">
        <f>IF(AND((DATEDIF('01 Major Assumptions'!$D$6,'01 Major Assumptions'!V$11,"m")+1)&gt;=$C35,(DATEDIF('01 Major Assumptions'!$D$6,'01 Major Assumptions'!V$11,"m")+1)&lt;$E35),$C19/$D35*'01 Major Assumptions'!V$14,0)+IF((DATEDIF('01 Major Assumptions'!$D$6,'01 Major Assumptions'!V$11,"m")+1)&gt;=$E35,$D19/12*'01 Major Assumptions'!V$14,0)</f>
        <v>16666.666666666668</v>
      </c>
      <c r="W62" s="90">
        <f>IF(AND((DATEDIF('01 Major Assumptions'!$D$6,'01 Major Assumptions'!W$11,"m")+1)&gt;=$C35,(DATEDIF('01 Major Assumptions'!$D$6,'01 Major Assumptions'!W$11,"m")+1)&lt;$E35),$C19/$D35*'01 Major Assumptions'!W$14,0)+IF((DATEDIF('01 Major Assumptions'!$D$6,'01 Major Assumptions'!W$11,"m")+1)&gt;=$E35,$D19/12*'01 Major Assumptions'!W$14,0)</f>
        <v>16666.666666666668</v>
      </c>
      <c r="X62" s="90">
        <f>IF(AND((DATEDIF('01 Major Assumptions'!$D$6,'01 Major Assumptions'!X$11,"m")+1)&gt;=$C35,(DATEDIF('01 Major Assumptions'!$D$6,'01 Major Assumptions'!X$11,"m")+1)&lt;$E35),$C19/$D35*'01 Major Assumptions'!X$14,0)+IF((DATEDIF('01 Major Assumptions'!$D$6,'01 Major Assumptions'!X$11,"m")+1)&gt;=$E35,$D19/12*'01 Major Assumptions'!X$14,0)</f>
        <v>16666.666666666668</v>
      </c>
      <c r="Y62" s="90">
        <f>IF(AND((DATEDIF('01 Major Assumptions'!$D$6,'01 Major Assumptions'!Y$11,"m")+1)&gt;=$C35,(DATEDIF('01 Major Assumptions'!$D$6,'01 Major Assumptions'!Y$11,"m")+1)&lt;$E35),$C19/$D35*'01 Major Assumptions'!Y$14,0)+IF((DATEDIF('01 Major Assumptions'!$D$6,'01 Major Assumptions'!Y$11,"m")+1)&gt;=$E35,$D19/12*'01 Major Assumptions'!Y$14,0)</f>
        <v>16666.666666666668</v>
      </c>
      <c r="Z62" s="90">
        <f>IF(AND((DATEDIF('01 Major Assumptions'!$D$6,'01 Major Assumptions'!Z$11,"m")+1)&gt;=$C35,(DATEDIF('01 Major Assumptions'!$D$6,'01 Major Assumptions'!Z$11,"m")+1)&lt;$E35),$C19/$D35*'01 Major Assumptions'!Z$14,0)+IF((DATEDIF('01 Major Assumptions'!$D$6,'01 Major Assumptions'!Z$11,"m")+1)&gt;=$E35,$D19/12*'01 Major Assumptions'!Z$14,0)</f>
        <v>16666.666666666668</v>
      </c>
      <c r="AA62" s="90">
        <f>IF(AND((DATEDIF('01 Major Assumptions'!$D$6,'01 Major Assumptions'!AA$11,"m")+1)&gt;=$C35,(DATEDIF('01 Major Assumptions'!$D$6,'01 Major Assumptions'!AA$11,"m")+1)&lt;$E35),$C19/$D35*'01 Major Assumptions'!AA$14,0)+IF((DATEDIF('01 Major Assumptions'!$D$6,'01 Major Assumptions'!AA$11,"m")+1)&gt;=$E35,$D19/12*'01 Major Assumptions'!AA$14,0)</f>
        <v>16666.666666666668</v>
      </c>
      <c r="AB62" s="90">
        <f>IF(AND((DATEDIF('01 Major Assumptions'!$D$6,'01 Major Assumptions'!AB$11,"m")+1)&gt;=$C35,(DATEDIF('01 Major Assumptions'!$D$6,'01 Major Assumptions'!AB$11,"m")+1)&lt;$E35),$C19/$D35*'01 Major Assumptions'!AB$14,0)+IF((DATEDIF('01 Major Assumptions'!$D$6,'01 Major Assumptions'!AB$11,"m")+1)&gt;=$E35,$D19/12*'01 Major Assumptions'!AB$14,0)</f>
        <v>16666.666666666668</v>
      </c>
      <c r="AC62" s="90">
        <f>IF(AND((DATEDIF('01 Major Assumptions'!$D$6,'01 Major Assumptions'!AC$11,"m")+1)&gt;=$C35,(DATEDIF('01 Major Assumptions'!$D$6,'01 Major Assumptions'!AC$11,"m")+1)&lt;$E35),$C19/$D35*'01 Major Assumptions'!AC$14,0)+IF((DATEDIF('01 Major Assumptions'!$D$6,'01 Major Assumptions'!AC$11,"m")+1)&gt;=$E35,$D19/12*'01 Major Assumptions'!AC$14,0)</f>
        <v>16666.666666666668</v>
      </c>
      <c r="AD62" s="90">
        <f>IF(AND((DATEDIF('01 Major Assumptions'!$D$6,'01 Major Assumptions'!AD$11,"m")+1)&gt;=$C35,(DATEDIF('01 Major Assumptions'!$D$6,'01 Major Assumptions'!AD$11,"m")+1)&lt;$E35),$C19/$D35*'01 Major Assumptions'!AD$14,0)+IF((DATEDIF('01 Major Assumptions'!$D$6,'01 Major Assumptions'!AD$11,"m")+1)&gt;=$E35,$D19/12*'01 Major Assumptions'!AD$14,0)</f>
        <v>16666.666666666668</v>
      </c>
      <c r="AE62" s="90">
        <f>IF(AND((DATEDIF('01 Major Assumptions'!$D$6,'01 Major Assumptions'!AE$11,"m")+1)&gt;=$C35,(DATEDIF('01 Major Assumptions'!$D$6,'01 Major Assumptions'!AE$11,"m")+1)&lt;$E35),$C19/$D35*'01 Major Assumptions'!AE$14,0)+IF((DATEDIF('01 Major Assumptions'!$D$6,'01 Major Assumptions'!AE$11,"m")+1)&gt;=$E35,$D19/12*'01 Major Assumptions'!AE$14,0)</f>
        <v>16666.666666666668</v>
      </c>
      <c r="AF62" s="90">
        <f>IF(AND((DATEDIF('01 Major Assumptions'!$D$6,'01 Major Assumptions'!AF$11,"m")+1)&gt;=$C35,(DATEDIF('01 Major Assumptions'!$D$6,'01 Major Assumptions'!AF$11,"m")+1)&lt;$E35),$C19/$D35*'01 Major Assumptions'!AF$14,0)+IF((DATEDIF('01 Major Assumptions'!$D$6,'01 Major Assumptions'!AF$11,"m")+1)&gt;=$E35,$D19/12*'01 Major Assumptions'!AF$14,0)</f>
        <v>16666.666666666668</v>
      </c>
      <c r="AG62" s="90">
        <f>IF(AND((DATEDIF('01 Major Assumptions'!$D$6,'01 Major Assumptions'!AG$11,"m")+1)&gt;=$C35,(DATEDIF('01 Major Assumptions'!$D$6,'01 Major Assumptions'!AG$11,"m")+1)&lt;$E35),$C19/$D35*'01 Major Assumptions'!AG$14,0)+IF((DATEDIF('01 Major Assumptions'!$D$6,'01 Major Assumptions'!AG$11,"m")+1)&gt;=$E35,$D19/12*'01 Major Assumptions'!AG$14,0)</f>
        <v>16666.666666666668</v>
      </c>
      <c r="AH62" s="90">
        <f>IF(AND((DATEDIF('01 Major Assumptions'!$D$6,'01 Major Assumptions'!AH$11,"m")+1)&gt;=$C35,(DATEDIF('01 Major Assumptions'!$D$6,'01 Major Assumptions'!AH$11,"m")+1)&lt;$E35),$C19/$D35*'01 Major Assumptions'!AH$14,0)+IF((DATEDIF('01 Major Assumptions'!$D$6,'01 Major Assumptions'!AH$11,"m")+1)&gt;=$E35,$D19/12*'01 Major Assumptions'!AH$14,0)</f>
        <v>16666.666666666668</v>
      </c>
      <c r="AI62" s="90">
        <f>IF(AND((DATEDIF('01 Major Assumptions'!$D$6,'01 Major Assumptions'!AI$11,"m")+1)&gt;=$C35,(DATEDIF('01 Major Assumptions'!$D$6,'01 Major Assumptions'!AI$11,"m")+1)&lt;$E35),$C19/$D35*'01 Major Assumptions'!AI$14,0)+IF((DATEDIF('01 Major Assumptions'!$D$6,'01 Major Assumptions'!AI$11,"m")+1)&gt;=$E35,$D19/12*'01 Major Assumptions'!AI$14,0)</f>
        <v>16666.666666666668</v>
      </c>
      <c r="AJ62" s="90">
        <f>IF(AND((DATEDIF('01 Major Assumptions'!$D$6,'01 Major Assumptions'!AJ$11,"m")+1)&gt;=$C35,(DATEDIF('01 Major Assumptions'!$D$6,'01 Major Assumptions'!AJ$11,"m")+1)&lt;$E35),$C19/$D35*'01 Major Assumptions'!AJ$14,0)+IF((DATEDIF('01 Major Assumptions'!$D$6,'01 Major Assumptions'!AJ$11,"m")+1)&gt;=$E35,$D19/12*'01 Major Assumptions'!AJ$14,0)</f>
        <v>16666.666666666668</v>
      </c>
      <c r="AK62" s="90">
        <f>IF(AND((DATEDIF('01 Major Assumptions'!$D$6,'01 Major Assumptions'!AK$11,"m")+1)&gt;=$C35,(DATEDIF('01 Major Assumptions'!$D$6,'01 Major Assumptions'!AK$11,"m")+1)&lt;$E35),$C19/$D35*'01 Major Assumptions'!AK$14,0)+IF((DATEDIF('01 Major Assumptions'!$D$6,'01 Major Assumptions'!AK$11,"m")+1)&gt;=$E35,$D19/12*'01 Major Assumptions'!AK$14,0)</f>
        <v>16666.666666666668</v>
      </c>
      <c r="AL62" s="90">
        <f>IF(AND((DATEDIF('01 Major Assumptions'!$D$6,'01 Major Assumptions'!AL$11,"m")+1)&gt;=$C35,(DATEDIF('01 Major Assumptions'!$D$6,'01 Major Assumptions'!AL$11,"m")+1)&lt;$E35),$C19/$D35*'01 Major Assumptions'!AL$14,0)+IF((DATEDIF('01 Major Assumptions'!$D$6,'01 Major Assumptions'!AL$11,"m")+1)&gt;=$E35,$D19/12*'01 Major Assumptions'!AL$14,0)</f>
        <v>16666.666666666668</v>
      </c>
      <c r="AM62" s="90">
        <f>IF(AND((DATEDIF('01 Major Assumptions'!$D$6,'01 Major Assumptions'!AM$11,"m")+1)&gt;=$C35,(DATEDIF('01 Major Assumptions'!$D$6,'01 Major Assumptions'!AM$11,"m")+1)&lt;$E35),$C19/$D35*'01 Major Assumptions'!AM$14,0)+IF((DATEDIF('01 Major Assumptions'!$D$6,'01 Major Assumptions'!AM$11,"m")+1)&gt;=$E35,$D19/12*'01 Major Assumptions'!AM$14,0)</f>
        <v>16666.666666666668</v>
      </c>
      <c r="AN62" s="90">
        <f>IF(AND((DATEDIF('01 Major Assumptions'!$D$6,'01 Major Assumptions'!AN$11,"m")+1)&gt;=$C35,(DATEDIF('01 Major Assumptions'!$D$6,'01 Major Assumptions'!AN$11,"m")+1)&lt;$E35),$C19/$D35*'01 Major Assumptions'!AN$14,0)+IF((DATEDIF('01 Major Assumptions'!$D$6,'01 Major Assumptions'!AN$11,"m")+1)&gt;=$E35,$D19/12*'01 Major Assumptions'!AN$14,0)</f>
        <v>16666.666666666668</v>
      </c>
      <c r="AO62" s="90">
        <f>IF(AND((DATEDIF('01 Major Assumptions'!$D$6,'01 Major Assumptions'!AO$11,"m")+1)&gt;=$C35,(DATEDIF('01 Major Assumptions'!$D$6,'01 Major Assumptions'!AO$11,"m")+1)&lt;$E35),$C19/$D35*'01 Major Assumptions'!AO$14,0)+IF((DATEDIF('01 Major Assumptions'!$D$6,'01 Major Assumptions'!AO$11,"m")+1)&gt;=$E35,$D19/12*'01 Major Assumptions'!AO$14,0)</f>
        <v>16666.666666666668</v>
      </c>
      <c r="AP62" s="90">
        <f>IF(AND((DATEDIF('01 Major Assumptions'!$D$6,'01 Major Assumptions'!AP$11,"m")+1)&gt;=$C35,(DATEDIF('01 Major Assumptions'!$D$6,'01 Major Assumptions'!AP$11,"m")+1)&lt;$E35),$C19/$D35*'01 Major Assumptions'!AP$14,0)+IF((DATEDIF('01 Major Assumptions'!$D$6,'01 Major Assumptions'!AP$11,"m")+1)&gt;=$E35,$D19/12*'01 Major Assumptions'!AP$14,0)</f>
        <v>16666.666666666668</v>
      </c>
      <c r="AQ62" s="90">
        <f>IF(AND((DATEDIF('01 Major Assumptions'!$D$6,'01 Major Assumptions'!AQ$11,"m")+1)&gt;=$C35,(DATEDIF('01 Major Assumptions'!$D$6,'01 Major Assumptions'!AQ$11,"m")+1)&lt;$E35),$C19/$D35*'01 Major Assumptions'!AQ$14,0)+IF((DATEDIF('01 Major Assumptions'!$D$6,'01 Major Assumptions'!AQ$11,"m")+1)&gt;=$E35,$D19/12*'01 Major Assumptions'!AQ$14,0)</f>
        <v>16666.666666666668</v>
      </c>
      <c r="AR62" s="90">
        <f>IF(AND((DATEDIF('01 Major Assumptions'!$D$6,'01 Major Assumptions'!AR$11,"m")+1)&gt;=$C35,(DATEDIF('01 Major Assumptions'!$D$6,'01 Major Assumptions'!AR$11,"m")+1)&lt;$E35),$C19/$D35*'01 Major Assumptions'!AR$14,0)+IF((DATEDIF('01 Major Assumptions'!$D$6,'01 Major Assumptions'!AR$11,"m")+1)&gt;=$E35,$D19/12*'01 Major Assumptions'!AR$14,0)</f>
        <v>16666.666666666668</v>
      </c>
      <c r="AS62" s="90">
        <f>IF(AND((DATEDIF('01 Major Assumptions'!$D$6,'01 Major Assumptions'!AS$11,"m")+1)&gt;=$C35,(DATEDIF('01 Major Assumptions'!$D$6,'01 Major Assumptions'!AS$11,"m")+1)&lt;$E35),$C19/$D35*'01 Major Assumptions'!AS$14,0)+IF((DATEDIF('01 Major Assumptions'!$D$6,'01 Major Assumptions'!AS$11,"m")+1)&gt;=$E35,$D19/12*'01 Major Assumptions'!AS$14,0)</f>
        <v>16666.666666666668</v>
      </c>
      <c r="AT62" s="90">
        <f>IF(AND((DATEDIF('01 Major Assumptions'!$D$6,'01 Major Assumptions'!AT$11,"m")+1)&gt;=$C35,(DATEDIF('01 Major Assumptions'!$D$6,'01 Major Assumptions'!AT$11,"m")+1)&lt;$E35),$C19/$D35*'01 Major Assumptions'!AT$14,0)+IF((DATEDIF('01 Major Assumptions'!$D$6,'01 Major Assumptions'!AT$11,"m")+1)&gt;=$E35,$D19/12*'01 Major Assumptions'!AT$14,0)</f>
        <v>16666.666666666668</v>
      </c>
      <c r="AU62" s="90">
        <f>IF(AND((DATEDIF('01 Major Assumptions'!$D$6,'01 Major Assumptions'!AU$11,"m")+1)&gt;=$C35,(DATEDIF('01 Major Assumptions'!$D$6,'01 Major Assumptions'!AU$11,"m")+1)&lt;$E35),$C19/$D35*'01 Major Assumptions'!AU$14,0)+IF((DATEDIF('01 Major Assumptions'!$D$6,'01 Major Assumptions'!AU$11,"m")+1)&gt;=$E35,$D19/12*'01 Major Assumptions'!AU$14,0)</f>
        <v>16666.666666666668</v>
      </c>
      <c r="AV62" s="90">
        <f>IF(AND((DATEDIF('01 Major Assumptions'!$D$6,'01 Major Assumptions'!AV$11,"m")+1)&gt;=$C35,(DATEDIF('01 Major Assumptions'!$D$6,'01 Major Assumptions'!AV$11,"m")+1)&lt;$E35),$C19/$D35*'01 Major Assumptions'!AV$14,0)+IF((DATEDIF('01 Major Assumptions'!$D$6,'01 Major Assumptions'!AV$11,"m")+1)&gt;=$E35,$D19/12*'01 Major Assumptions'!AV$14,0)</f>
        <v>16666.666666666668</v>
      </c>
      <c r="AW62" s="90">
        <f>IF(AND((DATEDIF('01 Major Assumptions'!$D$6,'01 Major Assumptions'!AW$11,"m")+1)&gt;=$C35,(DATEDIF('01 Major Assumptions'!$D$6,'01 Major Assumptions'!AW$11,"m")+1)&lt;$E35),$C19/$D35*'01 Major Assumptions'!AW$14,0)+IF((DATEDIF('01 Major Assumptions'!$D$6,'01 Major Assumptions'!AW$11,"m")+1)&gt;=$E35,$D19/12*'01 Major Assumptions'!AW$14,0)</f>
        <v>16666.666666666668</v>
      </c>
      <c r="AX62" s="90">
        <f>IF(AND((DATEDIF('01 Major Assumptions'!$D$6,'01 Major Assumptions'!AX$11,"m")+1)&gt;=$C35,(DATEDIF('01 Major Assumptions'!$D$6,'01 Major Assumptions'!AX$11,"m")+1)&lt;$E35),$C19/$D35*'01 Major Assumptions'!AX$14,0)+IF((DATEDIF('01 Major Assumptions'!$D$6,'01 Major Assumptions'!AX$11,"m")+1)&gt;=$E35,$D19/12*'01 Major Assumptions'!AX$14,0)</f>
        <v>16666.666666666668</v>
      </c>
      <c r="AY62" s="90">
        <f>IF(AND((DATEDIF('01 Major Assumptions'!$D$6,'01 Major Assumptions'!AY$11,"m")+1)&gt;=$C35,(DATEDIF('01 Major Assumptions'!$D$6,'01 Major Assumptions'!AY$11,"m")+1)&lt;$E35),$C19/$D35*'01 Major Assumptions'!AY$14,0)+IF((DATEDIF('01 Major Assumptions'!$D$6,'01 Major Assumptions'!AY$11,"m")+1)&gt;=$E35,$D19/12*'01 Major Assumptions'!AY$14,0)</f>
        <v>16666.666666666668</v>
      </c>
      <c r="AZ62" s="90">
        <f>IF(AND((DATEDIF('01 Major Assumptions'!$D$6,'01 Major Assumptions'!AZ$11,"m")+1)&gt;=$C35,(DATEDIF('01 Major Assumptions'!$D$6,'01 Major Assumptions'!AZ$11,"m")+1)&lt;$E35),$C19/$D35*'01 Major Assumptions'!AZ$14,0)+IF((DATEDIF('01 Major Assumptions'!$D$6,'01 Major Assumptions'!AZ$11,"m")+1)&gt;=$E35,$D19/12*'01 Major Assumptions'!AZ$14,0)</f>
        <v>16666.666666666668</v>
      </c>
      <c r="BA62" s="90">
        <f>IF(AND((DATEDIF('01 Major Assumptions'!$D$6,'01 Major Assumptions'!BA$11,"m")+1)&gt;=$C35,(DATEDIF('01 Major Assumptions'!$D$6,'01 Major Assumptions'!BA$11,"m")+1)&lt;$E35),$C19/$D35*'01 Major Assumptions'!BA$14,0)+IF((DATEDIF('01 Major Assumptions'!$D$6,'01 Major Assumptions'!BA$11,"m")+1)&gt;=$E35,$D19/12*'01 Major Assumptions'!BA$14,0)</f>
        <v>16666.666666666668</v>
      </c>
      <c r="BB62" s="90">
        <f>IF(AND((DATEDIF('01 Major Assumptions'!$D$6,'01 Major Assumptions'!BB$11,"m")+1)&gt;=$C35,(DATEDIF('01 Major Assumptions'!$D$6,'01 Major Assumptions'!BB$11,"m")+1)&lt;$E35),$C19/$D35*'01 Major Assumptions'!BB$14,0)+IF((DATEDIF('01 Major Assumptions'!$D$6,'01 Major Assumptions'!BB$11,"m")+1)&gt;=$E35,$D19/12*'01 Major Assumptions'!BB$14,0)</f>
        <v>16666.666666666668</v>
      </c>
      <c r="BC62" s="90">
        <f>IF(AND((DATEDIF('01 Major Assumptions'!$D$6,'01 Major Assumptions'!BC$11,"m")+1)&gt;=$C35,(DATEDIF('01 Major Assumptions'!$D$6,'01 Major Assumptions'!BC$11,"m")+1)&lt;$E35),$C19/$D35*'01 Major Assumptions'!BC$14,0)+IF((DATEDIF('01 Major Assumptions'!$D$6,'01 Major Assumptions'!BC$11,"m")+1)&gt;=$E35,$D19/12*'01 Major Assumptions'!BC$14,0)</f>
        <v>16666.666666666668</v>
      </c>
      <c r="BD62" s="90">
        <f>IF(AND((DATEDIF('01 Major Assumptions'!$D$6,'01 Major Assumptions'!BD$11,"m")+1)&gt;=$C35,(DATEDIF('01 Major Assumptions'!$D$6,'01 Major Assumptions'!BD$11,"m")+1)&lt;$E35),$C19/$D35*'01 Major Assumptions'!BD$14,0)+IF((DATEDIF('01 Major Assumptions'!$D$6,'01 Major Assumptions'!BD$11,"m")+1)&gt;=$E35,$D19/12*'01 Major Assumptions'!BD$14,0)</f>
        <v>16666.666666666668</v>
      </c>
      <c r="BE62" s="90">
        <f>IF(AND((DATEDIF('01 Major Assumptions'!$D$6,'01 Major Assumptions'!BE$11,"m")+1)&gt;=$C35,(DATEDIF('01 Major Assumptions'!$D$6,'01 Major Assumptions'!BE$11,"m")+1)&lt;$E35),$C19/$D35*'01 Major Assumptions'!BE$14,0)+IF((DATEDIF('01 Major Assumptions'!$D$6,'01 Major Assumptions'!BE$11,"m")+1)&gt;=$E35,$D19/12*'01 Major Assumptions'!BE$14,0)</f>
        <v>16666.666666666668</v>
      </c>
      <c r="BF62" s="90">
        <f>IF(AND((DATEDIF('01 Major Assumptions'!$D$6,'01 Major Assumptions'!BF$11,"m")+1)&gt;=$C35,(DATEDIF('01 Major Assumptions'!$D$6,'01 Major Assumptions'!BF$11,"m")+1)&lt;$E35),$C19/$D35*'01 Major Assumptions'!BF$14,0)+IF((DATEDIF('01 Major Assumptions'!$D$6,'01 Major Assumptions'!BF$11,"m")+1)&gt;=$E35,$D19/12*'01 Major Assumptions'!BF$14,0)</f>
        <v>16666.666666666668</v>
      </c>
      <c r="BG62" s="90">
        <f>IF(AND((DATEDIF('01 Major Assumptions'!$D$6,'01 Major Assumptions'!BG$11,"m")+1)&gt;=$C35,(DATEDIF('01 Major Assumptions'!$D$6,'01 Major Assumptions'!BG$11,"m")+1)&lt;$E35),$C19/$D35*'01 Major Assumptions'!BG$14,0)+IF((DATEDIF('01 Major Assumptions'!$D$6,'01 Major Assumptions'!BG$11,"m")+1)&gt;=$E35,$D19/12*'01 Major Assumptions'!BG$14,0)</f>
        <v>16666.666666666668</v>
      </c>
      <c r="BH62" s="90">
        <f>IF(AND((DATEDIF('01 Major Assumptions'!$D$6,'01 Major Assumptions'!BH$11,"m")+1)&gt;=$C35,(DATEDIF('01 Major Assumptions'!$D$6,'01 Major Assumptions'!BH$11,"m")+1)&lt;$E35),$C19/$D35*'01 Major Assumptions'!BH$14,0)+IF((DATEDIF('01 Major Assumptions'!$D$6,'01 Major Assumptions'!BH$11,"m")+1)&gt;=$E35,$D19/12*'01 Major Assumptions'!BH$14,0)</f>
        <v>16666.666666666668</v>
      </c>
      <c r="BI62" s="90">
        <f>IF(AND((DATEDIF('01 Major Assumptions'!$D$6,'01 Major Assumptions'!BI$11,"m")+1)&gt;=$C35,(DATEDIF('01 Major Assumptions'!$D$6,'01 Major Assumptions'!BI$11,"m")+1)&lt;$E35),$C19/$D35*'01 Major Assumptions'!BI$14,0)+IF((DATEDIF('01 Major Assumptions'!$D$6,'01 Major Assumptions'!BI$11,"m")+1)&gt;=$E35,$D19/12*'01 Major Assumptions'!BI$14,0)</f>
        <v>200000</v>
      </c>
      <c r="BJ62" s="90">
        <f>IF(AND((DATEDIF('01 Major Assumptions'!$D$6,'01 Major Assumptions'!BJ$11,"m")+1)&gt;=$C35,(DATEDIF('01 Major Assumptions'!$D$6,'01 Major Assumptions'!BJ$11,"m")+1)&lt;$E35),$C19/$D35*'01 Major Assumptions'!BJ$14,0)+IF((DATEDIF('01 Major Assumptions'!$D$6,'01 Major Assumptions'!BJ$11,"m")+1)&gt;=$E35,$D19/12*'01 Major Assumptions'!BJ$14,0)</f>
        <v>200000</v>
      </c>
      <c r="BK62" s="90">
        <f>IF(AND((DATEDIF('01 Major Assumptions'!$D$6,'01 Major Assumptions'!BK$11,"m")+1)&gt;=$C35,(DATEDIF('01 Major Assumptions'!$D$6,'01 Major Assumptions'!BK$11,"m")+1)&lt;$E35),$C19/$D35*'01 Major Assumptions'!BK$14,0)+IF((DATEDIF('01 Major Assumptions'!$D$6,'01 Major Assumptions'!BK$11,"m")+1)&gt;=$E35,$D19/12*'01 Major Assumptions'!BK$14,0)</f>
        <v>200000</v>
      </c>
      <c r="BL62" s="90">
        <f>IF(AND((DATEDIF('01 Major Assumptions'!$D$6,'01 Major Assumptions'!BL$11,"m")+1)&gt;=$C35,(DATEDIF('01 Major Assumptions'!$D$6,'01 Major Assumptions'!BL$11,"m")+1)&lt;$E35),$C19/$D35*'01 Major Assumptions'!BL$14,0)+IF((DATEDIF('01 Major Assumptions'!$D$6,'01 Major Assumptions'!BL$11,"m")+1)&gt;=$E35,$D19/12*'01 Major Assumptions'!BL$14,0)</f>
        <v>200000</v>
      </c>
      <c r="BM62" s="90">
        <f>IF(AND((DATEDIF('01 Major Assumptions'!$D$6,'01 Major Assumptions'!BM$11,"m")+1)&gt;=$C35,(DATEDIF('01 Major Assumptions'!$D$6,'01 Major Assumptions'!BM$11,"m")+1)&lt;$E35),$C19/$D35*'01 Major Assumptions'!BM$14,0)+IF((DATEDIF('01 Major Assumptions'!$D$6,'01 Major Assumptions'!BM$11,"m")+1)&gt;=$E35,$D19/12*'01 Major Assumptions'!BM$14,0)</f>
        <v>200000</v>
      </c>
      <c r="BN62" s="90">
        <f>IF(AND((DATEDIF('01 Major Assumptions'!$D$6,'01 Major Assumptions'!BN$11,"m")+1)&gt;=$C35,(DATEDIF('01 Major Assumptions'!$D$6,'01 Major Assumptions'!BN$11,"m")+1)&lt;$E35),$C19/$D35*'01 Major Assumptions'!BN$14,0)+IF((DATEDIF('01 Major Assumptions'!$D$6,'01 Major Assumptions'!BN$11,"m")+1)&gt;=$E35,$D19/12*'01 Major Assumptions'!BN$14,0)</f>
        <v>200000</v>
      </c>
      <c r="BO62" s="90">
        <f>IF(AND((DATEDIF('01 Major Assumptions'!$D$6,'01 Major Assumptions'!BO$11,"m")+1)&gt;=$C35,(DATEDIF('01 Major Assumptions'!$D$6,'01 Major Assumptions'!BO$11,"m")+1)&lt;$E35),$C19/$D35*'01 Major Assumptions'!BO$14,0)+IF((DATEDIF('01 Major Assumptions'!$D$6,'01 Major Assumptions'!BO$11,"m")+1)&gt;=$E35,$D19/12*'01 Major Assumptions'!BO$14,0)</f>
        <v>200000</v>
      </c>
    </row>
    <row r="63" spans="1:67">
      <c r="A63" s="11"/>
      <c r="B63" s="32" t="str">
        <f t="shared" si="7"/>
        <v>Thailand T-VER — carbon credit registration &amp; verification</v>
      </c>
      <c r="C63" s="11"/>
      <c r="D63" s="33"/>
      <c r="E63" s="10" t="s">
        <v>13</v>
      </c>
      <c r="F63" s="10"/>
      <c r="G63" s="90">
        <f>IF(AND((DATEDIF('01 Major Assumptions'!$D$6,'01 Major Assumptions'!G$11,"m")+1)&gt;=$C36,(DATEDIF('01 Major Assumptions'!$D$6,'01 Major Assumptions'!G$11,"m")+1)&lt;$E36),$C20/$D36*'01 Major Assumptions'!G$14,0)+IF((DATEDIF('01 Major Assumptions'!$D$6,'01 Major Assumptions'!G$11,"m")+1)&gt;=$E36,$D20/12*'01 Major Assumptions'!G$14,0)</f>
        <v>0</v>
      </c>
      <c r="H63" s="90">
        <f>IF(AND((DATEDIF('01 Major Assumptions'!$D$6,'01 Major Assumptions'!H$11,"m")+1)&gt;=$C36,(DATEDIF('01 Major Assumptions'!$D$6,'01 Major Assumptions'!H$11,"m")+1)&lt;$E36),$C20/$D36*'01 Major Assumptions'!H$14,0)+IF((DATEDIF('01 Major Assumptions'!$D$6,'01 Major Assumptions'!H$11,"m")+1)&gt;=$E36,$D20/12*'01 Major Assumptions'!H$14,0)</f>
        <v>0</v>
      </c>
      <c r="I63" s="90">
        <f>IF(AND((DATEDIF('01 Major Assumptions'!$D$6,'01 Major Assumptions'!I$11,"m")+1)&gt;=$C36,(DATEDIF('01 Major Assumptions'!$D$6,'01 Major Assumptions'!I$11,"m")+1)&lt;$E36),$C20/$D36*'01 Major Assumptions'!I$14,0)+IF((DATEDIF('01 Major Assumptions'!$D$6,'01 Major Assumptions'!I$11,"m")+1)&gt;=$E36,$D20/12*'01 Major Assumptions'!I$14,0)</f>
        <v>0</v>
      </c>
      <c r="J63" s="90">
        <f>IF(AND((DATEDIF('01 Major Assumptions'!$D$6,'01 Major Assumptions'!J$11,"m")+1)&gt;=$C36,(DATEDIF('01 Major Assumptions'!$D$6,'01 Major Assumptions'!J$11,"m")+1)&lt;$E36),$C20/$D36*'01 Major Assumptions'!J$14,0)+IF((DATEDIF('01 Major Assumptions'!$D$6,'01 Major Assumptions'!J$11,"m")+1)&gt;=$E36,$D20/12*'01 Major Assumptions'!J$14,0)</f>
        <v>0</v>
      </c>
      <c r="K63" s="90">
        <f>IF(AND((DATEDIF('01 Major Assumptions'!$D$6,'01 Major Assumptions'!K$11,"m")+1)&gt;=$C36,(DATEDIF('01 Major Assumptions'!$D$6,'01 Major Assumptions'!K$11,"m")+1)&lt;$E36),$C20/$D36*'01 Major Assumptions'!K$14,0)+IF((DATEDIF('01 Major Assumptions'!$D$6,'01 Major Assumptions'!K$11,"m")+1)&gt;=$E36,$D20/12*'01 Major Assumptions'!K$14,0)</f>
        <v>0</v>
      </c>
      <c r="L63" s="90">
        <f>IF(AND((DATEDIF('01 Major Assumptions'!$D$6,'01 Major Assumptions'!L$11,"m")+1)&gt;=$C36,(DATEDIF('01 Major Assumptions'!$D$6,'01 Major Assumptions'!L$11,"m")+1)&lt;$E36),$C20/$D36*'01 Major Assumptions'!L$14,0)+IF((DATEDIF('01 Major Assumptions'!$D$6,'01 Major Assumptions'!L$11,"m")+1)&gt;=$E36,$D20/12*'01 Major Assumptions'!L$14,0)</f>
        <v>0</v>
      </c>
      <c r="M63" s="90">
        <f>IF(AND((DATEDIF('01 Major Assumptions'!$D$6,'01 Major Assumptions'!M$11,"m")+1)&gt;=$C36,(DATEDIF('01 Major Assumptions'!$D$6,'01 Major Assumptions'!M$11,"m")+1)&lt;$E36),$C20/$D36*'01 Major Assumptions'!M$14,0)+IF((DATEDIF('01 Major Assumptions'!$D$6,'01 Major Assumptions'!M$11,"m")+1)&gt;=$E36,$D20/12*'01 Major Assumptions'!M$14,0)</f>
        <v>0</v>
      </c>
      <c r="N63" s="90">
        <f>IF(AND((DATEDIF('01 Major Assumptions'!$D$6,'01 Major Assumptions'!N$11,"m")+1)&gt;=$C36,(DATEDIF('01 Major Assumptions'!$D$6,'01 Major Assumptions'!N$11,"m")+1)&lt;$E36),$C20/$D36*'01 Major Assumptions'!N$14,0)+IF((DATEDIF('01 Major Assumptions'!$D$6,'01 Major Assumptions'!N$11,"m")+1)&gt;=$E36,$D20/12*'01 Major Assumptions'!N$14,0)</f>
        <v>0</v>
      </c>
      <c r="O63" s="90">
        <f>IF(AND((DATEDIF('01 Major Assumptions'!$D$6,'01 Major Assumptions'!O$11,"m")+1)&gt;=$C36,(DATEDIF('01 Major Assumptions'!$D$6,'01 Major Assumptions'!O$11,"m")+1)&lt;$E36),$C20/$D36*'01 Major Assumptions'!O$14,0)+IF((DATEDIF('01 Major Assumptions'!$D$6,'01 Major Assumptions'!O$11,"m")+1)&gt;=$E36,$D20/12*'01 Major Assumptions'!O$14,0)</f>
        <v>0</v>
      </c>
      <c r="P63" s="90">
        <f>IF(AND((DATEDIF('01 Major Assumptions'!$D$6,'01 Major Assumptions'!P$11,"m")+1)&gt;=$C36,(DATEDIF('01 Major Assumptions'!$D$6,'01 Major Assumptions'!P$11,"m")+1)&lt;$E36),$C20/$D36*'01 Major Assumptions'!P$14,0)+IF((DATEDIF('01 Major Assumptions'!$D$6,'01 Major Assumptions'!P$11,"m")+1)&gt;=$E36,$D20/12*'01 Major Assumptions'!P$14,0)</f>
        <v>0</v>
      </c>
      <c r="Q63" s="90">
        <f>IF(AND((DATEDIF('01 Major Assumptions'!$D$6,'01 Major Assumptions'!Q$11,"m")+1)&gt;=$C36,(DATEDIF('01 Major Assumptions'!$D$6,'01 Major Assumptions'!Q$11,"m")+1)&lt;$E36),$C20/$D36*'01 Major Assumptions'!Q$14,0)+IF((DATEDIF('01 Major Assumptions'!$D$6,'01 Major Assumptions'!Q$11,"m")+1)&gt;=$E36,$D20/12*'01 Major Assumptions'!Q$14,0)</f>
        <v>0</v>
      </c>
      <c r="R63" s="90">
        <f>IF(AND((DATEDIF('01 Major Assumptions'!$D$6,'01 Major Assumptions'!R$11,"m")+1)&gt;=$C36,(DATEDIF('01 Major Assumptions'!$D$6,'01 Major Assumptions'!R$11,"m")+1)&lt;$E36),$C20/$D36*'01 Major Assumptions'!R$14,0)+IF((DATEDIF('01 Major Assumptions'!$D$6,'01 Major Assumptions'!R$11,"m")+1)&gt;=$E36,$D20/12*'01 Major Assumptions'!R$14,0)</f>
        <v>0</v>
      </c>
      <c r="S63" s="90">
        <f>IF(AND((DATEDIF('01 Major Assumptions'!$D$6,'01 Major Assumptions'!S$11,"m")+1)&gt;=$C36,(DATEDIF('01 Major Assumptions'!$D$6,'01 Major Assumptions'!S$11,"m")+1)&lt;$E36),$C20/$D36*'01 Major Assumptions'!S$14,0)+IF((DATEDIF('01 Major Assumptions'!$D$6,'01 Major Assumptions'!S$11,"m")+1)&gt;=$E36,$D20/12*'01 Major Assumptions'!S$14,0)</f>
        <v>0</v>
      </c>
      <c r="T63" s="90">
        <f>IF(AND((DATEDIF('01 Major Assumptions'!$D$6,'01 Major Assumptions'!T$11,"m")+1)&gt;=$C36,(DATEDIF('01 Major Assumptions'!$D$6,'01 Major Assumptions'!T$11,"m")+1)&lt;$E36),$C20/$D36*'01 Major Assumptions'!T$14,0)+IF((DATEDIF('01 Major Assumptions'!$D$6,'01 Major Assumptions'!T$11,"m")+1)&gt;=$E36,$D20/12*'01 Major Assumptions'!T$14,0)</f>
        <v>0</v>
      </c>
      <c r="U63" s="90">
        <f>IF(AND((DATEDIF('01 Major Assumptions'!$D$6,'01 Major Assumptions'!U$11,"m")+1)&gt;=$C36,(DATEDIF('01 Major Assumptions'!$D$6,'01 Major Assumptions'!U$11,"m")+1)&lt;$E36),$C20/$D36*'01 Major Assumptions'!U$14,0)+IF((DATEDIF('01 Major Assumptions'!$D$6,'01 Major Assumptions'!U$11,"m")+1)&gt;=$E36,$D20/12*'01 Major Assumptions'!U$14,0)</f>
        <v>0</v>
      </c>
      <c r="V63" s="90">
        <f>IF(AND((DATEDIF('01 Major Assumptions'!$D$6,'01 Major Assumptions'!V$11,"m")+1)&gt;=$C36,(DATEDIF('01 Major Assumptions'!$D$6,'01 Major Assumptions'!V$11,"m")+1)&lt;$E36),$C20/$D36*'01 Major Assumptions'!V$14,0)+IF((DATEDIF('01 Major Assumptions'!$D$6,'01 Major Assumptions'!V$11,"m")+1)&gt;=$E36,$D20/12*'01 Major Assumptions'!V$14,0)</f>
        <v>0</v>
      </c>
      <c r="W63" s="90">
        <f>IF(AND((DATEDIF('01 Major Assumptions'!$D$6,'01 Major Assumptions'!W$11,"m")+1)&gt;=$C36,(DATEDIF('01 Major Assumptions'!$D$6,'01 Major Assumptions'!W$11,"m")+1)&lt;$E36),$C20/$D36*'01 Major Assumptions'!W$14,0)+IF((DATEDIF('01 Major Assumptions'!$D$6,'01 Major Assumptions'!W$11,"m")+1)&gt;=$E36,$D20/12*'01 Major Assumptions'!W$14,0)</f>
        <v>0</v>
      </c>
      <c r="X63" s="90">
        <f>IF(AND((DATEDIF('01 Major Assumptions'!$D$6,'01 Major Assumptions'!X$11,"m")+1)&gt;=$C36,(DATEDIF('01 Major Assumptions'!$D$6,'01 Major Assumptions'!X$11,"m")+1)&lt;$E36),$C20/$D36*'01 Major Assumptions'!X$14,0)+IF((DATEDIF('01 Major Assumptions'!$D$6,'01 Major Assumptions'!X$11,"m")+1)&gt;=$E36,$D20/12*'01 Major Assumptions'!X$14,0)</f>
        <v>0</v>
      </c>
      <c r="Y63" s="90">
        <f>IF(AND((DATEDIF('01 Major Assumptions'!$D$6,'01 Major Assumptions'!Y$11,"m")+1)&gt;=$C36,(DATEDIF('01 Major Assumptions'!$D$6,'01 Major Assumptions'!Y$11,"m")+1)&lt;$E36),$C20/$D36*'01 Major Assumptions'!Y$14,0)+IF((DATEDIF('01 Major Assumptions'!$D$6,'01 Major Assumptions'!Y$11,"m")+1)&gt;=$E36,$D20/12*'01 Major Assumptions'!Y$14,0)</f>
        <v>0</v>
      </c>
      <c r="Z63" s="90">
        <f>IF(AND((DATEDIF('01 Major Assumptions'!$D$6,'01 Major Assumptions'!Z$11,"m")+1)&gt;=$C36,(DATEDIF('01 Major Assumptions'!$D$6,'01 Major Assumptions'!Z$11,"m")+1)&lt;$E36),$C20/$D36*'01 Major Assumptions'!Z$14,0)+IF((DATEDIF('01 Major Assumptions'!$D$6,'01 Major Assumptions'!Z$11,"m")+1)&gt;=$E36,$D20/12*'01 Major Assumptions'!Z$14,0)</f>
        <v>0</v>
      </c>
      <c r="AA63" s="90">
        <f>IF(AND((DATEDIF('01 Major Assumptions'!$D$6,'01 Major Assumptions'!AA$11,"m")+1)&gt;=$C36,(DATEDIF('01 Major Assumptions'!$D$6,'01 Major Assumptions'!AA$11,"m")+1)&lt;$E36),$C20/$D36*'01 Major Assumptions'!AA$14,0)+IF((DATEDIF('01 Major Assumptions'!$D$6,'01 Major Assumptions'!AA$11,"m")+1)&gt;=$E36,$D20/12*'01 Major Assumptions'!AA$14,0)</f>
        <v>0</v>
      </c>
      <c r="AB63" s="90">
        <f>IF(AND((DATEDIF('01 Major Assumptions'!$D$6,'01 Major Assumptions'!AB$11,"m")+1)&gt;=$C36,(DATEDIF('01 Major Assumptions'!$D$6,'01 Major Assumptions'!AB$11,"m")+1)&lt;$E36),$C20/$D36*'01 Major Assumptions'!AB$14,0)+IF((DATEDIF('01 Major Assumptions'!$D$6,'01 Major Assumptions'!AB$11,"m")+1)&gt;=$E36,$D20/12*'01 Major Assumptions'!AB$14,0)</f>
        <v>0</v>
      </c>
      <c r="AC63" s="90">
        <f>IF(AND((DATEDIF('01 Major Assumptions'!$D$6,'01 Major Assumptions'!AC$11,"m")+1)&gt;=$C36,(DATEDIF('01 Major Assumptions'!$D$6,'01 Major Assumptions'!AC$11,"m")+1)&lt;$E36),$C20/$D36*'01 Major Assumptions'!AC$14,0)+IF((DATEDIF('01 Major Assumptions'!$D$6,'01 Major Assumptions'!AC$11,"m")+1)&gt;=$E36,$D20/12*'01 Major Assumptions'!AC$14,0)</f>
        <v>0</v>
      </c>
      <c r="AD63" s="90">
        <f>IF(AND((DATEDIF('01 Major Assumptions'!$D$6,'01 Major Assumptions'!AD$11,"m")+1)&gt;=$C36,(DATEDIF('01 Major Assumptions'!$D$6,'01 Major Assumptions'!AD$11,"m")+1)&lt;$E36),$C20/$D36*'01 Major Assumptions'!AD$14,0)+IF((DATEDIF('01 Major Assumptions'!$D$6,'01 Major Assumptions'!AD$11,"m")+1)&gt;=$E36,$D20/12*'01 Major Assumptions'!AD$14,0)</f>
        <v>100000</v>
      </c>
      <c r="AE63" s="90">
        <f>IF(AND((DATEDIF('01 Major Assumptions'!$D$6,'01 Major Assumptions'!AE$11,"m")+1)&gt;=$C36,(DATEDIF('01 Major Assumptions'!$D$6,'01 Major Assumptions'!AE$11,"m")+1)&lt;$E36),$C20/$D36*'01 Major Assumptions'!AE$14,0)+IF((DATEDIF('01 Major Assumptions'!$D$6,'01 Major Assumptions'!AE$11,"m")+1)&gt;=$E36,$D20/12*'01 Major Assumptions'!AE$14,0)</f>
        <v>100000</v>
      </c>
      <c r="AF63" s="90">
        <f>IF(AND((DATEDIF('01 Major Assumptions'!$D$6,'01 Major Assumptions'!AF$11,"m")+1)&gt;=$C36,(DATEDIF('01 Major Assumptions'!$D$6,'01 Major Assumptions'!AF$11,"m")+1)&lt;$E36),$C20/$D36*'01 Major Assumptions'!AF$14,0)+IF((DATEDIF('01 Major Assumptions'!$D$6,'01 Major Assumptions'!AF$11,"m")+1)&gt;=$E36,$D20/12*'01 Major Assumptions'!AF$14,0)</f>
        <v>100000</v>
      </c>
      <c r="AG63" s="90">
        <f>IF(AND((DATEDIF('01 Major Assumptions'!$D$6,'01 Major Assumptions'!AG$11,"m")+1)&gt;=$C36,(DATEDIF('01 Major Assumptions'!$D$6,'01 Major Assumptions'!AG$11,"m")+1)&lt;$E36),$C20/$D36*'01 Major Assumptions'!AG$14,0)+IF((DATEDIF('01 Major Assumptions'!$D$6,'01 Major Assumptions'!AG$11,"m")+1)&gt;=$E36,$D20/12*'01 Major Assumptions'!AG$14,0)</f>
        <v>100000</v>
      </c>
      <c r="AH63" s="90">
        <f>IF(AND((DATEDIF('01 Major Assumptions'!$D$6,'01 Major Assumptions'!AH$11,"m")+1)&gt;=$C36,(DATEDIF('01 Major Assumptions'!$D$6,'01 Major Assumptions'!AH$11,"m")+1)&lt;$E36),$C20/$D36*'01 Major Assumptions'!AH$14,0)+IF((DATEDIF('01 Major Assumptions'!$D$6,'01 Major Assumptions'!AH$11,"m")+1)&gt;=$E36,$D20/12*'01 Major Assumptions'!AH$14,0)</f>
        <v>100000</v>
      </c>
      <c r="AI63" s="90">
        <f>IF(AND((DATEDIF('01 Major Assumptions'!$D$6,'01 Major Assumptions'!AI$11,"m")+1)&gt;=$C36,(DATEDIF('01 Major Assumptions'!$D$6,'01 Major Assumptions'!AI$11,"m")+1)&lt;$E36),$C20/$D36*'01 Major Assumptions'!AI$14,0)+IF((DATEDIF('01 Major Assumptions'!$D$6,'01 Major Assumptions'!AI$11,"m")+1)&gt;=$E36,$D20/12*'01 Major Assumptions'!AI$14,0)</f>
        <v>100000</v>
      </c>
      <c r="AJ63" s="90">
        <f>IF(AND((DATEDIF('01 Major Assumptions'!$D$6,'01 Major Assumptions'!AJ$11,"m")+1)&gt;=$C36,(DATEDIF('01 Major Assumptions'!$D$6,'01 Major Assumptions'!AJ$11,"m")+1)&lt;$E36),$C20/$D36*'01 Major Assumptions'!AJ$14,0)+IF((DATEDIF('01 Major Assumptions'!$D$6,'01 Major Assumptions'!AJ$11,"m")+1)&gt;=$E36,$D20/12*'01 Major Assumptions'!AJ$14,0)</f>
        <v>100000</v>
      </c>
      <c r="AK63" s="90">
        <f>IF(AND((DATEDIF('01 Major Assumptions'!$D$6,'01 Major Assumptions'!AK$11,"m")+1)&gt;=$C36,(DATEDIF('01 Major Assumptions'!$D$6,'01 Major Assumptions'!AK$11,"m")+1)&lt;$E36),$C20/$D36*'01 Major Assumptions'!AK$14,0)+IF((DATEDIF('01 Major Assumptions'!$D$6,'01 Major Assumptions'!AK$11,"m")+1)&gt;=$E36,$D20/12*'01 Major Assumptions'!AK$14,0)</f>
        <v>100000</v>
      </c>
      <c r="AL63" s="90">
        <f>IF(AND((DATEDIF('01 Major Assumptions'!$D$6,'01 Major Assumptions'!AL$11,"m")+1)&gt;=$C36,(DATEDIF('01 Major Assumptions'!$D$6,'01 Major Assumptions'!AL$11,"m")+1)&lt;$E36),$C20/$D36*'01 Major Assumptions'!AL$14,0)+IF((DATEDIF('01 Major Assumptions'!$D$6,'01 Major Assumptions'!AL$11,"m")+1)&gt;=$E36,$D20/12*'01 Major Assumptions'!AL$14,0)</f>
        <v>100000</v>
      </c>
      <c r="AM63" s="90">
        <f>IF(AND((DATEDIF('01 Major Assumptions'!$D$6,'01 Major Assumptions'!AM$11,"m")+1)&gt;=$C36,(DATEDIF('01 Major Assumptions'!$D$6,'01 Major Assumptions'!AM$11,"m")+1)&lt;$E36),$C20/$D36*'01 Major Assumptions'!AM$14,0)+IF((DATEDIF('01 Major Assumptions'!$D$6,'01 Major Assumptions'!AM$11,"m")+1)&gt;=$E36,$D20/12*'01 Major Assumptions'!AM$14,0)</f>
        <v>100000</v>
      </c>
      <c r="AN63" s="90">
        <f>IF(AND((DATEDIF('01 Major Assumptions'!$D$6,'01 Major Assumptions'!AN$11,"m")+1)&gt;=$C36,(DATEDIF('01 Major Assumptions'!$D$6,'01 Major Assumptions'!AN$11,"m")+1)&lt;$E36),$C20/$D36*'01 Major Assumptions'!AN$14,0)+IF((DATEDIF('01 Major Assumptions'!$D$6,'01 Major Assumptions'!AN$11,"m")+1)&gt;=$E36,$D20/12*'01 Major Assumptions'!AN$14,0)</f>
        <v>100000</v>
      </c>
      <c r="AO63" s="90">
        <f>IF(AND((DATEDIF('01 Major Assumptions'!$D$6,'01 Major Assumptions'!AO$11,"m")+1)&gt;=$C36,(DATEDIF('01 Major Assumptions'!$D$6,'01 Major Assumptions'!AO$11,"m")+1)&lt;$E36),$C20/$D36*'01 Major Assumptions'!AO$14,0)+IF((DATEDIF('01 Major Assumptions'!$D$6,'01 Major Assumptions'!AO$11,"m")+1)&gt;=$E36,$D20/12*'01 Major Assumptions'!AO$14,0)</f>
        <v>100000</v>
      </c>
      <c r="AP63" s="90">
        <f>IF(AND((DATEDIF('01 Major Assumptions'!$D$6,'01 Major Assumptions'!AP$11,"m")+1)&gt;=$C36,(DATEDIF('01 Major Assumptions'!$D$6,'01 Major Assumptions'!AP$11,"m")+1)&lt;$E36),$C20/$D36*'01 Major Assumptions'!AP$14,0)+IF((DATEDIF('01 Major Assumptions'!$D$6,'01 Major Assumptions'!AP$11,"m")+1)&gt;=$E36,$D20/12*'01 Major Assumptions'!AP$14,0)</f>
        <v>29166.666666666668</v>
      </c>
      <c r="AQ63" s="90">
        <f>IF(AND((DATEDIF('01 Major Assumptions'!$D$6,'01 Major Assumptions'!AQ$11,"m")+1)&gt;=$C36,(DATEDIF('01 Major Assumptions'!$D$6,'01 Major Assumptions'!AQ$11,"m")+1)&lt;$E36),$C20/$D36*'01 Major Assumptions'!AQ$14,0)+IF((DATEDIF('01 Major Assumptions'!$D$6,'01 Major Assumptions'!AQ$11,"m")+1)&gt;=$E36,$D20/12*'01 Major Assumptions'!AQ$14,0)</f>
        <v>29166.666666666668</v>
      </c>
      <c r="AR63" s="90">
        <f>IF(AND((DATEDIF('01 Major Assumptions'!$D$6,'01 Major Assumptions'!AR$11,"m")+1)&gt;=$C36,(DATEDIF('01 Major Assumptions'!$D$6,'01 Major Assumptions'!AR$11,"m")+1)&lt;$E36),$C20/$D36*'01 Major Assumptions'!AR$14,0)+IF((DATEDIF('01 Major Assumptions'!$D$6,'01 Major Assumptions'!AR$11,"m")+1)&gt;=$E36,$D20/12*'01 Major Assumptions'!AR$14,0)</f>
        <v>29166.666666666668</v>
      </c>
      <c r="AS63" s="90">
        <f>IF(AND((DATEDIF('01 Major Assumptions'!$D$6,'01 Major Assumptions'!AS$11,"m")+1)&gt;=$C36,(DATEDIF('01 Major Assumptions'!$D$6,'01 Major Assumptions'!AS$11,"m")+1)&lt;$E36),$C20/$D36*'01 Major Assumptions'!AS$14,0)+IF((DATEDIF('01 Major Assumptions'!$D$6,'01 Major Assumptions'!AS$11,"m")+1)&gt;=$E36,$D20/12*'01 Major Assumptions'!AS$14,0)</f>
        <v>29166.666666666668</v>
      </c>
      <c r="AT63" s="90">
        <f>IF(AND((DATEDIF('01 Major Assumptions'!$D$6,'01 Major Assumptions'!AT$11,"m")+1)&gt;=$C36,(DATEDIF('01 Major Assumptions'!$D$6,'01 Major Assumptions'!AT$11,"m")+1)&lt;$E36),$C20/$D36*'01 Major Assumptions'!AT$14,0)+IF((DATEDIF('01 Major Assumptions'!$D$6,'01 Major Assumptions'!AT$11,"m")+1)&gt;=$E36,$D20/12*'01 Major Assumptions'!AT$14,0)</f>
        <v>29166.666666666668</v>
      </c>
      <c r="AU63" s="90">
        <f>IF(AND((DATEDIF('01 Major Assumptions'!$D$6,'01 Major Assumptions'!AU$11,"m")+1)&gt;=$C36,(DATEDIF('01 Major Assumptions'!$D$6,'01 Major Assumptions'!AU$11,"m")+1)&lt;$E36),$C20/$D36*'01 Major Assumptions'!AU$14,0)+IF((DATEDIF('01 Major Assumptions'!$D$6,'01 Major Assumptions'!AU$11,"m")+1)&gt;=$E36,$D20/12*'01 Major Assumptions'!AU$14,0)</f>
        <v>29166.666666666668</v>
      </c>
      <c r="AV63" s="90">
        <f>IF(AND((DATEDIF('01 Major Assumptions'!$D$6,'01 Major Assumptions'!AV$11,"m")+1)&gt;=$C36,(DATEDIF('01 Major Assumptions'!$D$6,'01 Major Assumptions'!AV$11,"m")+1)&lt;$E36),$C20/$D36*'01 Major Assumptions'!AV$14,0)+IF((DATEDIF('01 Major Assumptions'!$D$6,'01 Major Assumptions'!AV$11,"m")+1)&gt;=$E36,$D20/12*'01 Major Assumptions'!AV$14,0)</f>
        <v>29166.666666666668</v>
      </c>
      <c r="AW63" s="90">
        <f>IF(AND((DATEDIF('01 Major Assumptions'!$D$6,'01 Major Assumptions'!AW$11,"m")+1)&gt;=$C36,(DATEDIF('01 Major Assumptions'!$D$6,'01 Major Assumptions'!AW$11,"m")+1)&lt;$E36),$C20/$D36*'01 Major Assumptions'!AW$14,0)+IF((DATEDIF('01 Major Assumptions'!$D$6,'01 Major Assumptions'!AW$11,"m")+1)&gt;=$E36,$D20/12*'01 Major Assumptions'!AW$14,0)</f>
        <v>29166.666666666668</v>
      </c>
      <c r="AX63" s="90">
        <f>IF(AND((DATEDIF('01 Major Assumptions'!$D$6,'01 Major Assumptions'!AX$11,"m")+1)&gt;=$C36,(DATEDIF('01 Major Assumptions'!$D$6,'01 Major Assumptions'!AX$11,"m")+1)&lt;$E36),$C20/$D36*'01 Major Assumptions'!AX$14,0)+IF((DATEDIF('01 Major Assumptions'!$D$6,'01 Major Assumptions'!AX$11,"m")+1)&gt;=$E36,$D20/12*'01 Major Assumptions'!AX$14,0)</f>
        <v>29166.666666666668</v>
      </c>
      <c r="AY63" s="90">
        <f>IF(AND((DATEDIF('01 Major Assumptions'!$D$6,'01 Major Assumptions'!AY$11,"m")+1)&gt;=$C36,(DATEDIF('01 Major Assumptions'!$D$6,'01 Major Assumptions'!AY$11,"m")+1)&lt;$E36),$C20/$D36*'01 Major Assumptions'!AY$14,0)+IF((DATEDIF('01 Major Assumptions'!$D$6,'01 Major Assumptions'!AY$11,"m")+1)&gt;=$E36,$D20/12*'01 Major Assumptions'!AY$14,0)</f>
        <v>29166.666666666668</v>
      </c>
      <c r="AZ63" s="90">
        <f>IF(AND((DATEDIF('01 Major Assumptions'!$D$6,'01 Major Assumptions'!AZ$11,"m")+1)&gt;=$C36,(DATEDIF('01 Major Assumptions'!$D$6,'01 Major Assumptions'!AZ$11,"m")+1)&lt;$E36),$C20/$D36*'01 Major Assumptions'!AZ$14,0)+IF((DATEDIF('01 Major Assumptions'!$D$6,'01 Major Assumptions'!AZ$11,"m")+1)&gt;=$E36,$D20/12*'01 Major Assumptions'!AZ$14,0)</f>
        <v>29166.666666666668</v>
      </c>
      <c r="BA63" s="90">
        <f>IF(AND((DATEDIF('01 Major Assumptions'!$D$6,'01 Major Assumptions'!BA$11,"m")+1)&gt;=$C36,(DATEDIF('01 Major Assumptions'!$D$6,'01 Major Assumptions'!BA$11,"m")+1)&lt;$E36),$C20/$D36*'01 Major Assumptions'!BA$14,0)+IF((DATEDIF('01 Major Assumptions'!$D$6,'01 Major Assumptions'!BA$11,"m")+1)&gt;=$E36,$D20/12*'01 Major Assumptions'!BA$14,0)</f>
        <v>29166.666666666668</v>
      </c>
      <c r="BB63" s="90">
        <f>IF(AND((DATEDIF('01 Major Assumptions'!$D$6,'01 Major Assumptions'!BB$11,"m")+1)&gt;=$C36,(DATEDIF('01 Major Assumptions'!$D$6,'01 Major Assumptions'!BB$11,"m")+1)&lt;$E36),$C20/$D36*'01 Major Assumptions'!BB$14,0)+IF((DATEDIF('01 Major Assumptions'!$D$6,'01 Major Assumptions'!BB$11,"m")+1)&gt;=$E36,$D20/12*'01 Major Assumptions'!BB$14,0)</f>
        <v>29166.666666666668</v>
      </c>
      <c r="BC63" s="90">
        <f>IF(AND((DATEDIF('01 Major Assumptions'!$D$6,'01 Major Assumptions'!BC$11,"m")+1)&gt;=$C36,(DATEDIF('01 Major Assumptions'!$D$6,'01 Major Assumptions'!BC$11,"m")+1)&lt;$E36),$C20/$D36*'01 Major Assumptions'!BC$14,0)+IF((DATEDIF('01 Major Assumptions'!$D$6,'01 Major Assumptions'!BC$11,"m")+1)&gt;=$E36,$D20/12*'01 Major Assumptions'!BC$14,0)</f>
        <v>29166.666666666668</v>
      </c>
      <c r="BD63" s="90">
        <f>IF(AND((DATEDIF('01 Major Assumptions'!$D$6,'01 Major Assumptions'!BD$11,"m")+1)&gt;=$C36,(DATEDIF('01 Major Assumptions'!$D$6,'01 Major Assumptions'!BD$11,"m")+1)&lt;$E36),$C20/$D36*'01 Major Assumptions'!BD$14,0)+IF((DATEDIF('01 Major Assumptions'!$D$6,'01 Major Assumptions'!BD$11,"m")+1)&gt;=$E36,$D20/12*'01 Major Assumptions'!BD$14,0)</f>
        <v>29166.666666666668</v>
      </c>
      <c r="BE63" s="90">
        <f>IF(AND((DATEDIF('01 Major Assumptions'!$D$6,'01 Major Assumptions'!BE$11,"m")+1)&gt;=$C36,(DATEDIF('01 Major Assumptions'!$D$6,'01 Major Assumptions'!BE$11,"m")+1)&lt;$E36),$C20/$D36*'01 Major Assumptions'!BE$14,0)+IF((DATEDIF('01 Major Assumptions'!$D$6,'01 Major Assumptions'!BE$11,"m")+1)&gt;=$E36,$D20/12*'01 Major Assumptions'!BE$14,0)</f>
        <v>29166.666666666668</v>
      </c>
      <c r="BF63" s="90">
        <f>IF(AND((DATEDIF('01 Major Assumptions'!$D$6,'01 Major Assumptions'!BF$11,"m")+1)&gt;=$C36,(DATEDIF('01 Major Assumptions'!$D$6,'01 Major Assumptions'!BF$11,"m")+1)&lt;$E36),$C20/$D36*'01 Major Assumptions'!BF$14,0)+IF((DATEDIF('01 Major Assumptions'!$D$6,'01 Major Assumptions'!BF$11,"m")+1)&gt;=$E36,$D20/12*'01 Major Assumptions'!BF$14,0)</f>
        <v>29166.666666666668</v>
      </c>
      <c r="BG63" s="90">
        <f>IF(AND((DATEDIF('01 Major Assumptions'!$D$6,'01 Major Assumptions'!BG$11,"m")+1)&gt;=$C36,(DATEDIF('01 Major Assumptions'!$D$6,'01 Major Assumptions'!BG$11,"m")+1)&lt;$E36),$C20/$D36*'01 Major Assumptions'!BG$14,0)+IF((DATEDIF('01 Major Assumptions'!$D$6,'01 Major Assumptions'!BG$11,"m")+1)&gt;=$E36,$D20/12*'01 Major Assumptions'!BG$14,0)</f>
        <v>29166.666666666668</v>
      </c>
      <c r="BH63" s="90">
        <f>IF(AND((DATEDIF('01 Major Assumptions'!$D$6,'01 Major Assumptions'!BH$11,"m")+1)&gt;=$C36,(DATEDIF('01 Major Assumptions'!$D$6,'01 Major Assumptions'!BH$11,"m")+1)&lt;$E36),$C20/$D36*'01 Major Assumptions'!BH$14,0)+IF((DATEDIF('01 Major Assumptions'!$D$6,'01 Major Assumptions'!BH$11,"m")+1)&gt;=$E36,$D20/12*'01 Major Assumptions'!BH$14,0)</f>
        <v>29166.666666666668</v>
      </c>
      <c r="BI63" s="90">
        <f>IF(AND((DATEDIF('01 Major Assumptions'!$D$6,'01 Major Assumptions'!BI$11,"m")+1)&gt;=$C36,(DATEDIF('01 Major Assumptions'!$D$6,'01 Major Assumptions'!BI$11,"m")+1)&lt;$E36),$C20/$D36*'01 Major Assumptions'!BI$14,0)+IF((DATEDIF('01 Major Assumptions'!$D$6,'01 Major Assumptions'!BI$11,"m")+1)&gt;=$E36,$D20/12*'01 Major Assumptions'!BI$14,0)</f>
        <v>350000</v>
      </c>
      <c r="BJ63" s="90">
        <f>IF(AND((DATEDIF('01 Major Assumptions'!$D$6,'01 Major Assumptions'!BJ$11,"m")+1)&gt;=$C36,(DATEDIF('01 Major Assumptions'!$D$6,'01 Major Assumptions'!BJ$11,"m")+1)&lt;$E36),$C20/$D36*'01 Major Assumptions'!BJ$14,0)+IF((DATEDIF('01 Major Assumptions'!$D$6,'01 Major Assumptions'!BJ$11,"m")+1)&gt;=$E36,$D20/12*'01 Major Assumptions'!BJ$14,0)</f>
        <v>350000</v>
      </c>
      <c r="BK63" s="90">
        <f>IF(AND((DATEDIF('01 Major Assumptions'!$D$6,'01 Major Assumptions'!BK$11,"m")+1)&gt;=$C36,(DATEDIF('01 Major Assumptions'!$D$6,'01 Major Assumptions'!BK$11,"m")+1)&lt;$E36),$C20/$D36*'01 Major Assumptions'!BK$14,0)+IF((DATEDIF('01 Major Assumptions'!$D$6,'01 Major Assumptions'!BK$11,"m")+1)&gt;=$E36,$D20/12*'01 Major Assumptions'!BK$14,0)</f>
        <v>350000</v>
      </c>
      <c r="BL63" s="90">
        <f>IF(AND((DATEDIF('01 Major Assumptions'!$D$6,'01 Major Assumptions'!BL$11,"m")+1)&gt;=$C36,(DATEDIF('01 Major Assumptions'!$D$6,'01 Major Assumptions'!BL$11,"m")+1)&lt;$E36),$C20/$D36*'01 Major Assumptions'!BL$14,0)+IF((DATEDIF('01 Major Assumptions'!$D$6,'01 Major Assumptions'!BL$11,"m")+1)&gt;=$E36,$D20/12*'01 Major Assumptions'!BL$14,0)</f>
        <v>350000</v>
      </c>
      <c r="BM63" s="90">
        <f>IF(AND((DATEDIF('01 Major Assumptions'!$D$6,'01 Major Assumptions'!BM$11,"m")+1)&gt;=$C36,(DATEDIF('01 Major Assumptions'!$D$6,'01 Major Assumptions'!BM$11,"m")+1)&lt;$E36),$C20/$D36*'01 Major Assumptions'!BM$14,0)+IF((DATEDIF('01 Major Assumptions'!$D$6,'01 Major Assumptions'!BM$11,"m")+1)&gt;=$E36,$D20/12*'01 Major Assumptions'!BM$14,0)</f>
        <v>350000</v>
      </c>
      <c r="BN63" s="90">
        <f>IF(AND((DATEDIF('01 Major Assumptions'!$D$6,'01 Major Assumptions'!BN$11,"m")+1)&gt;=$C36,(DATEDIF('01 Major Assumptions'!$D$6,'01 Major Assumptions'!BN$11,"m")+1)&lt;$E36),$C20/$D36*'01 Major Assumptions'!BN$14,0)+IF((DATEDIF('01 Major Assumptions'!$D$6,'01 Major Assumptions'!BN$11,"m")+1)&gt;=$E36,$D20/12*'01 Major Assumptions'!BN$14,0)</f>
        <v>350000</v>
      </c>
      <c r="BO63" s="90">
        <f>IF(AND((DATEDIF('01 Major Assumptions'!$D$6,'01 Major Assumptions'!BO$11,"m")+1)&gt;=$C36,(DATEDIF('01 Major Assumptions'!$D$6,'01 Major Assumptions'!BO$11,"m")+1)&lt;$E36),$C20/$D36*'01 Major Assumptions'!BO$14,0)+IF((DATEDIF('01 Major Assumptions'!$D$6,'01 Major Assumptions'!BO$11,"m")+1)&gt;=$E36,$D20/12*'01 Major Assumptions'!BO$14,0)</f>
        <v>350000</v>
      </c>
    </row>
    <row r="64" spans="1:67">
      <c r="A64" s="11"/>
      <c r="B64" s="22" t="s">
        <v>643</v>
      </c>
      <c r="C64" s="11"/>
      <c r="D64" s="33"/>
      <c r="E64" s="10" t="s">
        <v>13</v>
      </c>
      <c r="F64" s="10"/>
      <c r="G64" s="89">
        <f>SUM(G52:G63)</f>
        <v>125000</v>
      </c>
      <c r="H64" s="89">
        <f t="shared" ref="H64:BO64" si="8">SUM(H52:H63)</f>
        <v>125000</v>
      </c>
      <c r="I64" s="89">
        <f t="shared" si="8"/>
        <v>125000</v>
      </c>
      <c r="J64" s="89">
        <f t="shared" si="8"/>
        <v>125000</v>
      </c>
      <c r="K64" s="89">
        <f t="shared" si="8"/>
        <v>125000</v>
      </c>
      <c r="L64" s="89">
        <f t="shared" si="8"/>
        <v>125000</v>
      </c>
      <c r="M64" s="89">
        <f t="shared" si="8"/>
        <v>125000</v>
      </c>
      <c r="N64" s="89">
        <f t="shared" si="8"/>
        <v>125000</v>
      </c>
      <c r="O64" s="89">
        <f t="shared" si="8"/>
        <v>125000</v>
      </c>
      <c r="P64" s="89">
        <f t="shared" si="8"/>
        <v>218750</v>
      </c>
      <c r="Q64" s="89">
        <f t="shared" si="8"/>
        <v>218750</v>
      </c>
      <c r="R64" s="89">
        <f t="shared" si="8"/>
        <v>474583.33333333337</v>
      </c>
      <c r="S64" s="89">
        <f t="shared" si="8"/>
        <v>366250.00000000006</v>
      </c>
      <c r="T64" s="89">
        <f t="shared" si="8"/>
        <v>949583.33333333337</v>
      </c>
      <c r="U64" s="89">
        <f t="shared" si="8"/>
        <v>949583.33333333337</v>
      </c>
      <c r="V64" s="89">
        <f t="shared" si="8"/>
        <v>1055208.3333333335</v>
      </c>
      <c r="W64" s="89">
        <f t="shared" si="8"/>
        <v>1055208.3333333335</v>
      </c>
      <c r="X64" s="89">
        <f t="shared" si="8"/>
        <v>1044791.6666666667</v>
      </c>
      <c r="Y64" s="89">
        <f t="shared" si="8"/>
        <v>1044791.6666666667</v>
      </c>
      <c r="Z64" s="89">
        <f t="shared" si="8"/>
        <v>1120416.6666666667</v>
      </c>
      <c r="AA64" s="89">
        <f t="shared" si="8"/>
        <v>1120416.6666666667</v>
      </c>
      <c r="AB64" s="89">
        <f t="shared" si="8"/>
        <v>1091250</v>
      </c>
      <c r="AC64" s="89">
        <f t="shared" si="8"/>
        <v>1091250</v>
      </c>
      <c r="AD64" s="89">
        <f t="shared" si="8"/>
        <v>1016250</v>
      </c>
      <c r="AE64" s="89">
        <f t="shared" si="8"/>
        <v>1016250</v>
      </c>
      <c r="AF64" s="89">
        <f t="shared" si="8"/>
        <v>341250</v>
      </c>
      <c r="AG64" s="89">
        <f t="shared" si="8"/>
        <v>341250</v>
      </c>
      <c r="AH64" s="89">
        <f t="shared" si="8"/>
        <v>306666.66666666663</v>
      </c>
      <c r="AI64" s="89">
        <f t="shared" si="8"/>
        <v>306666.66666666663</v>
      </c>
      <c r="AJ64" s="89">
        <f t="shared" si="8"/>
        <v>306666.66666666663</v>
      </c>
      <c r="AK64" s="89">
        <f t="shared" si="8"/>
        <v>306666.66666666663</v>
      </c>
      <c r="AL64" s="89">
        <f t="shared" si="8"/>
        <v>306666.66666666663</v>
      </c>
      <c r="AM64" s="89">
        <f t="shared" si="8"/>
        <v>306666.66666666663</v>
      </c>
      <c r="AN64" s="89">
        <f t="shared" si="8"/>
        <v>306666.66666666663</v>
      </c>
      <c r="AO64" s="89">
        <f t="shared" si="8"/>
        <v>306666.66666666663</v>
      </c>
      <c r="AP64" s="89">
        <f t="shared" si="8"/>
        <v>235833.33333333331</v>
      </c>
      <c r="AQ64" s="89">
        <f t="shared" si="8"/>
        <v>235833.33333333331</v>
      </c>
      <c r="AR64" s="89">
        <f t="shared" si="8"/>
        <v>235833.33333333331</v>
      </c>
      <c r="AS64" s="89">
        <f t="shared" si="8"/>
        <v>235833.33333333331</v>
      </c>
      <c r="AT64" s="89">
        <f t="shared" si="8"/>
        <v>235833.33333333331</v>
      </c>
      <c r="AU64" s="89">
        <f t="shared" si="8"/>
        <v>235833.33333333331</v>
      </c>
      <c r="AV64" s="89">
        <f t="shared" si="8"/>
        <v>235833.33333333331</v>
      </c>
      <c r="AW64" s="89">
        <f t="shared" si="8"/>
        <v>235833.33333333331</v>
      </c>
      <c r="AX64" s="89">
        <f t="shared" si="8"/>
        <v>235833.33333333331</v>
      </c>
      <c r="AY64" s="89">
        <f t="shared" si="8"/>
        <v>235833.33333333331</v>
      </c>
      <c r="AZ64" s="89">
        <f t="shared" si="8"/>
        <v>235833.33333333331</v>
      </c>
      <c r="BA64" s="89">
        <f t="shared" si="8"/>
        <v>235833.33333333331</v>
      </c>
      <c r="BB64" s="89">
        <f t="shared" si="8"/>
        <v>235833.33333333331</v>
      </c>
      <c r="BC64" s="89">
        <f t="shared" si="8"/>
        <v>235833.33333333331</v>
      </c>
      <c r="BD64" s="89">
        <f t="shared" si="8"/>
        <v>235833.33333333331</v>
      </c>
      <c r="BE64" s="89">
        <f t="shared" si="8"/>
        <v>235833.33333333331</v>
      </c>
      <c r="BF64" s="89">
        <f t="shared" si="8"/>
        <v>235833.33333333331</v>
      </c>
      <c r="BG64" s="89">
        <f t="shared" si="8"/>
        <v>235833.33333333331</v>
      </c>
      <c r="BH64" s="89">
        <f t="shared" si="8"/>
        <v>235833.33333333331</v>
      </c>
      <c r="BI64" s="89">
        <f t="shared" si="8"/>
        <v>2830000</v>
      </c>
      <c r="BJ64" s="89">
        <f t="shared" si="8"/>
        <v>2830000</v>
      </c>
      <c r="BK64" s="89">
        <f t="shared" si="8"/>
        <v>2830000</v>
      </c>
      <c r="BL64" s="89">
        <f t="shared" si="8"/>
        <v>2830000</v>
      </c>
      <c r="BM64" s="89">
        <f t="shared" si="8"/>
        <v>2830000</v>
      </c>
      <c r="BN64" s="89">
        <f t="shared" si="8"/>
        <v>2830000</v>
      </c>
      <c r="BO64" s="89">
        <f t="shared" si="8"/>
        <v>2830000</v>
      </c>
    </row>
    <row r="65" spans="5:6">
      <c r="E65" s="48"/>
      <c r="F65" s="48"/>
    </row>
    <row r="66" spans="5:6">
      <c r="E66" s="48"/>
      <c r="F66" s="48"/>
    </row>
    <row r="67" spans="5:6">
      <c r="E67" s="48"/>
      <c r="F67" s="48"/>
    </row>
    <row r="68" spans="5:6">
      <c r="E68" s="48"/>
      <c r="F68" s="48"/>
    </row>
    <row r="69" spans="5:6">
      <c r="E69" s="48"/>
      <c r="F69" s="48"/>
    </row>
    <row r="70" spans="5:6">
      <c r="E70" s="48"/>
      <c r="F70" s="48"/>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15</vt:i4>
      </vt:variant>
    </vt:vector>
  </HeadingPairs>
  <TitlesOfParts>
    <vt:vector size="15" baseType="lpstr">
      <vt:lpstr>00 Summary</vt:lpstr>
      <vt:lpstr>01 Major Assumptions</vt:lpstr>
      <vt:lpstr>02 Oil Price Analysis</vt:lpstr>
      <vt:lpstr>03 CAPEX &amp; Depreciation</vt:lpstr>
      <vt:lpstr>04 Operating Model</vt:lpstr>
      <vt:lpstr>05 Opex</vt:lpstr>
      <vt:lpstr>06 Debt &amp; WC</vt:lpstr>
      <vt:lpstr>07 Equity &amp; Dividend</vt:lpstr>
      <vt:lpstr>08 Certification &amp; Premium</vt:lpstr>
      <vt:lpstr>09 Sensitivity Analysis</vt:lpstr>
      <vt:lpstr>10 RM Sourcing &amp; Landed Cost</vt:lpstr>
      <vt:lpstr>11 NRV Costing</vt:lpstr>
      <vt:lpstr>12 Site, Civil &amp; Utilities</vt:lpstr>
      <vt:lpstr>13 Factory Permits 105 &amp; 106</vt:lpstr>
      <vt:lpstr>14 Market Study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Fye BR</cp:lastModifiedBy>
  <dcterms:created xsi:type="dcterms:W3CDTF">2026-06-27T18:36:19Z</dcterms:created>
  <dcterms:modified xsi:type="dcterms:W3CDTF">2026-08-06T00:02:52Z</dcterms:modified>
</cp:coreProperties>
</file>